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52.xml" ContentType="application/vnd.openxmlformats-officedocument.drawingml.chart+xml"/>
  <Override PartName="/xl/drawings/drawing18.xml" ContentType="application/vnd.openxmlformats-officedocument.drawing+xml"/>
  <Override PartName="/xl/charts/chart53.xml" ContentType="application/vnd.openxmlformats-officedocument.drawingml.chart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drawings/drawing20.xml" ContentType="application/vnd.openxmlformats-officedocument.drawing+xml"/>
  <Override PartName="/xl/charts/chart55.xml" ContentType="application/vnd.openxmlformats-officedocument.drawingml.chart+xml"/>
  <Override PartName="/xl/drawings/drawing21.xml" ContentType="application/vnd.openxmlformats-officedocument.drawing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ABla\Documents\Osh\IRs\"/>
    </mc:Choice>
  </mc:AlternateContent>
  <xr:revisionPtr revIDLastSave="0" documentId="8_{2EBEFD10-E286-4322-922E-2A5ABD0F5AAD}" xr6:coauthVersionLast="47" xr6:coauthVersionMax="47" xr10:uidLastSave="{00000000-0000-0000-0000-000000000000}"/>
  <bookViews>
    <workbookView xWindow="-46188" yWindow="-108" windowWidth="23256" windowHeight="12456" tabRatio="899" firstSheet="23" activeTab="26" xr2:uid="{00000000-000D-0000-FFFF-FFFF00000000}"/>
  </bookViews>
  <sheets>
    <sheet name="Load Forecast Summary" sheetId="160" r:id="rId1"/>
    <sheet name="Monthly Data" sheetId="67" r:id="rId2"/>
    <sheet name="Economic" sheetId="65" r:id="rId3"/>
    <sheet name="Weather" sheetId="4" r:id="rId4"/>
    <sheet name="CDM" sheetId="148" r:id="rId5"/>
    <sheet name="Res Predicted Monthly" sheetId="28" r:id="rId6"/>
    <sheet name="GS&lt;50 Predicted Monthly" sheetId="30" r:id="rId7"/>
    <sheet name="GS 50-999 Predicted Monthly" sheetId="32" r:id="rId8"/>
    <sheet name="GS 1k-4,999 Predicted Monthly" sheetId="151" r:id="rId9"/>
    <sheet name="Large Use Predicted Monthly" sheetId="153" r:id="rId10"/>
    <sheet name="EV Data" sheetId="68" r:id="rId11"/>
    <sheet name="EV Forecast" sheetId="69" r:id="rId12"/>
    <sheet name="Heating" sheetId="70" r:id="rId13"/>
    <sheet name="Total Additional-Lost Loads" sheetId="71" r:id="rId14"/>
    <sheet name="Model Summary" sheetId="15" r:id="rId15"/>
    <sheet name="Res Normalized Monthly" sheetId="38" r:id="rId16"/>
    <sheet name="GS&lt;50 Normalized Monthly" sheetId="34" r:id="rId17"/>
    <sheet name="GS 50-999 Normalized Monthly" sheetId="36" r:id="rId18"/>
    <sheet name="GS 1k-4,999 Normalized Monthly" sheetId="152" r:id="rId19"/>
    <sheet name="Large Use Normalized Monthly" sheetId="154" r:id="rId20"/>
    <sheet name="Normalized Annual Summary" sheetId="17" r:id="rId21"/>
    <sheet name="Customer Count" sheetId="23" r:id="rId22"/>
    <sheet name="kW Forecast" sheetId="24" r:id="rId23"/>
    <sheet name="kW Forecast (Weather Normal)" sheetId="57" r:id="rId24"/>
    <sheet name="CDM Framework" sheetId="72" r:id="rId25"/>
    <sheet name="CDM Adjustment" sheetId="73" r:id="rId26"/>
    <sheet name="Summary Tables" sheetId="25" r:id="rId27"/>
    <sheet name="Res Normalized Monthly WN" sheetId="75" r:id="rId28"/>
    <sheet name="GS&lt;50 Normalized Monthly WN" sheetId="76" r:id="rId29"/>
    <sheet name="GS50-999 Normalized Monthly WN" sheetId="77" r:id="rId30"/>
    <sheet name="GS 1k-4,999 Normalized Mont WN" sheetId="155" r:id="rId31"/>
    <sheet name="Large Use Normalized Monthl WN" sheetId="156" r:id="rId32"/>
    <sheet name="Summary Tables (Weather Normal)" sheetId="74" r:id="rId33"/>
  </sheets>
  <definedNames>
    <definedName name="_Fill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ash">#REF!</definedName>
    <definedName name="contactf">#REF!</definedName>
    <definedName name="CRLF">#REF!</definedName>
    <definedName name="CustomerAdministration">#REF!</definedName>
    <definedName name="EBNUMBER">#REF!</definedName>
    <definedName name="Fixed_Charges">#REF!</definedName>
    <definedName name="histdate">#REF!</definedName>
    <definedName name="Incr2000">#REF!</definedName>
    <definedName name="Last_Rebasing_Year">#REF!</definedName>
    <definedName name="LDC_LIST">#REF!</definedName>
    <definedName name="LDCNAMES">#REF!</definedName>
    <definedName name="LIMIT">#REF!</definedName>
    <definedName name="LossFactors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NonPaymen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enameBridge">#REF!</definedName>
    <definedName name="RenameRebase">#REF!</definedName>
    <definedName name="RenameTest">#REF!</definedName>
    <definedName name="RMpilsVer">#REF!</definedName>
    <definedName name="RMversion">#REF!</definedName>
    <definedName name="SALBENF">#REF!</definedName>
    <definedName name="salreg">#REF!</definedName>
    <definedName name="SALREGF">#REF!</definedName>
    <definedName name="TableName">"Dummy"</definedName>
    <definedName name="TEMPA">#REF!</definedName>
    <definedName name="Test_Year">#REF!</definedName>
    <definedName name="TestYear">#REF!</definedName>
    <definedName name="TestY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3" l="1"/>
  <c r="AE47" i="23"/>
  <c r="AA47" i="23"/>
  <c r="W47" i="23"/>
  <c r="S47" i="23"/>
  <c r="O47" i="23"/>
  <c r="K47" i="23"/>
  <c r="G47" i="23"/>
  <c r="C48" i="23"/>
  <c r="AE14" i="23"/>
  <c r="AA14" i="23"/>
  <c r="W14" i="23"/>
  <c r="S14" i="23"/>
  <c r="O14" i="23"/>
  <c r="K14" i="23"/>
  <c r="G14" i="23"/>
  <c r="AE35" i="23"/>
  <c r="AE36" i="23"/>
  <c r="AE37" i="23"/>
  <c r="AE38" i="23"/>
  <c r="AE39" i="23"/>
  <c r="AE40" i="23"/>
  <c r="D41" i="23"/>
  <c r="C41" i="23"/>
  <c r="C15" i="23"/>
  <c r="C14" i="23"/>
  <c r="C18" i="23"/>
  <c r="G170" i="69"/>
  <c r="G171" i="69"/>
  <c r="G172" i="69"/>
  <c r="G173" i="69"/>
  <c r="G169" i="69"/>
  <c r="F171" i="69"/>
  <c r="F172" i="69"/>
  <c r="F173" i="69"/>
  <c r="F170" i="69"/>
  <c r="F169" i="69"/>
  <c r="H7" i="71"/>
  <c r="H8" i="71"/>
  <c r="H6" i="71"/>
  <c r="I7" i="71"/>
  <c r="I8" i="71"/>
  <c r="I6" i="71"/>
  <c r="P27" i="72"/>
  <c r="Q27" i="72"/>
  <c r="R27" i="72"/>
  <c r="S27" i="72"/>
  <c r="T27" i="72"/>
  <c r="U27" i="72"/>
  <c r="P29" i="72"/>
  <c r="Q29" i="72"/>
  <c r="R29" i="72"/>
  <c r="S29" i="72"/>
  <c r="T29" i="72"/>
  <c r="U29" i="72"/>
  <c r="P30" i="72"/>
  <c r="Q30" i="72"/>
  <c r="R30" i="72"/>
  <c r="S30" i="72"/>
  <c r="T30" i="72"/>
  <c r="U30" i="72"/>
  <c r="P31" i="72"/>
  <c r="Q31" i="72"/>
  <c r="R31" i="72"/>
  <c r="S31" i="72"/>
  <c r="T31" i="72"/>
  <c r="U31" i="72"/>
  <c r="O30" i="72"/>
  <c r="O27" i="72"/>
  <c r="O28" i="72"/>
  <c r="O29" i="72"/>
  <c r="U70" i="72"/>
  <c r="U71" i="72"/>
  <c r="U72" i="72"/>
  <c r="U73" i="72"/>
  <c r="U74" i="72"/>
  <c r="U76" i="72"/>
  <c r="U77" i="72"/>
  <c r="L91" i="72"/>
  <c r="L90" i="72"/>
  <c r="L89" i="72"/>
  <c r="L71" i="72" s="1"/>
  <c r="L88" i="72"/>
  <c r="L70" i="72" s="1"/>
  <c r="L72" i="72"/>
  <c r="L73" i="72"/>
  <c r="D70" i="72"/>
  <c r="U17" i="72"/>
  <c r="T17" i="72"/>
  <c r="S17" i="72"/>
  <c r="U15" i="72"/>
  <c r="T15" i="72"/>
  <c r="S15" i="72"/>
  <c r="U13" i="72"/>
  <c r="T13" i="72"/>
  <c r="S13" i="72"/>
  <c r="U12" i="72"/>
  <c r="G73" i="72" s="1"/>
  <c r="T12" i="72"/>
  <c r="F73" i="72" s="1"/>
  <c r="S12" i="72"/>
  <c r="E73" i="72" s="1"/>
  <c r="U11" i="72"/>
  <c r="G72" i="72" s="1"/>
  <c r="T11" i="72"/>
  <c r="F72" i="72" s="1"/>
  <c r="S11" i="72"/>
  <c r="E72" i="72" s="1"/>
  <c r="U9" i="72"/>
  <c r="G70" i="72" s="1"/>
  <c r="T9" i="72"/>
  <c r="F70" i="72" s="1"/>
  <c r="S9" i="72"/>
  <c r="E70" i="72" s="1"/>
  <c r="H18" i="72"/>
  <c r="G18" i="72"/>
  <c r="F18" i="72"/>
  <c r="E17" i="72"/>
  <c r="R17" i="72" s="1"/>
  <c r="C17" i="72"/>
  <c r="D17" i="72" s="1"/>
  <c r="Q17" i="72" s="1"/>
  <c r="E16" i="72"/>
  <c r="C16" i="72"/>
  <c r="D16" i="72" s="1"/>
  <c r="E15" i="72"/>
  <c r="R15" i="72" s="1"/>
  <c r="C15" i="72"/>
  <c r="D15" i="72" s="1"/>
  <c r="Q15" i="72" s="1"/>
  <c r="E14" i="72"/>
  <c r="C14" i="72"/>
  <c r="D14" i="72" s="1"/>
  <c r="E13" i="72"/>
  <c r="R13" i="72" s="1"/>
  <c r="C13" i="72"/>
  <c r="D13" i="72" s="1"/>
  <c r="Q13" i="72" s="1"/>
  <c r="E12" i="72"/>
  <c r="R12" i="72" s="1"/>
  <c r="D73" i="72" s="1"/>
  <c r="C12" i="72"/>
  <c r="D12" i="72" s="1"/>
  <c r="Q12" i="72" s="1"/>
  <c r="E11" i="72"/>
  <c r="R11" i="72" s="1"/>
  <c r="D72" i="72" s="1"/>
  <c r="C11" i="72"/>
  <c r="D11" i="72" s="1"/>
  <c r="Q11" i="72" s="1"/>
  <c r="E10" i="72"/>
  <c r="C10" i="72"/>
  <c r="D10" i="72" s="1"/>
  <c r="E9" i="72"/>
  <c r="R9" i="72" s="1"/>
  <c r="C9" i="72"/>
  <c r="D9" i="72" s="1"/>
  <c r="Q9" i="72" s="1"/>
  <c r="E8" i="72"/>
  <c r="C8" i="72"/>
  <c r="D8" i="72" s="1"/>
  <c r="E7" i="72"/>
  <c r="C7" i="72"/>
  <c r="E6" i="72"/>
  <c r="C6" i="72"/>
  <c r="D6" i="72" s="1"/>
  <c r="E5" i="72"/>
  <c r="C5" i="72"/>
  <c r="D5" i="72" s="1"/>
  <c r="E4" i="72"/>
  <c r="C4" i="72"/>
  <c r="D4" i="72" s="1"/>
  <c r="AI17" i="72"/>
  <c r="AJ17" i="72" s="1"/>
  <c r="AI16" i="72"/>
  <c r="AJ16" i="72" s="1"/>
  <c r="AI15" i="72"/>
  <c r="AJ15" i="72" s="1"/>
  <c r="AI14" i="72"/>
  <c r="AJ14" i="72" s="1"/>
  <c r="AI13" i="72"/>
  <c r="AJ13" i="72" s="1"/>
  <c r="AI8" i="72"/>
  <c r="AJ8" i="72" s="1"/>
  <c r="AI7" i="72"/>
  <c r="AJ7" i="72" s="1"/>
  <c r="AI6" i="72"/>
  <c r="AJ6" i="72" s="1"/>
  <c r="AI5" i="72"/>
  <c r="AJ5" i="72" s="1"/>
  <c r="AI4" i="72"/>
  <c r="AJ4" i="72" s="1"/>
  <c r="P13" i="72" l="1"/>
  <c r="P11" i="72"/>
  <c r="C72" i="72" s="1"/>
  <c r="J72" i="72" s="1"/>
  <c r="E18" i="72"/>
  <c r="P17" i="72"/>
  <c r="P9" i="72"/>
  <c r="C70" i="72" s="1"/>
  <c r="J70" i="72" s="1"/>
  <c r="P12" i="72"/>
  <c r="C73" i="72" s="1"/>
  <c r="J73" i="72" s="1"/>
  <c r="P15" i="72"/>
  <c r="D7" i="72"/>
  <c r="D18" i="72"/>
  <c r="C18" i="72"/>
  <c r="O91" i="72" l="1"/>
  <c r="R91" i="72"/>
  <c r="S91" i="72"/>
  <c r="Q91" i="72"/>
  <c r="P91" i="72"/>
  <c r="O88" i="72"/>
  <c r="S88" i="72"/>
  <c r="P88" i="72"/>
  <c r="Q88" i="72"/>
  <c r="R88" i="72"/>
  <c r="R90" i="72"/>
  <c r="S90" i="72"/>
  <c r="Q90" i="72"/>
  <c r="P90" i="72"/>
  <c r="O90" i="72"/>
  <c r="U91" i="72" l="1"/>
  <c r="U88" i="72"/>
  <c r="U90" i="72"/>
  <c r="C35" i="23" l="1"/>
  <c r="D36" i="23" s="1"/>
  <c r="G35" i="23"/>
  <c r="K35" i="23"/>
  <c r="O35" i="23"/>
  <c r="S35" i="23"/>
  <c r="W35" i="23"/>
  <c r="AA35" i="23"/>
  <c r="C36" i="23"/>
  <c r="G36" i="23"/>
  <c r="K36" i="23"/>
  <c r="O36" i="23"/>
  <c r="P36" i="23" s="1"/>
  <c r="S36" i="23"/>
  <c r="W36" i="23"/>
  <c r="X36" i="23" s="1"/>
  <c r="AA36" i="23"/>
  <c r="C37" i="23"/>
  <c r="D38" i="23" s="1"/>
  <c r="G37" i="23"/>
  <c r="K37" i="23"/>
  <c r="L38" i="23" s="1"/>
  <c r="O37" i="23"/>
  <c r="S37" i="23"/>
  <c r="W37" i="23"/>
  <c r="AA37" i="23"/>
  <c r="C38" i="23"/>
  <c r="G38" i="23"/>
  <c r="K38" i="23"/>
  <c r="O38" i="23"/>
  <c r="S38" i="23"/>
  <c r="T38" i="23" s="1"/>
  <c r="W38" i="23"/>
  <c r="X38" i="23" s="1"/>
  <c r="AA38" i="23"/>
  <c r="AB38" i="23" s="1"/>
  <c r="C39" i="23"/>
  <c r="D39" i="23" s="1"/>
  <c r="G39" i="23"/>
  <c r="K39" i="23"/>
  <c r="L40" i="23" s="1"/>
  <c r="O39" i="23"/>
  <c r="S39" i="23"/>
  <c r="T40" i="23" s="1"/>
  <c r="W39" i="23"/>
  <c r="AA39" i="23"/>
  <c r="C40" i="23"/>
  <c r="G40" i="23"/>
  <c r="K40" i="23"/>
  <c r="O40" i="23"/>
  <c r="S40" i="23"/>
  <c r="W40" i="23"/>
  <c r="X40" i="23"/>
  <c r="AA40" i="23"/>
  <c r="AB40" i="23" s="1"/>
  <c r="B40" i="74"/>
  <c r="B39" i="74"/>
  <c r="B48" i="74"/>
  <c r="B49" i="74"/>
  <c r="B50" i="74"/>
  <c r="B51" i="74"/>
  <c r="B52" i="74"/>
  <c r="B37" i="74"/>
  <c r="B38" i="74"/>
  <c r="B60" i="74"/>
  <c r="B61" i="74"/>
  <c r="B64" i="74"/>
  <c r="I19" i="57"/>
  <c r="I18" i="57"/>
  <c r="I20" i="57"/>
  <c r="G8" i="57"/>
  <c r="G9" i="57"/>
  <c r="G10" i="57"/>
  <c r="G11" i="57"/>
  <c r="G11" i="24"/>
  <c r="G12" i="57"/>
  <c r="G13" i="57"/>
  <c r="G14" i="57"/>
  <c r="G9" i="24"/>
  <c r="G12" i="24"/>
  <c r="AH8" i="17"/>
  <c r="AH12" i="17"/>
  <c r="AH50" i="17"/>
  <c r="AH9" i="17"/>
  <c r="AH10" i="17"/>
  <c r="AH53" i="17"/>
  <c r="AH11" i="17"/>
  <c r="AH54" i="17"/>
  <c r="AH13" i="17"/>
  <c r="AH14" i="17"/>
  <c r="AH49" i="17"/>
  <c r="P37" i="23" l="1"/>
  <c r="L37" i="23"/>
  <c r="T36" i="23"/>
  <c r="P38" i="23"/>
  <c r="P40" i="23"/>
  <c r="P39" i="23"/>
  <c r="L36" i="23"/>
  <c r="H36" i="23"/>
  <c r="H40" i="23"/>
  <c r="H39" i="23"/>
  <c r="H37" i="23"/>
  <c r="AB39" i="23"/>
  <c r="AB37" i="23"/>
  <c r="AB36" i="23"/>
  <c r="X39" i="23"/>
  <c r="X37" i="23"/>
  <c r="T39" i="23"/>
  <c r="T37" i="23"/>
  <c r="L39" i="23"/>
  <c r="H38" i="23"/>
  <c r="D37" i="23"/>
  <c r="D40" i="23"/>
  <c r="AH15" i="17"/>
  <c r="AH16" i="17" s="1"/>
  <c r="G7" i="24"/>
  <c r="I26" i="57"/>
  <c r="AH55" i="17"/>
  <c r="I25" i="57"/>
  <c r="AH56" i="17"/>
  <c r="AH57" i="17" s="1"/>
  <c r="AH58" i="17" s="1"/>
  <c r="I24" i="57"/>
  <c r="I23" i="57"/>
  <c r="G13" i="24"/>
  <c r="G8" i="24"/>
  <c r="I22" i="57"/>
  <c r="I21" i="57"/>
  <c r="G7" i="57"/>
  <c r="AH51" i="17"/>
  <c r="AH52" i="17"/>
  <c r="G10" i="24"/>
  <c r="G14" i="24"/>
  <c r="I27" i="57"/>
  <c r="I28" i="57" s="1"/>
  <c r="I29" i="57" s="1"/>
  <c r="I18" i="24"/>
  <c r="I19" i="24"/>
  <c r="I20" i="24" s="1"/>
  <c r="I21" i="24" s="1"/>
  <c r="E4" i="160" l="1"/>
  <c r="C4" i="160"/>
  <c r="D4" i="160"/>
  <c r="B13" i="160"/>
  <c r="AK6" i="57"/>
  <c r="AK7" i="57" s="1"/>
  <c r="Z25" i="57"/>
  <c r="U6" i="57"/>
  <c r="L6" i="57"/>
  <c r="B10" i="74"/>
  <c r="B22" i="74" s="1"/>
  <c r="B4" i="74"/>
  <c r="B5" i="74"/>
  <c r="B6" i="74"/>
  <c r="B18" i="74" s="1"/>
  <c r="B28" i="74" s="1"/>
  <c r="B7" i="74"/>
  <c r="B19" i="74" s="1"/>
  <c r="B29" i="74" s="1"/>
  <c r="B8" i="74"/>
  <c r="B20" i="74" s="1"/>
  <c r="B30" i="74" s="1"/>
  <c r="B9" i="74"/>
  <c r="B3" i="74"/>
  <c r="AK8" i="57" l="1"/>
  <c r="U7" i="57"/>
  <c r="U8" i="57" s="1"/>
  <c r="L7" i="57"/>
  <c r="AK9" i="57" l="1"/>
  <c r="U9" i="57"/>
  <c r="L8" i="57"/>
  <c r="AK10" i="57" l="1"/>
  <c r="L9" i="57"/>
  <c r="U10" i="57"/>
  <c r="AK11" i="57" l="1"/>
  <c r="U11" i="57"/>
  <c r="L10" i="57"/>
  <c r="AK12" i="57" l="1"/>
  <c r="L11" i="57"/>
  <c r="U12" i="57"/>
  <c r="AK13" i="57" l="1"/>
  <c r="L12" i="57"/>
  <c r="U13" i="57"/>
  <c r="AK14" i="57" l="1"/>
  <c r="U14" i="57"/>
  <c r="L13" i="57"/>
  <c r="L14" i="57" l="1"/>
  <c r="AV48" i="17" l="1"/>
  <c r="AK48" i="17"/>
  <c r="AK49" i="17" s="1"/>
  <c r="AK50" i="17" s="1"/>
  <c r="E14" i="155"/>
  <c r="T145" i="156"/>
  <c r="O145" i="156"/>
  <c r="C145" i="156"/>
  <c r="B145" i="156"/>
  <c r="T144" i="156"/>
  <c r="O144" i="156"/>
  <c r="C144" i="156"/>
  <c r="B144" i="156"/>
  <c r="T143" i="156"/>
  <c r="O143" i="156"/>
  <c r="C143" i="156"/>
  <c r="B143" i="156"/>
  <c r="T142" i="156"/>
  <c r="O142" i="156"/>
  <c r="C142" i="156"/>
  <c r="B142" i="156"/>
  <c r="T141" i="156"/>
  <c r="O141" i="156"/>
  <c r="C141" i="156"/>
  <c r="B141" i="156"/>
  <c r="T140" i="156"/>
  <c r="O140" i="156"/>
  <c r="C140" i="156"/>
  <c r="B140" i="156"/>
  <c r="T139" i="156"/>
  <c r="O139" i="156"/>
  <c r="C139" i="156"/>
  <c r="B139" i="156"/>
  <c r="T138" i="156"/>
  <c r="O138" i="156"/>
  <c r="C138" i="156"/>
  <c r="B138" i="156"/>
  <c r="T137" i="156"/>
  <c r="O137" i="156"/>
  <c r="C137" i="156"/>
  <c r="B137" i="156"/>
  <c r="T136" i="156"/>
  <c r="O136" i="156"/>
  <c r="C136" i="156"/>
  <c r="B136" i="156"/>
  <c r="T135" i="156"/>
  <c r="O135" i="156"/>
  <c r="C135" i="156"/>
  <c r="B135" i="156"/>
  <c r="T134" i="156"/>
  <c r="O134" i="156"/>
  <c r="C134" i="156"/>
  <c r="B134" i="156"/>
  <c r="T133" i="156"/>
  <c r="O133" i="156"/>
  <c r="C133" i="156"/>
  <c r="B133" i="156"/>
  <c r="T132" i="156"/>
  <c r="O132" i="156"/>
  <c r="C132" i="156"/>
  <c r="B132" i="156"/>
  <c r="T131" i="156"/>
  <c r="O131" i="156"/>
  <c r="C131" i="156"/>
  <c r="B131" i="156"/>
  <c r="T130" i="156"/>
  <c r="O130" i="156"/>
  <c r="C130" i="156"/>
  <c r="B130" i="156"/>
  <c r="T129" i="156"/>
  <c r="O129" i="156"/>
  <c r="C129" i="156"/>
  <c r="B129" i="156"/>
  <c r="T128" i="156"/>
  <c r="O128" i="156"/>
  <c r="C128" i="156"/>
  <c r="B128" i="156"/>
  <c r="T127" i="156"/>
  <c r="O127" i="156"/>
  <c r="C127" i="156"/>
  <c r="B127" i="156"/>
  <c r="T126" i="156"/>
  <c r="O126" i="156"/>
  <c r="C126" i="156"/>
  <c r="B126" i="156"/>
  <c r="T125" i="156"/>
  <c r="O125" i="156"/>
  <c r="C125" i="156"/>
  <c r="B125" i="156"/>
  <c r="T124" i="156"/>
  <c r="O124" i="156"/>
  <c r="C124" i="156"/>
  <c r="B124" i="156"/>
  <c r="T123" i="156"/>
  <c r="O123" i="156"/>
  <c r="C123" i="156"/>
  <c r="B123" i="156"/>
  <c r="T122" i="156"/>
  <c r="O122" i="156"/>
  <c r="C122" i="156"/>
  <c r="B122" i="156"/>
  <c r="K121" i="156"/>
  <c r="C121" i="156"/>
  <c r="B121" i="156"/>
  <c r="K120" i="156"/>
  <c r="C120" i="156"/>
  <c r="B120" i="156"/>
  <c r="K119" i="156"/>
  <c r="C119" i="156"/>
  <c r="B119" i="156"/>
  <c r="K118" i="156"/>
  <c r="C118" i="156"/>
  <c r="B118" i="156"/>
  <c r="K117" i="156"/>
  <c r="C117" i="156"/>
  <c r="B117" i="156"/>
  <c r="K116" i="156"/>
  <c r="C116" i="156"/>
  <c r="B116" i="156"/>
  <c r="K115" i="156"/>
  <c r="A115" i="156"/>
  <c r="C115" i="156" s="1"/>
  <c r="K114" i="156"/>
  <c r="A114" i="156"/>
  <c r="B114" i="156" s="1"/>
  <c r="K113" i="156"/>
  <c r="A113" i="156"/>
  <c r="K112" i="156"/>
  <c r="A112" i="156"/>
  <c r="B112" i="156" s="1"/>
  <c r="K111" i="156"/>
  <c r="A111" i="156"/>
  <c r="C111" i="156" s="1"/>
  <c r="K110" i="156"/>
  <c r="A110" i="156"/>
  <c r="B110" i="156" s="1"/>
  <c r="K109" i="156"/>
  <c r="A109" i="156"/>
  <c r="K108" i="156"/>
  <c r="A108" i="156"/>
  <c r="B108" i="156" s="1"/>
  <c r="K107" i="156"/>
  <c r="A107" i="156"/>
  <c r="C107" i="156" s="1"/>
  <c r="K106" i="156"/>
  <c r="A106" i="156"/>
  <c r="B106" i="156" s="1"/>
  <c r="K105" i="156"/>
  <c r="A105" i="156"/>
  <c r="K104" i="156"/>
  <c r="A104" i="156"/>
  <c r="C104" i="156" s="1"/>
  <c r="K103" i="156"/>
  <c r="A103" i="156"/>
  <c r="B103" i="156" s="1"/>
  <c r="K102" i="156"/>
  <c r="A102" i="156"/>
  <c r="B102" i="156" s="1"/>
  <c r="K101" i="156"/>
  <c r="A101" i="156"/>
  <c r="B101" i="156" s="1"/>
  <c r="K100" i="156"/>
  <c r="A100" i="156"/>
  <c r="C100" i="156" s="1"/>
  <c r="K99" i="156"/>
  <c r="A99" i="156"/>
  <c r="B99" i="156" s="1"/>
  <c r="K98" i="156"/>
  <c r="A98" i="156"/>
  <c r="B98" i="156" s="1"/>
  <c r="K97" i="156"/>
  <c r="A97" i="156"/>
  <c r="B97" i="156" s="1"/>
  <c r="K96" i="156"/>
  <c r="A96" i="156"/>
  <c r="C96" i="156" s="1"/>
  <c r="K95" i="156"/>
  <c r="A95" i="156"/>
  <c r="K94" i="156"/>
  <c r="A94" i="156"/>
  <c r="K93" i="156"/>
  <c r="A93" i="156"/>
  <c r="B93" i="156" s="1"/>
  <c r="K92" i="156"/>
  <c r="A92" i="156"/>
  <c r="C92" i="156" s="1"/>
  <c r="K91" i="156"/>
  <c r="A91" i="156"/>
  <c r="B91" i="156" s="1"/>
  <c r="K90" i="156"/>
  <c r="A90" i="156"/>
  <c r="B90" i="156" s="1"/>
  <c r="K89" i="156"/>
  <c r="A89" i="156"/>
  <c r="C89" i="156" s="1"/>
  <c r="K88" i="156"/>
  <c r="A88" i="156"/>
  <c r="B88" i="156" s="1"/>
  <c r="K87" i="156"/>
  <c r="A87" i="156"/>
  <c r="C87" i="156" s="1"/>
  <c r="K86" i="156"/>
  <c r="A86" i="156"/>
  <c r="B86" i="156" s="1"/>
  <c r="K85" i="156"/>
  <c r="A85" i="156"/>
  <c r="C85" i="156" s="1"/>
  <c r="K84" i="156"/>
  <c r="A84" i="156"/>
  <c r="C84" i="156" s="1"/>
  <c r="K83" i="156"/>
  <c r="A83" i="156"/>
  <c r="C83" i="156" s="1"/>
  <c r="K82" i="156"/>
  <c r="A82" i="156"/>
  <c r="B82" i="156" s="1"/>
  <c r="K81" i="156"/>
  <c r="A81" i="156"/>
  <c r="B81" i="156" s="1"/>
  <c r="K80" i="156"/>
  <c r="A80" i="156"/>
  <c r="B80" i="156" s="1"/>
  <c r="K79" i="156"/>
  <c r="A79" i="156"/>
  <c r="C79" i="156" s="1"/>
  <c r="K78" i="156"/>
  <c r="A78" i="156"/>
  <c r="B78" i="156" s="1"/>
  <c r="K77" i="156"/>
  <c r="A77" i="156"/>
  <c r="C77" i="156" s="1"/>
  <c r="K76" i="156"/>
  <c r="B76" i="156"/>
  <c r="A76" i="156"/>
  <c r="C76" i="156" s="1"/>
  <c r="K75" i="156"/>
  <c r="A75" i="156"/>
  <c r="B75" i="156" s="1"/>
  <c r="K74" i="156"/>
  <c r="A74" i="156"/>
  <c r="B74" i="156" s="1"/>
  <c r="K73" i="156"/>
  <c r="A73" i="156"/>
  <c r="C73" i="156" s="1"/>
  <c r="K72" i="156"/>
  <c r="A72" i="156"/>
  <c r="B72" i="156" s="1"/>
  <c r="K71" i="156"/>
  <c r="A71" i="156"/>
  <c r="C71" i="156" s="1"/>
  <c r="K70" i="156"/>
  <c r="A70" i="156"/>
  <c r="B70" i="156" s="1"/>
  <c r="K69" i="156"/>
  <c r="A69" i="156"/>
  <c r="C69" i="156" s="1"/>
  <c r="K68" i="156"/>
  <c r="A68" i="156"/>
  <c r="C68" i="156" s="1"/>
  <c r="K67" i="156"/>
  <c r="A67" i="156"/>
  <c r="B67" i="156" s="1"/>
  <c r="K66" i="156"/>
  <c r="A66" i="156"/>
  <c r="B66" i="156" s="1"/>
  <c r="K65" i="156"/>
  <c r="A65" i="156"/>
  <c r="C65" i="156" s="1"/>
  <c r="K64" i="156"/>
  <c r="A64" i="156"/>
  <c r="C64" i="156" s="1"/>
  <c r="K63" i="156"/>
  <c r="A63" i="156"/>
  <c r="C63" i="156" s="1"/>
  <c r="K62" i="156"/>
  <c r="A62" i="156"/>
  <c r="K61" i="156"/>
  <c r="A61" i="156"/>
  <c r="C61" i="156" s="1"/>
  <c r="K60" i="156"/>
  <c r="A60" i="156"/>
  <c r="C60" i="156" s="1"/>
  <c r="K59" i="156"/>
  <c r="A59" i="156"/>
  <c r="B59" i="156" s="1"/>
  <c r="K58" i="156"/>
  <c r="A58" i="156"/>
  <c r="C58" i="156" s="1"/>
  <c r="K57" i="156"/>
  <c r="A57" i="156"/>
  <c r="B57" i="156" s="1"/>
  <c r="K56" i="156"/>
  <c r="A56" i="156"/>
  <c r="C56" i="156" s="1"/>
  <c r="K55" i="156"/>
  <c r="A55" i="156"/>
  <c r="K54" i="156"/>
  <c r="A54" i="156"/>
  <c r="C54" i="156" s="1"/>
  <c r="K53" i="156"/>
  <c r="A53" i="156"/>
  <c r="C53" i="156" s="1"/>
  <c r="K52" i="156"/>
  <c r="A52" i="156"/>
  <c r="C52" i="156" s="1"/>
  <c r="K51" i="156"/>
  <c r="C51" i="156"/>
  <c r="A51" i="156"/>
  <c r="B51" i="156" s="1"/>
  <c r="K50" i="156"/>
  <c r="A50" i="156"/>
  <c r="B50" i="156" s="1"/>
  <c r="L49" i="156"/>
  <c r="K49" i="156"/>
  <c r="J49" i="156"/>
  <c r="A49" i="156"/>
  <c r="B49" i="156" s="1"/>
  <c r="L48" i="156"/>
  <c r="K48" i="156"/>
  <c r="J48" i="156"/>
  <c r="A48" i="156"/>
  <c r="C48" i="156" s="1"/>
  <c r="L47" i="156"/>
  <c r="K47" i="156"/>
  <c r="J47" i="156"/>
  <c r="A47" i="156"/>
  <c r="L46" i="156"/>
  <c r="K46" i="156"/>
  <c r="J46" i="156"/>
  <c r="A46" i="156"/>
  <c r="B46" i="156" s="1"/>
  <c r="L45" i="156"/>
  <c r="K45" i="156"/>
  <c r="J45" i="156"/>
  <c r="A45" i="156"/>
  <c r="C45" i="156" s="1"/>
  <c r="L44" i="156"/>
  <c r="K44" i="156"/>
  <c r="J44" i="156"/>
  <c r="A44" i="156"/>
  <c r="C44" i="156" s="1"/>
  <c r="L43" i="156"/>
  <c r="K43" i="156"/>
  <c r="J43" i="156"/>
  <c r="A43" i="156"/>
  <c r="C43" i="156" s="1"/>
  <c r="L42" i="156"/>
  <c r="K42" i="156"/>
  <c r="J42" i="156"/>
  <c r="A42" i="156"/>
  <c r="C42" i="156" s="1"/>
  <c r="L41" i="156"/>
  <c r="K41" i="156"/>
  <c r="J41" i="156"/>
  <c r="A41" i="156"/>
  <c r="C41" i="156" s="1"/>
  <c r="L40" i="156"/>
  <c r="K40" i="156"/>
  <c r="J40" i="156"/>
  <c r="A40" i="156"/>
  <c r="C40" i="156" s="1"/>
  <c r="L39" i="156"/>
  <c r="K39" i="156"/>
  <c r="J39" i="156"/>
  <c r="A39" i="156"/>
  <c r="B39" i="156" s="1"/>
  <c r="L38" i="156"/>
  <c r="K38" i="156"/>
  <c r="J38" i="156"/>
  <c r="A38" i="156"/>
  <c r="C38" i="156" s="1"/>
  <c r="L37" i="156"/>
  <c r="K37" i="156"/>
  <c r="J37" i="156"/>
  <c r="A37" i="156"/>
  <c r="B37" i="156" s="1"/>
  <c r="L36" i="156"/>
  <c r="K36" i="156"/>
  <c r="J36" i="156"/>
  <c r="A36" i="156"/>
  <c r="B36" i="156" s="1"/>
  <c r="L35" i="156"/>
  <c r="K35" i="156"/>
  <c r="J35" i="156"/>
  <c r="A35" i="156"/>
  <c r="C35" i="156" s="1"/>
  <c r="L34" i="156"/>
  <c r="K34" i="156"/>
  <c r="J34" i="156"/>
  <c r="A34" i="156"/>
  <c r="L33" i="156"/>
  <c r="K33" i="156"/>
  <c r="J33" i="156"/>
  <c r="A33" i="156"/>
  <c r="B33" i="156" s="1"/>
  <c r="L32" i="156"/>
  <c r="K32" i="156"/>
  <c r="J32" i="156"/>
  <c r="A32" i="156"/>
  <c r="C32" i="156" s="1"/>
  <c r="L31" i="156"/>
  <c r="K31" i="156"/>
  <c r="J31" i="156"/>
  <c r="A31" i="156"/>
  <c r="B31" i="156" s="1"/>
  <c r="L30" i="156"/>
  <c r="K30" i="156"/>
  <c r="J30" i="156"/>
  <c r="A30" i="156"/>
  <c r="L29" i="156"/>
  <c r="K29" i="156"/>
  <c r="J29" i="156"/>
  <c r="A29" i="156"/>
  <c r="B29" i="156" s="1"/>
  <c r="L28" i="156"/>
  <c r="K28" i="156"/>
  <c r="J28" i="156"/>
  <c r="A28" i="156"/>
  <c r="C28" i="156" s="1"/>
  <c r="L27" i="156"/>
  <c r="K27" i="156"/>
  <c r="J27" i="156"/>
  <c r="A27" i="156"/>
  <c r="L26" i="156"/>
  <c r="K26" i="156"/>
  <c r="J26" i="156"/>
  <c r="A26" i="156"/>
  <c r="L25" i="156"/>
  <c r="K25" i="156"/>
  <c r="J25" i="156"/>
  <c r="A25" i="156"/>
  <c r="B25" i="156" s="1"/>
  <c r="L24" i="156"/>
  <c r="K24" i="156"/>
  <c r="J24" i="156"/>
  <c r="A24" i="156"/>
  <c r="C24" i="156" s="1"/>
  <c r="L23" i="156"/>
  <c r="K23" i="156"/>
  <c r="J23" i="156"/>
  <c r="A23" i="156"/>
  <c r="B23" i="156" s="1"/>
  <c r="L22" i="156"/>
  <c r="K22" i="156"/>
  <c r="J22" i="156"/>
  <c r="A22" i="156"/>
  <c r="L21" i="156"/>
  <c r="K21" i="156"/>
  <c r="J21" i="156"/>
  <c r="A21" i="156"/>
  <c r="B21" i="156" s="1"/>
  <c r="L20" i="156"/>
  <c r="K20" i="156"/>
  <c r="J20" i="156"/>
  <c r="A20" i="156"/>
  <c r="C20" i="156" s="1"/>
  <c r="L19" i="156"/>
  <c r="K19" i="156"/>
  <c r="J19" i="156"/>
  <c r="A19" i="156"/>
  <c r="B19" i="156" s="1"/>
  <c r="L18" i="156"/>
  <c r="K18" i="156"/>
  <c r="J18" i="156"/>
  <c r="A18" i="156"/>
  <c r="L17" i="156"/>
  <c r="K17" i="156"/>
  <c r="J17" i="156"/>
  <c r="A17" i="156"/>
  <c r="B17" i="156" s="1"/>
  <c r="L16" i="156"/>
  <c r="K16" i="156"/>
  <c r="J16" i="156"/>
  <c r="A16" i="156"/>
  <c r="C16" i="156" s="1"/>
  <c r="L15" i="156"/>
  <c r="K15" i="156"/>
  <c r="J15" i="156"/>
  <c r="A15" i="156"/>
  <c r="C15" i="156" s="1"/>
  <c r="L14" i="156"/>
  <c r="K14" i="156"/>
  <c r="J14" i="156"/>
  <c r="A14" i="156"/>
  <c r="L13" i="156"/>
  <c r="K13" i="156"/>
  <c r="J13" i="156"/>
  <c r="A13" i="156"/>
  <c r="B13" i="156" s="1"/>
  <c r="L12" i="156"/>
  <c r="K12" i="156"/>
  <c r="J12" i="156"/>
  <c r="A12" i="156"/>
  <c r="L11" i="156"/>
  <c r="K11" i="156"/>
  <c r="J11" i="156"/>
  <c r="A11" i="156"/>
  <c r="C11" i="156" s="1"/>
  <c r="L10" i="156"/>
  <c r="K10" i="156"/>
  <c r="J10" i="156"/>
  <c r="A10" i="156"/>
  <c r="L9" i="156"/>
  <c r="K9" i="156"/>
  <c r="J9" i="156"/>
  <c r="A9" i="156"/>
  <c r="B9" i="156" s="1"/>
  <c r="L8" i="156"/>
  <c r="K8" i="156"/>
  <c r="J8" i="156"/>
  <c r="A8" i="156"/>
  <c r="C8" i="156" s="1"/>
  <c r="L7" i="156"/>
  <c r="K7" i="156"/>
  <c r="J7" i="156"/>
  <c r="A7" i="156"/>
  <c r="C7" i="156" s="1"/>
  <c r="L6" i="156"/>
  <c r="K6" i="156"/>
  <c r="J6" i="156"/>
  <c r="A6" i="156"/>
  <c r="L5" i="156"/>
  <c r="K5" i="156"/>
  <c r="J5" i="156"/>
  <c r="A5" i="156"/>
  <c r="B5" i="156" s="1"/>
  <c r="L4" i="156"/>
  <c r="K4" i="156"/>
  <c r="J4" i="156"/>
  <c r="A4" i="156"/>
  <c r="B4" i="156" s="1"/>
  <c r="L3" i="156"/>
  <c r="K3" i="156"/>
  <c r="J3" i="156"/>
  <c r="A3" i="156"/>
  <c r="C3" i="156" s="1"/>
  <c r="L2" i="156"/>
  <c r="K2" i="156"/>
  <c r="J2" i="156"/>
  <c r="I2" i="156"/>
  <c r="A2" i="156"/>
  <c r="S1" i="156"/>
  <c r="M1" i="156"/>
  <c r="V1" i="156" s="1"/>
  <c r="L1" i="156"/>
  <c r="U1" i="156" s="1"/>
  <c r="K1" i="156"/>
  <c r="T1" i="156" s="1"/>
  <c r="J1" i="156"/>
  <c r="I1" i="156"/>
  <c r="R1" i="156" s="1"/>
  <c r="H1" i="156"/>
  <c r="G1" i="156"/>
  <c r="D1" i="156"/>
  <c r="A1" i="156"/>
  <c r="K145" i="155"/>
  <c r="C145" i="155"/>
  <c r="B145" i="155"/>
  <c r="K144" i="155"/>
  <c r="C144" i="155"/>
  <c r="B144" i="155"/>
  <c r="K143" i="155"/>
  <c r="C143" i="155"/>
  <c r="B143" i="155"/>
  <c r="K142" i="155"/>
  <c r="C142" i="155"/>
  <c r="B142" i="155"/>
  <c r="K141" i="155"/>
  <c r="C141" i="155"/>
  <c r="B141" i="155"/>
  <c r="K140" i="155"/>
  <c r="C140" i="155"/>
  <c r="B140" i="155"/>
  <c r="K139" i="155"/>
  <c r="C139" i="155"/>
  <c r="B139" i="155"/>
  <c r="K138" i="155"/>
  <c r="C138" i="155"/>
  <c r="B138" i="155"/>
  <c r="K137" i="155"/>
  <c r="C137" i="155"/>
  <c r="B137" i="155"/>
  <c r="K136" i="155"/>
  <c r="C136" i="155"/>
  <c r="B136" i="155"/>
  <c r="K135" i="155"/>
  <c r="C135" i="155"/>
  <c r="B135" i="155"/>
  <c r="K134" i="155"/>
  <c r="C134" i="155"/>
  <c r="B134" i="155"/>
  <c r="K133" i="155"/>
  <c r="C133" i="155"/>
  <c r="B133" i="155"/>
  <c r="K132" i="155"/>
  <c r="C132" i="155"/>
  <c r="B132" i="155"/>
  <c r="K131" i="155"/>
  <c r="C131" i="155"/>
  <c r="B131" i="155"/>
  <c r="K130" i="155"/>
  <c r="C130" i="155"/>
  <c r="B130" i="155"/>
  <c r="K129" i="155"/>
  <c r="C129" i="155"/>
  <c r="B129" i="155"/>
  <c r="K128" i="155"/>
  <c r="C128" i="155"/>
  <c r="B128" i="155"/>
  <c r="K127" i="155"/>
  <c r="C127" i="155"/>
  <c r="B127" i="155"/>
  <c r="K126" i="155"/>
  <c r="C126" i="155"/>
  <c r="B126" i="155"/>
  <c r="K125" i="155"/>
  <c r="C125" i="155"/>
  <c r="B125" i="155"/>
  <c r="K124" i="155"/>
  <c r="C124" i="155"/>
  <c r="B124" i="155"/>
  <c r="K123" i="155"/>
  <c r="C123" i="155"/>
  <c r="B123" i="155"/>
  <c r="K122" i="155"/>
  <c r="C122" i="155"/>
  <c r="B122" i="155"/>
  <c r="G121" i="155"/>
  <c r="C121" i="155"/>
  <c r="B121" i="155"/>
  <c r="G120" i="155"/>
  <c r="G132" i="155" s="1"/>
  <c r="C120" i="155"/>
  <c r="B120" i="155"/>
  <c r="G119" i="155"/>
  <c r="G131" i="155" s="1"/>
  <c r="C119" i="155"/>
  <c r="B119" i="155"/>
  <c r="G118" i="155"/>
  <c r="C118" i="155"/>
  <c r="B118" i="155"/>
  <c r="G117" i="155"/>
  <c r="G129" i="155" s="1"/>
  <c r="C117" i="155"/>
  <c r="B117" i="155"/>
  <c r="G116" i="155"/>
  <c r="G128" i="155" s="1"/>
  <c r="C116" i="155"/>
  <c r="B116" i="155"/>
  <c r="G115" i="155"/>
  <c r="G127" i="155" s="1"/>
  <c r="A115" i="155"/>
  <c r="C115" i="155" s="1"/>
  <c r="G114" i="155"/>
  <c r="A114" i="155"/>
  <c r="C114" i="155" s="1"/>
  <c r="G113" i="155"/>
  <c r="G125" i="155" s="1"/>
  <c r="A113" i="155"/>
  <c r="C113" i="155" s="1"/>
  <c r="G112" i="155"/>
  <c r="G124" i="155" s="1"/>
  <c r="A112" i="155"/>
  <c r="B112" i="155" s="1"/>
  <c r="G111" i="155"/>
  <c r="A111" i="155"/>
  <c r="G110" i="155"/>
  <c r="G122" i="155" s="1"/>
  <c r="G134" i="155" s="1"/>
  <c r="M134" i="155" s="1"/>
  <c r="A110" i="155"/>
  <c r="C110" i="155" s="1"/>
  <c r="G109" i="155"/>
  <c r="A109" i="155"/>
  <c r="C109" i="155" s="1"/>
  <c r="G108" i="155"/>
  <c r="A108" i="155"/>
  <c r="C108" i="155" s="1"/>
  <c r="G107" i="155"/>
  <c r="A107" i="155"/>
  <c r="B107" i="155" s="1"/>
  <c r="G106" i="155"/>
  <c r="A106" i="155"/>
  <c r="G105" i="155"/>
  <c r="A105" i="155"/>
  <c r="B105" i="155" s="1"/>
  <c r="G104" i="155"/>
  <c r="A104" i="155"/>
  <c r="C104" i="155" s="1"/>
  <c r="G103" i="155"/>
  <c r="A103" i="155"/>
  <c r="C103" i="155" s="1"/>
  <c r="G102" i="155"/>
  <c r="A102" i="155"/>
  <c r="G101" i="155"/>
  <c r="A101" i="155"/>
  <c r="C101" i="155" s="1"/>
  <c r="G100" i="155"/>
  <c r="A100" i="155"/>
  <c r="C100" i="155" s="1"/>
  <c r="G99" i="155"/>
  <c r="A99" i="155"/>
  <c r="B99" i="155" s="1"/>
  <c r="G98" i="155"/>
  <c r="A98" i="155"/>
  <c r="C98" i="155" s="1"/>
  <c r="G97" i="155"/>
  <c r="A97" i="155"/>
  <c r="C97" i="155" s="1"/>
  <c r="G96" i="155"/>
  <c r="A96" i="155"/>
  <c r="G95" i="155"/>
  <c r="A95" i="155"/>
  <c r="C95" i="155" s="1"/>
  <c r="G94" i="155"/>
  <c r="A94" i="155"/>
  <c r="B94" i="155" s="1"/>
  <c r="G93" i="155"/>
  <c r="A93" i="155"/>
  <c r="C93" i="155" s="1"/>
  <c r="G92" i="155"/>
  <c r="A92" i="155"/>
  <c r="C92" i="155" s="1"/>
  <c r="G91" i="155"/>
  <c r="A91" i="155"/>
  <c r="B91" i="155" s="1"/>
  <c r="G90" i="155"/>
  <c r="A90" i="155"/>
  <c r="C90" i="155" s="1"/>
  <c r="G89" i="155"/>
  <c r="A89" i="155"/>
  <c r="C89" i="155" s="1"/>
  <c r="G88" i="155"/>
  <c r="A88" i="155"/>
  <c r="C88" i="155" s="1"/>
  <c r="G87" i="155"/>
  <c r="A87" i="155"/>
  <c r="C87" i="155" s="1"/>
  <c r="G86" i="155"/>
  <c r="A86" i="155"/>
  <c r="C86" i="155" s="1"/>
  <c r="G85" i="155"/>
  <c r="A85" i="155"/>
  <c r="C85" i="155" s="1"/>
  <c r="G84" i="155"/>
  <c r="A84" i="155"/>
  <c r="B84" i="155" s="1"/>
  <c r="G83" i="155"/>
  <c r="A83" i="155"/>
  <c r="C83" i="155" s="1"/>
  <c r="G82" i="155"/>
  <c r="A82" i="155"/>
  <c r="G81" i="155"/>
  <c r="A81" i="155"/>
  <c r="C81" i="155" s="1"/>
  <c r="G80" i="155"/>
  <c r="A80" i="155"/>
  <c r="C80" i="155" s="1"/>
  <c r="G79" i="155"/>
  <c r="A79" i="155"/>
  <c r="C79" i="155" s="1"/>
  <c r="G78" i="155"/>
  <c r="A78" i="155"/>
  <c r="C78" i="155" s="1"/>
  <c r="G77" i="155"/>
  <c r="A77" i="155"/>
  <c r="C77" i="155" s="1"/>
  <c r="G76" i="155"/>
  <c r="A76" i="155"/>
  <c r="B76" i="155" s="1"/>
  <c r="G75" i="155"/>
  <c r="A75" i="155"/>
  <c r="C75" i="155" s="1"/>
  <c r="G74" i="155"/>
  <c r="A74" i="155"/>
  <c r="G73" i="155"/>
  <c r="A73" i="155"/>
  <c r="C73" i="155" s="1"/>
  <c r="G72" i="155"/>
  <c r="A72" i="155"/>
  <c r="B72" i="155" s="1"/>
  <c r="G71" i="155"/>
  <c r="A71" i="155"/>
  <c r="C71" i="155" s="1"/>
  <c r="G70" i="155"/>
  <c r="A70" i="155"/>
  <c r="C70" i="155" s="1"/>
  <c r="G69" i="155"/>
  <c r="A69" i="155"/>
  <c r="B69" i="155" s="1"/>
  <c r="G68" i="155"/>
  <c r="A68" i="155"/>
  <c r="C68" i="155" s="1"/>
  <c r="G67" i="155"/>
  <c r="A67" i="155"/>
  <c r="C67" i="155" s="1"/>
  <c r="G66" i="155"/>
  <c r="A66" i="155"/>
  <c r="G65" i="155"/>
  <c r="A65" i="155"/>
  <c r="C65" i="155" s="1"/>
  <c r="G64" i="155"/>
  <c r="A64" i="155"/>
  <c r="C64" i="155" s="1"/>
  <c r="G63" i="155"/>
  <c r="A63" i="155"/>
  <c r="C63" i="155" s="1"/>
  <c r="G62" i="155"/>
  <c r="A62" i="155"/>
  <c r="B62" i="155" s="1"/>
  <c r="G61" i="155"/>
  <c r="A61" i="155"/>
  <c r="C61" i="155" s="1"/>
  <c r="G60" i="155"/>
  <c r="A60" i="155"/>
  <c r="C60" i="155" s="1"/>
  <c r="G59" i="155"/>
  <c r="A59" i="155"/>
  <c r="C59" i="155" s="1"/>
  <c r="G58" i="155"/>
  <c r="A58" i="155"/>
  <c r="G57" i="155"/>
  <c r="A57" i="155"/>
  <c r="C57" i="155" s="1"/>
  <c r="G56" i="155"/>
  <c r="A56" i="155"/>
  <c r="C56" i="155" s="1"/>
  <c r="G55" i="155"/>
  <c r="A55" i="155"/>
  <c r="B55" i="155" s="1"/>
  <c r="G54" i="155"/>
  <c r="A54" i="155"/>
  <c r="C54" i="155" s="1"/>
  <c r="G53" i="155"/>
  <c r="A53" i="155"/>
  <c r="C53" i="155" s="1"/>
  <c r="G52" i="155"/>
  <c r="A52" i="155"/>
  <c r="B52" i="155" s="1"/>
  <c r="G51" i="155"/>
  <c r="A51" i="155"/>
  <c r="G50" i="155"/>
  <c r="A50" i="155"/>
  <c r="I49" i="155"/>
  <c r="G49" i="155"/>
  <c r="A49" i="155"/>
  <c r="C49" i="155" s="1"/>
  <c r="I48" i="155"/>
  <c r="G48" i="155"/>
  <c r="A48" i="155"/>
  <c r="C48" i="155" s="1"/>
  <c r="I47" i="155"/>
  <c r="G47" i="155"/>
  <c r="A47" i="155"/>
  <c r="C47" i="155" s="1"/>
  <c r="I46" i="155"/>
  <c r="G46" i="155"/>
  <c r="A46" i="155"/>
  <c r="C46" i="155" s="1"/>
  <c r="I45" i="155"/>
  <c r="G45" i="155"/>
  <c r="A45" i="155"/>
  <c r="C45" i="155" s="1"/>
  <c r="I44" i="155"/>
  <c r="G44" i="155"/>
  <c r="A44" i="155"/>
  <c r="C44" i="155" s="1"/>
  <c r="I43" i="155"/>
  <c r="G43" i="155"/>
  <c r="A43" i="155"/>
  <c r="B43" i="155" s="1"/>
  <c r="I42" i="155"/>
  <c r="G42" i="155"/>
  <c r="A42" i="155"/>
  <c r="I41" i="155"/>
  <c r="G41" i="155"/>
  <c r="A41" i="155"/>
  <c r="C41" i="155" s="1"/>
  <c r="I40" i="155"/>
  <c r="G40" i="155"/>
  <c r="A40" i="155"/>
  <c r="C40" i="155" s="1"/>
  <c r="I39" i="155"/>
  <c r="G39" i="155"/>
  <c r="A39" i="155"/>
  <c r="B39" i="155" s="1"/>
  <c r="I38" i="155"/>
  <c r="G38" i="155"/>
  <c r="A38" i="155"/>
  <c r="C38" i="155" s="1"/>
  <c r="I37" i="155"/>
  <c r="G37" i="155"/>
  <c r="A37" i="155"/>
  <c r="I36" i="155"/>
  <c r="G36" i="155"/>
  <c r="A36" i="155"/>
  <c r="C36" i="155" s="1"/>
  <c r="I35" i="155"/>
  <c r="G35" i="155"/>
  <c r="A35" i="155"/>
  <c r="C35" i="155" s="1"/>
  <c r="I34" i="155"/>
  <c r="G34" i="155"/>
  <c r="A34" i="155"/>
  <c r="I33" i="155"/>
  <c r="G33" i="155"/>
  <c r="A33" i="155"/>
  <c r="C33" i="155" s="1"/>
  <c r="I32" i="155"/>
  <c r="G32" i="155"/>
  <c r="A32" i="155"/>
  <c r="C32" i="155" s="1"/>
  <c r="I31" i="155"/>
  <c r="G31" i="155"/>
  <c r="A31" i="155"/>
  <c r="C31" i="155" s="1"/>
  <c r="I30" i="155"/>
  <c r="G30" i="155"/>
  <c r="A30" i="155"/>
  <c r="B30" i="155" s="1"/>
  <c r="I29" i="155"/>
  <c r="G29" i="155"/>
  <c r="A29" i="155"/>
  <c r="C29" i="155" s="1"/>
  <c r="I28" i="155"/>
  <c r="G28" i="155"/>
  <c r="A28" i="155"/>
  <c r="C28" i="155" s="1"/>
  <c r="I27" i="155"/>
  <c r="G27" i="155"/>
  <c r="A27" i="155"/>
  <c r="C27" i="155" s="1"/>
  <c r="I26" i="155"/>
  <c r="G26" i="155"/>
  <c r="A26" i="155"/>
  <c r="I25" i="155"/>
  <c r="G25" i="155"/>
  <c r="A25" i="155"/>
  <c r="B25" i="155" s="1"/>
  <c r="I24" i="155"/>
  <c r="G24" i="155"/>
  <c r="A24" i="155"/>
  <c r="C24" i="155" s="1"/>
  <c r="I23" i="155"/>
  <c r="G23" i="155"/>
  <c r="A23" i="155"/>
  <c r="C23" i="155" s="1"/>
  <c r="I22" i="155"/>
  <c r="G22" i="155"/>
  <c r="A22" i="155"/>
  <c r="C22" i="155" s="1"/>
  <c r="I21" i="155"/>
  <c r="G21" i="155"/>
  <c r="A21" i="155"/>
  <c r="C21" i="155" s="1"/>
  <c r="I20" i="155"/>
  <c r="G20" i="155"/>
  <c r="A20" i="155"/>
  <c r="C20" i="155" s="1"/>
  <c r="I19" i="155"/>
  <c r="G19" i="155"/>
  <c r="A19" i="155"/>
  <c r="C19" i="155" s="1"/>
  <c r="I18" i="155"/>
  <c r="G18" i="155"/>
  <c r="A18" i="155"/>
  <c r="C18" i="155" s="1"/>
  <c r="I17" i="155"/>
  <c r="G17" i="155"/>
  <c r="A17" i="155"/>
  <c r="C17" i="155" s="1"/>
  <c r="I16" i="155"/>
  <c r="G16" i="155"/>
  <c r="A16" i="155"/>
  <c r="C16" i="155" s="1"/>
  <c r="I15" i="155"/>
  <c r="G15" i="155"/>
  <c r="A15" i="155"/>
  <c r="C15" i="155" s="1"/>
  <c r="I14" i="155"/>
  <c r="G14" i="155"/>
  <c r="A14" i="155"/>
  <c r="C14" i="155" s="1"/>
  <c r="I13" i="155"/>
  <c r="G13" i="155"/>
  <c r="A13" i="155"/>
  <c r="C13" i="155" s="1"/>
  <c r="I12" i="155"/>
  <c r="G12" i="155"/>
  <c r="A12" i="155"/>
  <c r="B12" i="155" s="1"/>
  <c r="I11" i="155"/>
  <c r="G11" i="155"/>
  <c r="A11" i="155"/>
  <c r="B11" i="155" s="1"/>
  <c r="I10" i="155"/>
  <c r="G10" i="155"/>
  <c r="A10" i="155"/>
  <c r="C10" i="155" s="1"/>
  <c r="I9" i="155"/>
  <c r="G9" i="155"/>
  <c r="A9" i="155"/>
  <c r="C9" i="155" s="1"/>
  <c r="I8" i="155"/>
  <c r="G8" i="155"/>
  <c r="A8" i="155"/>
  <c r="C8" i="155" s="1"/>
  <c r="I7" i="155"/>
  <c r="G7" i="155"/>
  <c r="A7" i="155"/>
  <c r="B7" i="155" s="1"/>
  <c r="I6" i="155"/>
  <c r="G6" i="155"/>
  <c r="A6" i="155"/>
  <c r="C6" i="155" s="1"/>
  <c r="I5" i="155"/>
  <c r="G5" i="155"/>
  <c r="A5" i="155"/>
  <c r="C5" i="155" s="1"/>
  <c r="I4" i="155"/>
  <c r="G4" i="155"/>
  <c r="A4" i="155"/>
  <c r="C4" i="155" s="1"/>
  <c r="I3" i="155"/>
  <c r="G3" i="155"/>
  <c r="A3" i="155"/>
  <c r="B3" i="155" s="1"/>
  <c r="I2" i="155"/>
  <c r="G2" i="155"/>
  <c r="A2" i="155"/>
  <c r="C2" i="155" s="1"/>
  <c r="I1" i="155"/>
  <c r="O1" i="155" s="1"/>
  <c r="H1" i="155"/>
  <c r="N1" i="155" s="1"/>
  <c r="G1" i="155"/>
  <c r="M1" i="155" s="1"/>
  <c r="F1" i="155"/>
  <c r="L1" i="155" s="1"/>
  <c r="D1" i="155"/>
  <c r="A1" i="155"/>
  <c r="J1" i="77"/>
  <c r="I3" i="77"/>
  <c r="I4" i="77"/>
  <c r="I5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I81" i="77"/>
  <c r="I82" i="77"/>
  <c r="I83" i="77"/>
  <c r="I84" i="77"/>
  <c r="I85" i="77"/>
  <c r="I86" i="77"/>
  <c r="I87" i="77"/>
  <c r="I88" i="77"/>
  <c r="I89" i="77"/>
  <c r="I90" i="77"/>
  <c r="I91" i="77"/>
  <c r="I92" i="77"/>
  <c r="I93" i="77"/>
  <c r="I94" i="77"/>
  <c r="I95" i="77"/>
  <c r="I96" i="77"/>
  <c r="I97" i="77"/>
  <c r="I98" i="77"/>
  <c r="I99" i="77"/>
  <c r="I100" i="77"/>
  <c r="I101" i="77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I122" i="77"/>
  <c r="I123" i="77"/>
  <c r="I124" i="77"/>
  <c r="I125" i="77"/>
  <c r="I126" i="77"/>
  <c r="I127" i="77"/>
  <c r="I128" i="77"/>
  <c r="I129" i="77"/>
  <c r="I130" i="77"/>
  <c r="I131" i="77"/>
  <c r="I132" i="77"/>
  <c r="I133" i="77"/>
  <c r="I134" i="77"/>
  <c r="I135" i="77"/>
  <c r="I136" i="77"/>
  <c r="I137" i="77"/>
  <c r="I138" i="77"/>
  <c r="I139" i="77"/>
  <c r="I140" i="77"/>
  <c r="I141" i="77"/>
  <c r="I142" i="77"/>
  <c r="I143" i="77"/>
  <c r="I144" i="77"/>
  <c r="I145" i="77"/>
  <c r="I2" i="77"/>
  <c r="I1" i="77"/>
  <c r="G1" i="77"/>
  <c r="E1" i="77" s="1"/>
  <c r="H1" i="77"/>
  <c r="K1" i="76"/>
  <c r="J3" i="76"/>
  <c r="J4" i="76"/>
  <c r="J5" i="76"/>
  <c r="J6" i="76"/>
  <c r="J7" i="76"/>
  <c r="J8" i="76"/>
  <c r="J9" i="76"/>
  <c r="J10" i="76"/>
  <c r="J11" i="76"/>
  <c r="J12" i="76"/>
  <c r="J13" i="76"/>
  <c r="J14" i="76"/>
  <c r="J15" i="76"/>
  <c r="J16" i="76"/>
  <c r="J17" i="76"/>
  <c r="J18" i="76"/>
  <c r="J19" i="76"/>
  <c r="J20" i="76"/>
  <c r="J21" i="76"/>
  <c r="J22" i="76"/>
  <c r="J23" i="76"/>
  <c r="J24" i="76"/>
  <c r="J25" i="76"/>
  <c r="J26" i="76"/>
  <c r="J27" i="76"/>
  <c r="J28" i="76"/>
  <c r="J29" i="76"/>
  <c r="J30" i="76"/>
  <c r="J31" i="76"/>
  <c r="J32" i="76"/>
  <c r="J33" i="76"/>
  <c r="J34" i="76"/>
  <c r="J35" i="76"/>
  <c r="J36" i="76"/>
  <c r="J37" i="76"/>
  <c r="J38" i="76"/>
  <c r="J39" i="76"/>
  <c r="J40" i="76"/>
  <c r="J41" i="76"/>
  <c r="J42" i="76"/>
  <c r="J43" i="76"/>
  <c r="J44" i="76"/>
  <c r="J45" i="76"/>
  <c r="J46" i="76"/>
  <c r="J47" i="76"/>
  <c r="J48" i="76"/>
  <c r="J49" i="76"/>
  <c r="J2" i="76"/>
  <c r="J1" i="76"/>
  <c r="I3" i="76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103" i="76"/>
  <c r="I104" i="76"/>
  <c r="I105" i="76"/>
  <c r="I106" i="76"/>
  <c r="I107" i="76"/>
  <c r="I108" i="76"/>
  <c r="I109" i="76"/>
  <c r="I110" i="76"/>
  <c r="I111" i="76"/>
  <c r="I112" i="76"/>
  <c r="I113" i="76"/>
  <c r="I114" i="76"/>
  <c r="I115" i="76"/>
  <c r="I116" i="76"/>
  <c r="I117" i="76"/>
  <c r="I118" i="76"/>
  <c r="I119" i="76"/>
  <c r="I120" i="76"/>
  <c r="I121" i="76"/>
  <c r="I122" i="76"/>
  <c r="I123" i="76"/>
  <c r="I124" i="76"/>
  <c r="I125" i="76"/>
  <c r="I126" i="76"/>
  <c r="I127" i="76"/>
  <c r="I128" i="76"/>
  <c r="I129" i="76"/>
  <c r="I130" i="76"/>
  <c r="I131" i="76"/>
  <c r="I132" i="76"/>
  <c r="I133" i="76"/>
  <c r="I134" i="76"/>
  <c r="I135" i="76"/>
  <c r="I136" i="76"/>
  <c r="I137" i="76"/>
  <c r="I138" i="76"/>
  <c r="I139" i="76"/>
  <c r="I140" i="76"/>
  <c r="I141" i="76"/>
  <c r="I142" i="76"/>
  <c r="I143" i="76"/>
  <c r="I144" i="76"/>
  <c r="I145" i="76"/>
  <c r="I2" i="76"/>
  <c r="I1" i="76"/>
  <c r="G1" i="76"/>
  <c r="G1" i="152"/>
  <c r="G1" i="151"/>
  <c r="I4" i="36"/>
  <c r="P4" i="36" s="1"/>
  <c r="I5" i="36"/>
  <c r="P5" i="36" s="1"/>
  <c r="I6" i="36"/>
  <c r="P6" i="36" s="1"/>
  <c r="I7" i="36"/>
  <c r="P7" i="36" s="1"/>
  <c r="I8" i="36"/>
  <c r="P8" i="36" s="1"/>
  <c r="I9" i="36"/>
  <c r="P9" i="36" s="1"/>
  <c r="I10" i="36"/>
  <c r="P10" i="36" s="1"/>
  <c r="I11" i="36"/>
  <c r="P11" i="36" s="1"/>
  <c r="I12" i="36"/>
  <c r="P12" i="36" s="1"/>
  <c r="I13" i="36"/>
  <c r="P13" i="36" s="1"/>
  <c r="I14" i="36"/>
  <c r="P14" i="36" s="1"/>
  <c r="I15" i="36"/>
  <c r="P15" i="36" s="1"/>
  <c r="I16" i="36"/>
  <c r="P16" i="36" s="1"/>
  <c r="I17" i="36"/>
  <c r="P17" i="36" s="1"/>
  <c r="I18" i="36"/>
  <c r="P18" i="36" s="1"/>
  <c r="I19" i="36"/>
  <c r="P19" i="36" s="1"/>
  <c r="I20" i="36"/>
  <c r="P20" i="36" s="1"/>
  <c r="I21" i="36"/>
  <c r="P21" i="36" s="1"/>
  <c r="I22" i="36"/>
  <c r="P22" i="36" s="1"/>
  <c r="I23" i="36"/>
  <c r="P23" i="36" s="1"/>
  <c r="I24" i="36"/>
  <c r="P24" i="36" s="1"/>
  <c r="I25" i="36"/>
  <c r="P25" i="36" s="1"/>
  <c r="I26" i="36"/>
  <c r="P26" i="36" s="1"/>
  <c r="I27" i="36"/>
  <c r="P27" i="36" s="1"/>
  <c r="I28" i="36"/>
  <c r="P28" i="36" s="1"/>
  <c r="I29" i="36"/>
  <c r="P29" i="36" s="1"/>
  <c r="I30" i="36"/>
  <c r="P30" i="36" s="1"/>
  <c r="I31" i="36"/>
  <c r="P31" i="36" s="1"/>
  <c r="I32" i="36"/>
  <c r="P32" i="36" s="1"/>
  <c r="I33" i="36"/>
  <c r="P33" i="36" s="1"/>
  <c r="I34" i="36"/>
  <c r="P34" i="36" s="1"/>
  <c r="I35" i="36"/>
  <c r="P35" i="36" s="1"/>
  <c r="I36" i="36"/>
  <c r="P36" i="36" s="1"/>
  <c r="I37" i="36"/>
  <c r="P37" i="36" s="1"/>
  <c r="I38" i="36"/>
  <c r="P38" i="36" s="1"/>
  <c r="I39" i="36"/>
  <c r="P39" i="36" s="1"/>
  <c r="I40" i="36"/>
  <c r="P40" i="36" s="1"/>
  <c r="I41" i="36"/>
  <c r="P41" i="36" s="1"/>
  <c r="I42" i="36"/>
  <c r="P42" i="36" s="1"/>
  <c r="I43" i="36"/>
  <c r="P43" i="36" s="1"/>
  <c r="I44" i="36"/>
  <c r="P44" i="36" s="1"/>
  <c r="I45" i="36"/>
  <c r="P45" i="36" s="1"/>
  <c r="I46" i="36"/>
  <c r="P46" i="36" s="1"/>
  <c r="I47" i="36"/>
  <c r="P47" i="36" s="1"/>
  <c r="I48" i="36"/>
  <c r="P48" i="36" s="1"/>
  <c r="I49" i="36"/>
  <c r="P49" i="36" s="1"/>
  <c r="I2" i="36"/>
  <c r="P2" i="36" s="1"/>
  <c r="I3" i="36"/>
  <c r="P3" i="36" s="1"/>
  <c r="I1" i="36"/>
  <c r="P1" i="36" s="1"/>
  <c r="H1" i="36"/>
  <c r="O1" i="36" s="1"/>
  <c r="G1" i="36"/>
  <c r="F1" i="36"/>
  <c r="E1" i="36"/>
  <c r="D1" i="36"/>
  <c r="E1" i="32"/>
  <c r="I4" i="32"/>
  <c r="P4" i="32" s="1"/>
  <c r="I5" i="32"/>
  <c r="P5" i="32" s="1"/>
  <c r="I6" i="32"/>
  <c r="P6" i="32" s="1"/>
  <c r="I7" i="32"/>
  <c r="P7" i="32" s="1"/>
  <c r="I8" i="32"/>
  <c r="P8" i="32" s="1"/>
  <c r="I9" i="32"/>
  <c r="P9" i="32" s="1"/>
  <c r="I10" i="32"/>
  <c r="P10" i="32" s="1"/>
  <c r="I11" i="32"/>
  <c r="P11" i="32" s="1"/>
  <c r="I12" i="32"/>
  <c r="P12" i="32" s="1"/>
  <c r="I13" i="32"/>
  <c r="P13" i="32" s="1"/>
  <c r="I14" i="32"/>
  <c r="P14" i="32" s="1"/>
  <c r="I15" i="32"/>
  <c r="P15" i="32" s="1"/>
  <c r="I16" i="32"/>
  <c r="P16" i="32" s="1"/>
  <c r="I17" i="32"/>
  <c r="P17" i="32" s="1"/>
  <c r="I18" i="32"/>
  <c r="P18" i="32" s="1"/>
  <c r="I19" i="32"/>
  <c r="P19" i="32" s="1"/>
  <c r="I20" i="32"/>
  <c r="P20" i="32" s="1"/>
  <c r="I21" i="32"/>
  <c r="P21" i="32" s="1"/>
  <c r="I22" i="32"/>
  <c r="P22" i="32" s="1"/>
  <c r="I23" i="32"/>
  <c r="P23" i="32" s="1"/>
  <c r="I24" i="32"/>
  <c r="P24" i="32" s="1"/>
  <c r="I25" i="32"/>
  <c r="P25" i="32" s="1"/>
  <c r="I26" i="32"/>
  <c r="P26" i="32" s="1"/>
  <c r="I27" i="32"/>
  <c r="P27" i="32" s="1"/>
  <c r="I28" i="32"/>
  <c r="P28" i="32" s="1"/>
  <c r="I29" i="32"/>
  <c r="P29" i="32" s="1"/>
  <c r="I30" i="32"/>
  <c r="P30" i="32" s="1"/>
  <c r="I31" i="32"/>
  <c r="P31" i="32" s="1"/>
  <c r="I32" i="32"/>
  <c r="P32" i="32" s="1"/>
  <c r="I33" i="32"/>
  <c r="P33" i="32" s="1"/>
  <c r="I34" i="32"/>
  <c r="P34" i="32" s="1"/>
  <c r="I35" i="32"/>
  <c r="P35" i="32" s="1"/>
  <c r="I36" i="32"/>
  <c r="P36" i="32" s="1"/>
  <c r="I37" i="32"/>
  <c r="P37" i="32" s="1"/>
  <c r="I38" i="32"/>
  <c r="P38" i="32" s="1"/>
  <c r="I39" i="32"/>
  <c r="P39" i="32" s="1"/>
  <c r="I40" i="32"/>
  <c r="P40" i="32" s="1"/>
  <c r="I41" i="32"/>
  <c r="P41" i="32" s="1"/>
  <c r="I42" i="32"/>
  <c r="P42" i="32" s="1"/>
  <c r="I43" i="32"/>
  <c r="P43" i="32" s="1"/>
  <c r="I44" i="32"/>
  <c r="P44" i="32" s="1"/>
  <c r="I45" i="32"/>
  <c r="P45" i="32" s="1"/>
  <c r="I46" i="32"/>
  <c r="P46" i="32" s="1"/>
  <c r="I47" i="32"/>
  <c r="P47" i="32" s="1"/>
  <c r="I48" i="32"/>
  <c r="P48" i="32" s="1"/>
  <c r="I49" i="32"/>
  <c r="P49" i="32" s="1"/>
  <c r="I2" i="32"/>
  <c r="P2" i="32" s="1"/>
  <c r="I3" i="32"/>
  <c r="P3" i="32" s="1"/>
  <c r="I1" i="32"/>
  <c r="P1" i="32" s="1"/>
  <c r="H1" i="32"/>
  <c r="O1" i="32" s="1"/>
  <c r="AE19" i="65"/>
  <c r="AE18" i="65"/>
  <c r="AE17" i="65"/>
  <c r="AE16" i="65"/>
  <c r="AE10" i="65"/>
  <c r="AE11" i="65"/>
  <c r="AE12" i="65"/>
  <c r="AE9" i="65"/>
  <c r="C72" i="156" l="1"/>
  <c r="C31" i="156"/>
  <c r="C67" i="156"/>
  <c r="B89" i="156"/>
  <c r="B31" i="155"/>
  <c r="B83" i="156"/>
  <c r="C90" i="156"/>
  <c r="C91" i="156"/>
  <c r="B64" i="155"/>
  <c r="B71" i="155"/>
  <c r="B64" i="156"/>
  <c r="B80" i="155"/>
  <c r="C102" i="156"/>
  <c r="C37" i="156"/>
  <c r="C112" i="155"/>
  <c r="B71" i="156"/>
  <c r="C99" i="156"/>
  <c r="C106" i="156"/>
  <c r="C23" i="156"/>
  <c r="C86" i="156"/>
  <c r="C59" i="156"/>
  <c r="B70" i="155"/>
  <c r="B23" i="155"/>
  <c r="C99" i="155"/>
  <c r="B38" i="156"/>
  <c r="B19" i="155"/>
  <c r="C39" i="155"/>
  <c r="B56" i="155"/>
  <c r="B20" i="156"/>
  <c r="C78" i="156"/>
  <c r="B79" i="156"/>
  <c r="B61" i="156"/>
  <c r="B47" i="155"/>
  <c r="C7" i="155"/>
  <c r="C12" i="155"/>
  <c r="C49" i="156"/>
  <c r="M125" i="155"/>
  <c r="G137" i="155"/>
  <c r="M137" i="155" s="1"/>
  <c r="C12" i="156"/>
  <c r="B12" i="156"/>
  <c r="B94" i="156"/>
  <c r="C94" i="156"/>
  <c r="C47" i="156"/>
  <c r="B47" i="156"/>
  <c r="C95" i="156"/>
  <c r="B95" i="156"/>
  <c r="C55" i="156"/>
  <c r="B55" i="156"/>
  <c r="B3" i="156"/>
  <c r="P1" i="156"/>
  <c r="E1" i="156"/>
  <c r="Q1" i="156"/>
  <c r="F1" i="156"/>
  <c r="C37" i="155"/>
  <c r="B37" i="155"/>
  <c r="C102" i="155"/>
  <c r="B102" i="155"/>
  <c r="B62" i="156"/>
  <c r="C62" i="156"/>
  <c r="C113" i="156"/>
  <c r="B113" i="156"/>
  <c r="B92" i="155"/>
  <c r="C27" i="156"/>
  <c r="B27" i="156"/>
  <c r="C51" i="155"/>
  <c r="B51" i="155"/>
  <c r="C80" i="156"/>
  <c r="M122" i="155"/>
  <c r="E1" i="155"/>
  <c r="C98" i="156"/>
  <c r="C55" i="155"/>
  <c r="C36" i="156"/>
  <c r="B63" i="156"/>
  <c r="C75" i="156"/>
  <c r="C82" i="156"/>
  <c r="C114" i="156"/>
  <c r="C112" i="156"/>
  <c r="AV49" i="17"/>
  <c r="AK51" i="17"/>
  <c r="C5" i="156"/>
  <c r="C19" i="156"/>
  <c r="C33" i="156"/>
  <c r="B40" i="156"/>
  <c r="C46" i="156"/>
  <c r="C50" i="156"/>
  <c r="B54" i="156"/>
  <c r="B58" i="156"/>
  <c r="C66" i="156"/>
  <c r="C70" i="156"/>
  <c r="C74" i="156"/>
  <c r="C101" i="156"/>
  <c r="B45" i="156"/>
  <c r="B69" i="156"/>
  <c r="C93" i="156"/>
  <c r="C97" i="156"/>
  <c r="B11" i="156"/>
  <c r="C4" i="156"/>
  <c r="B15" i="156"/>
  <c r="B44" i="156"/>
  <c r="C57" i="156"/>
  <c r="B77" i="156"/>
  <c r="C88" i="156"/>
  <c r="B100" i="156"/>
  <c r="B104" i="156"/>
  <c r="C108" i="156"/>
  <c r="B28" i="156"/>
  <c r="C39" i="156"/>
  <c r="B84" i="156"/>
  <c r="B92" i="156"/>
  <c r="B96" i="156"/>
  <c r="B7" i="156"/>
  <c r="C21" i="156"/>
  <c r="B35" i="156"/>
  <c r="B43" i="156"/>
  <c r="B68" i="156"/>
  <c r="B48" i="156"/>
  <c r="B56" i="156"/>
  <c r="B60" i="156"/>
  <c r="B42" i="156"/>
  <c r="B52" i="156"/>
  <c r="B87" i="156"/>
  <c r="C29" i="156"/>
  <c r="C17" i="156"/>
  <c r="C103" i="156"/>
  <c r="C81" i="156"/>
  <c r="C13" i="156"/>
  <c r="C110" i="156"/>
  <c r="M128" i="155"/>
  <c r="G140" i="155"/>
  <c r="M140" i="155" s="1"/>
  <c r="M132" i="155"/>
  <c r="G144" i="155"/>
  <c r="M144" i="155" s="1"/>
  <c r="M129" i="155"/>
  <c r="G141" i="155"/>
  <c r="M141" i="155" s="1"/>
  <c r="B5" i="155"/>
  <c r="B20" i="155"/>
  <c r="C72" i="155"/>
  <c r="B78" i="155"/>
  <c r="B103" i="155"/>
  <c r="C107" i="155"/>
  <c r="B115" i="155"/>
  <c r="B22" i="155"/>
  <c r="B59" i="155"/>
  <c r="C105" i="155"/>
  <c r="B24" i="155"/>
  <c r="B40" i="155"/>
  <c r="B63" i="155"/>
  <c r="B9" i="155"/>
  <c r="C11" i="155"/>
  <c r="B15" i="155"/>
  <c r="C30" i="155"/>
  <c r="B32" i="155"/>
  <c r="B48" i="155"/>
  <c r="B67" i="155"/>
  <c r="B86" i="155"/>
  <c r="B88" i="155"/>
  <c r="C94" i="155"/>
  <c r="B100" i="155"/>
  <c r="C3" i="155"/>
  <c r="B109" i="155"/>
  <c r="B28" i="155"/>
  <c r="B2" i="155"/>
  <c r="B4" i="155"/>
  <c r="C69" i="155"/>
  <c r="B6" i="155"/>
  <c r="C52" i="155"/>
  <c r="B77" i="155"/>
  <c r="B79" i="155"/>
  <c r="B108" i="155"/>
  <c r="B114" i="155"/>
  <c r="G133" i="155"/>
  <c r="B21" i="155"/>
  <c r="B83" i="155"/>
  <c r="C62" i="155"/>
  <c r="B87" i="155"/>
  <c r="B97" i="155"/>
  <c r="B10" i="155"/>
  <c r="C25" i="155"/>
  <c r="B60" i="155"/>
  <c r="B85" i="155"/>
  <c r="B16" i="155"/>
  <c r="B18" i="155"/>
  <c r="C43" i="155"/>
  <c r="C91" i="155"/>
  <c r="C58" i="155"/>
  <c r="B58" i="155"/>
  <c r="C34" i="156"/>
  <c r="B34" i="156"/>
  <c r="B38" i="155"/>
  <c r="B45" i="155"/>
  <c r="C84" i="155"/>
  <c r="B98" i="155"/>
  <c r="B104" i="155"/>
  <c r="B13" i="155"/>
  <c r="B68" i="155"/>
  <c r="C74" i="155"/>
  <c r="B74" i="155"/>
  <c r="C106" i="155"/>
  <c r="B106" i="155"/>
  <c r="B16" i="156"/>
  <c r="C34" i="155"/>
  <c r="B34" i="155"/>
  <c r="B27" i="155"/>
  <c r="B44" i="155"/>
  <c r="B54" i="155"/>
  <c r="B61" i="155"/>
  <c r="G126" i="155"/>
  <c r="B32" i="156"/>
  <c r="C105" i="156"/>
  <c r="B105" i="156"/>
  <c r="C109" i="156"/>
  <c r="B109" i="156"/>
  <c r="C50" i="155"/>
  <c r="B50" i="155"/>
  <c r="B111" i="155"/>
  <c r="C111" i="155"/>
  <c r="C26" i="155"/>
  <c r="B26" i="155"/>
  <c r="C82" i="155"/>
  <c r="B82" i="155"/>
  <c r="G123" i="155"/>
  <c r="C66" i="155"/>
  <c r="B66" i="155"/>
  <c r="M124" i="155"/>
  <c r="G136" i="155"/>
  <c r="M136" i="155" s="1"/>
  <c r="C14" i="156"/>
  <c r="B14" i="156"/>
  <c r="B36" i="155"/>
  <c r="B46" i="155"/>
  <c r="B53" i="155"/>
  <c r="C76" i="155"/>
  <c r="B110" i="155"/>
  <c r="C42" i="155"/>
  <c r="B42" i="155"/>
  <c r="C96" i="155"/>
  <c r="B96" i="155"/>
  <c r="G130" i="155"/>
  <c r="M131" i="155"/>
  <c r="G143" i="155"/>
  <c r="M143" i="155" s="1"/>
  <c r="C2" i="156"/>
  <c r="B2" i="156"/>
  <c r="C30" i="156"/>
  <c r="B30" i="156"/>
  <c r="B8" i="155"/>
  <c r="B14" i="155"/>
  <c r="B29" i="155"/>
  <c r="B35" i="155"/>
  <c r="B75" i="155"/>
  <c r="M127" i="155"/>
  <c r="G139" i="155"/>
  <c r="M139" i="155" s="1"/>
  <c r="C18" i="156"/>
  <c r="B18" i="156"/>
  <c r="B90" i="155"/>
  <c r="B93" i="155"/>
  <c r="B101" i="155"/>
  <c r="B113" i="155"/>
  <c r="B8" i="156"/>
  <c r="C9" i="156"/>
  <c r="C10" i="156"/>
  <c r="B10" i="156"/>
  <c r="B24" i="156"/>
  <c r="C25" i="156"/>
  <c r="C26" i="156"/>
  <c r="B26" i="156"/>
  <c r="B73" i="156"/>
  <c r="B17" i="155"/>
  <c r="B33" i="155"/>
  <c r="B41" i="155"/>
  <c r="B49" i="155"/>
  <c r="B57" i="155"/>
  <c r="B65" i="155"/>
  <c r="B73" i="155"/>
  <c r="B81" i="155"/>
  <c r="B89" i="155"/>
  <c r="B95" i="155"/>
  <c r="B41" i="156"/>
  <c r="B53" i="156"/>
  <c r="C6" i="156"/>
  <c r="B6" i="156"/>
  <c r="C22" i="156"/>
  <c r="B22" i="156"/>
  <c r="B65" i="156"/>
  <c r="B85" i="156"/>
  <c r="B107" i="156"/>
  <c r="B111" i="156"/>
  <c r="B115" i="156"/>
  <c r="AV50" i="17" l="1"/>
  <c r="AK52" i="17"/>
  <c r="G145" i="155"/>
  <c r="M145" i="155" s="1"/>
  <c r="M133" i="155"/>
  <c r="G142" i="155"/>
  <c r="M142" i="155" s="1"/>
  <c r="M130" i="155"/>
  <c r="G138" i="155"/>
  <c r="M138" i="155" s="1"/>
  <c r="M126" i="155"/>
  <c r="M123" i="155"/>
  <c r="G135" i="155"/>
  <c r="M135" i="155" s="1"/>
  <c r="AV51" i="17" l="1"/>
  <c r="AK53" i="17"/>
  <c r="R10" i="25"/>
  <c r="R11" i="25"/>
  <c r="R6" i="25"/>
  <c r="R7" i="25"/>
  <c r="R8" i="25"/>
  <c r="R9" i="25"/>
  <c r="E32" i="70"/>
  <c r="F32" i="70" s="1"/>
  <c r="G32" i="70" s="1"/>
  <c r="H32" i="70" s="1"/>
  <c r="E21" i="70"/>
  <c r="F21" i="70" s="1"/>
  <c r="G21" i="70" s="1"/>
  <c r="H21" i="70" s="1"/>
  <c r="B17" i="25"/>
  <c r="B27" i="25" s="1"/>
  <c r="B18" i="25"/>
  <c r="B28" i="25" s="1"/>
  <c r="B37" i="25" s="1"/>
  <c r="B19" i="25"/>
  <c r="B29" i="25" s="1"/>
  <c r="B38" i="25" s="1"/>
  <c r="B20" i="25"/>
  <c r="B50" i="25" s="1"/>
  <c r="B62" i="25" s="1"/>
  <c r="B21" i="25"/>
  <c r="B31" i="25" s="1"/>
  <c r="B40" i="25" s="1"/>
  <c r="I26" i="73"/>
  <c r="I27" i="73"/>
  <c r="D26" i="73"/>
  <c r="D27" i="73"/>
  <c r="B26" i="73"/>
  <c r="B27" i="73"/>
  <c r="AL6" i="24"/>
  <c r="AL7" i="24" s="1"/>
  <c r="AC6" i="24"/>
  <c r="AC7" i="24" s="1"/>
  <c r="AC8" i="24" s="1"/>
  <c r="AC9" i="24" s="1"/>
  <c r="AC10" i="24" s="1"/>
  <c r="AC11" i="24" s="1"/>
  <c r="AC12" i="24" s="1"/>
  <c r="AC13" i="24" s="1"/>
  <c r="AC14" i="24" s="1"/>
  <c r="U6" i="24"/>
  <c r="U7" i="24" s="1"/>
  <c r="L6" i="24"/>
  <c r="L7" i="24" s="1"/>
  <c r="L8" i="24" s="1"/>
  <c r="O34" i="23"/>
  <c r="P35" i="23" s="1"/>
  <c r="Z5" i="23"/>
  <c r="Z6" i="23" s="1"/>
  <c r="Z7" i="23" s="1"/>
  <c r="Z8" i="23" s="1"/>
  <c r="Z9" i="23" s="1"/>
  <c r="Z10" i="23" s="1"/>
  <c r="Z11" i="23" s="1"/>
  <c r="Z12" i="23" s="1"/>
  <c r="Z13" i="23" s="1"/>
  <c r="R6" i="23"/>
  <c r="R7" i="23" s="1"/>
  <c r="R8" i="23" s="1"/>
  <c r="R9" i="23" s="1"/>
  <c r="R10" i="23" s="1"/>
  <c r="R11" i="23" s="1"/>
  <c r="R12" i="23" s="1"/>
  <c r="R13" i="23" s="1"/>
  <c r="R5" i="23"/>
  <c r="N5" i="23"/>
  <c r="N6" i="23" s="1"/>
  <c r="N7" i="23" s="1"/>
  <c r="N8" i="23" s="1"/>
  <c r="N9" i="23" s="1"/>
  <c r="N10" i="23" s="1"/>
  <c r="N11" i="23" s="1"/>
  <c r="N12" i="23" s="1"/>
  <c r="N13" i="23" s="1"/>
  <c r="BM6" i="17"/>
  <c r="AV6" i="17"/>
  <c r="AK6" i="17"/>
  <c r="AK7" i="17" s="1"/>
  <c r="AK8" i="17" s="1"/>
  <c r="AK9" i="17" s="1"/>
  <c r="AK10" i="17" s="1"/>
  <c r="AK11" i="17" s="1"/>
  <c r="AK12" i="17" s="1"/>
  <c r="AK13" i="17" s="1"/>
  <c r="AK14" i="17" s="1"/>
  <c r="AK15" i="17" s="1"/>
  <c r="AK16" i="17" s="1"/>
  <c r="R122" i="154"/>
  <c r="R123" i="154"/>
  <c r="R124" i="154"/>
  <c r="R125" i="154"/>
  <c r="R126" i="154"/>
  <c r="R127" i="154"/>
  <c r="R128" i="154"/>
  <c r="R129" i="154"/>
  <c r="R130" i="154"/>
  <c r="R131" i="154"/>
  <c r="R132" i="154"/>
  <c r="R133" i="154"/>
  <c r="R134" i="154"/>
  <c r="R135" i="154"/>
  <c r="R136" i="154"/>
  <c r="R137" i="154"/>
  <c r="R138" i="154"/>
  <c r="R139" i="154"/>
  <c r="R140" i="154"/>
  <c r="R141" i="154"/>
  <c r="R142" i="154"/>
  <c r="R143" i="154"/>
  <c r="R144" i="154"/>
  <c r="R145" i="154"/>
  <c r="H5" i="154"/>
  <c r="Q5" i="154" s="1"/>
  <c r="I5" i="154"/>
  <c r="R5" i="154" s="1"/>
  <c r="J5" i="154"/>
  <c r="S5" i="154" s="1"/>
  <c r="H6" i="154"/>
  <c r="Q6" i="154" s="1"/>
  <c r="I6" i="154"/>
  <c r="R6" i="154" s="1"/>
  <c r="J6" i="154"/>
  <c r="S6" i="154" s="1"/>
  <c r="H7" i="154"/>
  <c r="Q7" i="154" s="1"/>
  <c r="I7" i="154"/>
  <c r="R7" i="154" s="1"/>
  <c r="J7" i="154"/>
  <c r="S7" i="154" s="1"/>
  <c r="H8" i="154"/>
  <c r="Q8" i="154" s="1"/>
  <c r="I8" i="154"/>
  <c r="R8" i="154" s="1"/>
  <c r="J8" i="154"/>
  <c r="S8" i="154" s="1"/>
  <c r="H9" i="154"/>
  <c r="Q9" i="154" s="1"/>
  <c r="I9" i="154"/>
  <c r="R9" i="154" s="1"/>
  <c r="J9" i="154"/>
  <c r="S9" i="154" s="1"/>
  <c r="H10" i="154"/>
  <c r="Q10" i="154" s="1"/>
  <c r="I10" i="154"/>
  <c r="R10" i="154" s="1"/>
  <c r="J10" i="154"/>
  <c r="S10" i="154" s="1"/>
  <c r="H11" i="154"/>
  <c r="Q11" i="154" s="1"/>
  <c r="I11" i="154"/>
  <c r="R11" i="154" s="1"/>
  <c r="J11" i="154"/>
  <c r="S11" i="154" s="1"/>
  <c r="H12" i="154"/>
  <c r="Q12" i="154" s="1"/>
  <c r="I12" i="154"/>
  <c r="R12" i="154" s="1"/>
  <c r="J12" i="154"/>
  <c r="S12" i="154" s="1"/>
  <c r="H13" i="154"/>
  <c r="Q13" i="154" s="1"/>
  <c r="I13" i="154"/>
  <c r="R13" i="154" s="1"/>
  <c r="J13" i="154"/>
  <c r="S13" i="154" s="1"/>
  <c r="H14" i="154"/>
  <c r="Q14" i="154" s="1"/>
  <c r="I14" i="154"/>
  <c r="R14" i="154" s="1"/>
  <c r="J14" i="154"/>
  <c r="S14" i="154" s="1"/>
  <c r="H15" i="154"/>
  <c r="Q15" i="154" s="1"/>
  <c r="I15" i="154"/>
  <c r="R15" i="154" s="1"/>
  <c r="J15" i="154"/>
  <c r="S15" i="154" s="1"/>
  <c r="H16" i="154"/>
  <c r="Q16" i="154" s="1"/>
  <c r="I16" i="154"/>
  <c r="R16" i="154" s="1"/>
  <c r="J16" i="154"/>
  <c r="S16" i="154" s="1"/>
  <c r="H17" i="154"/>
  <c r="Q17" i="154" s="1"/>
  <c r="I17" i="154"/>
  <c r="R17" i="154" s="1"/>
  <c r="J17" i="154"/>
  <c r="S17" i="154" s="1"/>
  <c r="H18" i="154"/>
  <c r="Q18" i="154" s="1"/>
  <c r="I18" i="154"/>
  <c r="R18" i="154" s="1"/>
  <c r="J18" i="154"/>
  <c r="S18" i="154" s="1"/>
  <c r="H19" i="154"/>
  <c r="Q19" i="154" s="1"/>
  <c r="I19" i="154"/>
  <c r="R19" i="154" s="1"/>
  <c r="J19" i="154"/>
  <c r="S19" i="154" s="1"/>
  <c r="H20" i="154"/>
  <c r="Q20" i="154" s="1"/>
  <c r="I20" i="154"/>
  <c r="R20" i="154" s="1"/>
  <c r="J20" i="154"/>
  <c r="S20" i="154" s="1"/>
  <c r="H21" i="154"/>
  <c r="Q21" i="154" s="1"/>
  <c r="I21" i="154"/>
  <c r="R21" i="154" s="1"/>
  <c r="J21" i="154"/>
  <c r="S21" i="154" s="1"/>
  <c r="H22" i="154"/>
  <c r="Q22" i="154" s="1"/>
  <c r="I22" i="154"/>
  <c r="R22" i="154" s="1"/>
  <c r="J22" i="154"/>
  <c r="S22" i="154" s="1"/>
  <c r="H23" i="154"/>
  <c r="Q23" i="154" s="1"/>
  <c r="I23" i="154"/>
  <c r="R23" i="154" s="1"/>
  <c r="J23" i="154"/>
  <c r="S23" i="154" s="1"/>
  <c r="H24" i="154"/>
  <c r="Q24" i="154" s="1"/>
  <c r="I24" i="154"/>
  <c r="R24" i="154" s="1"/>
  <c r="J24" i="154"/>
  <c r="S24" i="154" s="1"/>
  <c r="H25" i="154"/>
  <c r="Q25" i="154" s="1"/>
  <c r="I25" i="154"/>
  <c r="R25" i="154" s="1"/>
  <c r="J25" i="154"/>
  <c r="S25" i="154" s="1"/>
  <c r="H26" i="154"/>
  <c r="Q26" i="154" s="1"/>
  <c r="I26" i="154"/>
  <c r="R26" i="154" s="1"/>
  <c r="J26" i="154"/>
  <c r="S26" i="154" s="1"/>
  <c r="H27" i="154"/>
  <c r="Q27" i="154" s="1"/>
  <c r="I27" i="154"/>
  <c r="R27" i="154" s="1"/>
  <c r="J27" i="154"/>
  <c r="S27" i="154" s="1"/>
  <c r="H28" i="154"/>
  <c r="Q28" i="154" s="1"/>
  <c r="I28" i="154"/>
  <c r="R28" i="154" s="1"/>
  <c r="J28" i="154"/>
  <c r="S28" i="154" s="1"/>
  <c r="H29" i="154"/>
  <c r="Q29" i="154" s="1"/>
  <c r="I29" i="154"/>
  <c r="R29" i="154" s="1"/>
  <c r="J29" i="154"/>
  <c r="S29" i="154" s="1"/>
  <c r="H30" i="154"/>
  <c r="Q30" i="154" s="1"/>
  <c r="I30" i="154"/>
  <c r="R30" i="154" s="1"/>
  <c r="J30" i="154"/>
  <c r="S30" i="154" s="1"/>
  <c r="H31" i="154"/>
  <c r="Q31" i="154" s="1"/>
  <c r="I31" i="154"/>
  <c r="R31" i="154" s="1"/>
  <c r="J31" i="154"/>
  <c r="S31" i="154" s="1"/>
  <c r="H32" i="154"/>
  <c r="Q32" i="154" s="1"/>
  <c r="I32" i="154"/>
  <c r="R32" i="154" s="1"/>
  <c r="J32" i="154"/>
  <c r="S32" i="154" s="1"/>
  <c r="H33" i="154"/>
  <c r="Q33" i="154" s="1"/>
  <c r="I33" i="154"/>
  <c r="R33" i="154" s="1"/>
  <c r="J33" i="154"/>
  <c r="S33" i="154" s="1"/>
  <c r="H34" i="154"/>
  <c r="Q34" i="154" s="1"/>
  <c r="I34" i="154"/>
  <c r="R34" i="154" s="1"/>
  <c r="J34" i="154"/>
  <c r="S34" i="154" s="1"/>
  <c r="H35" i="154"/>
  <c r="Q35" i="154" s="1"/>
  <c r="I35" i="154"/>
  <c r="R35" i="154" s="1"/>
  <c r="J35" i="154"/>
  <c r="S35" i="154" s="1"/>
  <c r="H36" i="154"/>
  <c r="Q36" i="154" s="1"/>
  <c r="I36" i="154"/>
  <c r="R36" i="154" s="1"/>
  <c r="J36" i="154"/>
  <c r="S36" i="154" s="1"/>
  <c r="H37" i="154"/>
  <c r="Q37" i="154" s="1"/>
  <c r="I37" i="154"/>
  <c r="R37" i="154" s="1"/>
  <c r="J37" i="154"/>
  <c r="S37" i="154" s="1"/>
  <c r="H38" i="154"/>
  <c r="Q38" i="154" s="1"/>
  <c r="I38" i="154"/>
  <c r="R38" i="154" s="1"/>
  <c r="J38" i="154"/>
  <c r="S38" i="154" s="1"/>
  <c r="H39" i="154"/>
  <c r="Q39" i="154" s="1"/>
  <c r="I39" i="154"/>
  <c r="R39" i="154" s="1"/>
  <c r="J39" i="154"/>
  <c r="S39" i="154" s="1"/>
  <c r="H40" i="154"/>
  <c r="Q40" i="154" s="1"/>
  <c r="I40" i="154"/>
  <c r="R40" i="154" s="1"/>
  <c r="J40" i="154"/>
  <c r="S40" i="154" s="1"/>
  <c r="H41" i="154"/>
  <c r="Q41" i="154" s="1"/>
  <c r="I41" i="154"/>
  <c r="R41" i="154" s="1"/>
  <c r="J41" i="154"/>
  <c r="S41" i="154" s="1"/>
  <c r="H42" i="154"/>
  <c r="Q42" i="154" s="1"/>
  <c r="I42" i="154"/>
  <c r="R42" i="154" s="1"/>
  <c r="J42" i="154"/>
  <c r="S42" i="154" s="1"/>
  <c r="H43" i="154"/>
  <c r="Q43" i="154" s="1"/>
  <c r="I43" i="154"/>
  <c r="R43" i="154" s="1"/>
  <c r="J43" i="154"/>
  <c r="S43" i="154" s="1"/>
  <c r="H44" i="154"/>
  <c r="Q44" i="154" s="1"/>
  <c r="I44" i="154"/>
  <c r="R44" i="154" s="1"/>
  <c r="J44" i="154"/>
  <c r="S44" i="154" s="1"/>
  <c r="H45" i="154"/>
  <c r="Q45" i="154" s="1"/>
  <c r="I45" i="154"/>
  <c r="R45" i="154" s="1"/>
  <c r="J45" i="154"/>
  <c r="S45" i="154" s="1"/>
  <c r="H46" i="154"/>
  <c r="Q46" i="154" s="1"/>
  <c r="I46" i="154"/>
  <c r="R46" i="154" s="1"/>
  <c r="J46" i="154"/>
  <c r="S46" i="154" s="1"/>
  <c r="H47" i="154"/>
  <c r="Q47" i="154" s="1"/>
  <c r="I47" i="154"/>
  <c r="R47" i="154" s="1"/>
  <c r="J47" i="154"/>
  <c r="S47" i="154" s="1"/>
  <c r="H48" i="154"/>
  <c r="Q48" i="154" s="1"/>
  <c r="I48" i="154"/>
  <c r="R48" i="154" s="1"/>
  <c r="J48" i="154"/>
  <c r="S48" i="154" s="1"/>
  <c r="H49" i="154"/>
  <c r="Q49" i="154" s="1"/>
  <c r="I49" i="154"/>
  <c r="R49" i="154" s="1"/>
  <c r="J49" i="154"/>
  <c r="S49" i="154" s="1"/>
  <c r="I50" i="154"/>
  <c r="R50" i="154" s="1"/>
  <c r="I51" i="154"/>
  <c r="R51" i="154" s="1"/>
  <c r="I52" i="154"/>
  <c r="R52" i="154" s="1"/>
  <c r="I53" i="154"/>
  <c r="R53" i="154" s="1"/>
  <c r="I54" i="154"/>
  <c r="R54" i="154" s="1"/>
  <c r="I55" i="154"/>
  <c r="R55" i="154" s="1"/>
  <c r="I56" i="154"/>
  <c r="R56" i="154" s="1"/>
  <c r="I57" i="154"/>
  <c r="R57" i="154" s="1"/>
  <c r="I58" i="154"/>
  <c r="R58" i="154" s="1"/>
  <c r="I59" i="154"/>
  <c r="R59" i="154" s="1"/>
  <c r="I60" i="154"/>
  <c r="R60" i="154" s="1"/>
  <c r="I61" i="154"/>
  <c r="R61" i="154" s="1"/>
  <c r="I62" i="154"/>
  <c r="R62" i="154" s="1"/>
  <c r="I63" i="154"/>
  <c r="R63" i="154" s="1"/>
  <c r="I64" i="154"/>
  <c r="R64" i="154" s="1"/>
  <c r="I65" i="154"/>
  <c r="R65" i="154" s="1"/>
  <c r="I66" i="154"/>
  <c r="R66" i="154" s="1"/>
  <c r="I67" i="154"/>
  <c r="R67" i="154" s="1"/>
  <c r="I68" i="154"/>
  <c r="R68" i="154" s="1"/>
  <c r="I69" i="154"/>
  <c r="R69" i="154" s="1"/>
  <c r="I70" i="154"/>
  <c r="R70" i="154" s="1"/>
  <c r="I71" i="154"/>
  <c r="R71" i="154" s="1"/>
  <c r="I72" i="154"/>
  <c r="R72" i="154" s="1"/>
  <c r="I73" i="154"/>
  <c r="R73" i="154" s="1"/>
  <c r="I74" i="154"/>
  <c r="R74" i="154" s="1"/>
  <c r="I75" i="154"/>
  <c r="R75" i="154" s="1"/>
  <c r="I76" i="154"/>
  <c r="R76" i="154" s="1"/>
  <c r="I77" i="154"/>
  <c r="R77" i="154" s="1"/>
  <c r="I78" i="154"/>
  <c r="R78" i="154" s="1"/>
  <c r="I79" i="154"/>
  <c r="R79" i="154" s="1"/>
  <c r="I80" i="154"/>
  <c r="R80" i="154" s="1"/>
  <c r="I81" i="154"/>
  <c r="R81" i="154" s="1"/>
  <c r="I82" i="154"/>
  <c r="R82" i="154" s="1"/>
  <c r="I83" i="154"/>
  <c r="R83" i="154" s="1"/>
  <c r="I84" i="154"/>
  <c r="R84" i="154" s="1"/>
  <c r="I85" i="154"/>
  <c r="R85" i="154" s="1"/>
  <c r="I86" i="154"/>
  <c r="R86" i="154" s="1"/>
  <c r="I87" i="154"/>
  <c r="R87" i="154" s="1"/>
  <c r="I88" i="154"/>
  <c r="R88" i="154" s="1"/>
  <c r="I89" i="154"/>
  <c r="R89" i="154" s="1"/>
  <c r="I90" i="154"/>
  <c r="R90" i="154" s="1"/>
  <c r="I91" i="154"/>
  <c r="R91" i="154" s="1"/>
  <c r="I92" i="154"/>
  <c r="R92" i="154" s="1"/>
  <c r="I93" i="154"/>
  <c r="R93" i="154" s="1"/>
  <c r="I94" i="154"/>
  <c r="R94" i="154" s="1"/>
  <c r="I95" i="154"/>
  <c r="R95" i="154" s="1"/>
  <c r="I96" i="154"/>
  <c r="R96" i="154" s="1"/>
  <c r="I97" i="154"/>
  <c r="R97" i="154" s="1"/>
  <c r="I98" i="154"/>
  <c r="R98" i="154" s="1"/>
  <c r="I99" i="154"/>
  <c r="R99" i="154" s="1"/>
  <c r="I100" i="154"/>
  <c r="R100" i="154" s="1"/>
  <c r="I101" i="154"/>
  <c r="R101" i="154" s="1"/>
  <c r="I102" i="154"/>
  <c r="R102" i="154" s="1"/>
  <c r="I103" i="154"/>
  <c r="R103" i="154" s="1"/>
  <c r="I104" i="154"/>
  <c r="R104" i="154" s="1"/>
  <c r="I105" i="154"/>
  <c r="R105" i="154" s="1"/>
  <c r="I106" i="154"/>
  <c r="R106" i="154" s="1"/>
  <c r="I107" i="154"/>
  <c r="R107" i="154" s="1"/>
  <c r="I108" i="154"/>
  <c r="R108" i="154" s="1"/>
  <c r="I109" i="154"/>
  <c r="R109" i="154" s="1"/>
  <c r="I110" i="154"/>
  <c r="R110" i="154" s="1"/>
  <c r="I111" i="154"/>
  <c r="R111" i="154" s="1"/>
  <c r="I112" i="154"/>
  <c r="R112" i="154" s="1"/>
  <c r="I113" i="154"/>
  <c r="R113" i="154" s="1"/>
  <c r="I114" i="154"/>
  <c r="R114" i="154" s="1"/>
  <c r="I115" i="154"/>
  <c r="R115" i="154" s="1"/>
  <c r="I116" i="154"/>
  <c r="R116" i="154" s="1"/>
  <c r="I117" i="154"/>
  <c r="R117" i="154" s="1"/>
  <c r="I118" i="154"/>
  <c r="R118" i="154" s="1"/>
  <c r="I119" i="154"/>
  <c r="R119" i="154" s="1"/>
  <c r="I120" i="154"/>
  <c r="R120" i="154" s="1"/>
  <c r="I121" i="154"/>
  <c r="R121" i="154" s="1"/>
  <c r="H2" i="154"/>
  <c r="Q2" i="154" s="1"/>
  <c r="I2" i="154"/>
  <c r="R2" i="154" s="1"/>
  <c r="J2" i="154"/>
  <c r="S2" i="154" s="1"/>
  <c r="H3" i="154"/>
  <c r="Q3" i="154" s="1"/>
  <c r="I3" i="154"/>
  <c r="R3" i="154" s="1"/>
  <c r="J3" i="154"/>
  <c r="S3" i="154" s="1"/>
  <c r="H4" i="154"/>
  <c r="Q4" i="154" s="1"/>
  <c r="I4" i="154"/>
  <c r="R4" i="154" s="1"/>
  <c r="J4" i="154"/>
  <c r="S4" i="154" s="1"/>
  <c r="G2" i="154"/>
  <c r="K1" i="154"/>
  <c r="T1" i="154" s="1"/>
  <c r="J1" i="154"/>
  <c r="S1" i="154" s="1"/>
  <c r="I1" i="154"/>
  <c r="R1" i="154" s="1"/>
  <c r="H1" i="154"/>
  <c r="Q1" i="154" s="1"/>
  <c r="G1" i="154"/>
  <c r="F1" i="154"/>
  <c r="O1" i="154" s="1"/>
  <c r="E1" i="154"/>
  <c r="D1" i="154"/>
  <c r="J4" i="153"/>
  <c r="S4" i="153" s="1"/>
  <c r="J5" i="153"/>
  <c r="S5" i="153" s="1"/>
  <c r="J6" i="153"/>
  <c r="S6" i="153" s="1"/>
  <c r="J7" i="153"/>
  <c r="S7" i="153" s="1"/>
  <c r="J8" i="153"/>
  <c r="S8" i="153" s="1"/>
  <c r="J9" i="153"/>
  <c r="S9" i="153" s="1"/>
  <c r="J10" i="153"/>
  <c r="S10" i="153" s="1"/>
  <c r="J11" i="153"/>
  <c r="S11" i="153" s="1"/>
  <c r="J12" i="153"/>
  <c r="S12" i="153" s="1"/>
  <c r="J13" i="153"/>
  <c r="S13" i="153" s="1"/>
  <c r="J14" i="153"/>
  <c r="S14" i="153" s="1"/>
  <c r="J15" i="153"/>
  <c r="S15" i="153" s="1"/>
  <c r="J16" i="153"/>
  <c r="S16" i="153" s="1"/>
  <c r="J17" i="153"/>
  <c r="S17" i="153" s="1"/>
  <c r="J18" i="153"/>
  <c r="S18" i="153" s="1"/>
  <c r="J19" i="153"/>
  <c r="S19" i="153" s="1"/>
  <c r="J20" i="153"/>
  <c r="S20" i="153" s="1"/>
  <c r="J21" i="153"/>
  <c r="S21" i="153" s="1"/>
  <c r="J22" i="153"/>
  <c r="S22" i="153" s="1"/>
  <c r="J23" i="153"/>
  <c r="S23" i="153" s="1"/>
  <c r="J24" i="153"/>
  <c r="S24" i="153" s="1"/>
  <c r="J25" i="153"/>
  <c r="S25" i="153" s="1"/>
  <c r="J26" i="153"/>
  <c r="S26" i="153" s="1"/>
  <c r="J27" i="153"/>
  <c r="S27" i="153" s="1"/>
  <c r="J28" i="153"/>
  <c r="S28" i="153" s="1"/>
  <c r="J29" i="153"/>
  <c r="S29" i="153" s="1"/>
  <c r="J30" i="153"/>
  <c r="S30" i="153" s="1"/>
  <c r="J31" i="153"/>
  <c r="S31" i="153" s="1"/>
  <c r="J32" i="153"/>
  <c r="S32" i="153" s="1"/>
  <c r="J33" i="153"/>
  <c r="S33" i="153" s="1"/>
  <c r="J34" i="153"/>
  <c r="S34" i="153" s="1"/>
  <c r="J35" i="153"/>
  <c r="S35" i="153" s="1"/>
  <c r="J36" i="153"/>
  <c r="S36" i="153" s="1"/>
  <c r="J37" i="153"/>
  <c r="S37" i="153" s="1"/>
  <c r="J38" i="153"/>
  <c r="S38" i="153" s="1"/>
  <c r="J39" i="153"/>
  <c r="S39" i="153" s="1"/>
  <c r="J40" i="153"/>
  <c r="S40" i="153" s="1"/>
  <c r="J41" i="153"/>
  <c r="S41" i="153" s="1"/>
  <c r="J42" i="153"/>
  <c r="S42" i="153" s="1"/>
  <c r="J43" i="153"/>
  <c r="S43" i="153" s="1"/>
  <c r="J44" i="153"/>
  <c r="S44" i="153" s="1"/>
  <c r="J45" i="153"/>
  <c r="S45" i="153" s="1"/>
  <c r="J46" i="153"/>
  <c r="S46" i="153" s="1"/>
  <c r="J47" i="153"/>
  <c r="S47" i="153" s="1"/>
  <c r="J48" i="153"/>
  <c r="S48" i="153" s="1"/>
  <c r="J49" i="153"/>
  <c r="S49" i="153" s="1"/>
  <c r="J2" i="153"/>
  <c r="S2" i="153" s="1"/>
  <c r="J3" i="153"/>
  <c r="S3" i="153" s="1"/>
  <c r="K1" i="153"/>
  <c r="T1" i="153" s="1"/>
  <c r="J1" i="153"/>
  <c r="S1" i="153" s="1"/>
  <c r="I3" i="153"/>
  <c r="R3" i="153" s="1"/>
  <c r="I4" i="153"/>
  <c r="R4" i="153" s="1"/>
  <c r="I5" i="153"/>
  <c r="R5" i="153" s="1"/>
  <c r="I6" i="153"/>
  <c r="R6" i="153" s="1"/>
  <c r="I7" i="153"/>
  <c r="R7" i="153" s="1"/>
  <c r="I8" i="153"/>
  <c r="R8" i="153" s="1"/>
  <c r="I9" i="153"/>
  <c r="R9" i="153" s="1"/>
  <c r="I10" i="153"/>
  <c r="R10" i="153" s="1"/>
  <c r="I11" i="153"/>
  <c r="R11" i="153" s="1"/>
  <c r="I12" i="153"/>
  <c r="R12" i="153" s="1"/>
  <c r="I13" i="153"/>
  <c r="R13" i="153" s="1"/>
  <c r="I14" i="153"/>
  <c r="R14" i="153" s="1"/>
  <c r="I15" i="153"/>
  <c r="R15" i="153" s="1"/>
  <c r="I16" i="153"/>
  <c r="R16" i="153" s="1"/>
  <c r="I17" i="153"/>
  <c r="R17" i="153" s="1"/>
  <c r="I18" i="153"/>
  <c r="R18" i="153" s="1"/>
  <c r="I19" i="153"/>
  <c r="R19" i="153" s="1"/>
  <c r="I20" i="153"/>
  <c r="R20" i="153" s="1"/>
  <c r="I21" i="153"/>
  <c r="R21" i="153" s="1"/>
  <c r="I22" i="153"/>
  <c r="R22" i="153" s="1"/>
  <c r="I23" i="153"/>
  <c r="R23" i="153" s="1"/>
  <c r="I24" i="153"/>
  <c r="R24" i="153" s="1"/>
  <c r="I25" i="153"/>
  <c r="R25" i="153" s="1"/>
  <c r="I26" i="153"/>
  <c r="R26" i="153" s="1"/>
  <c r="I27" i="153"/>
  <c r="R27" i="153" s="1"/>
  <c r="I28" i="153"/>
  <c r="R28" i="153" s="1"/>
  <c r="I29" i="153"/>
  <c r="R29" i="153" s="1"/>
  <c r="I30" i="153"/>
  <c r="R30" i="153" s="1"/>
  <c r="I31" i="153"/>
  <c r="R31" i="153" s="1"/>
  <c r="I32" i="153"/>
  <c r="R32" i="153" s="1"/>
  <c r="I33" i="153"/>
  <c r="R33" i="153" s="1"/>
  <c r="I34" i="153"/>
  <c r="R34" i="153" s="1"/>
  <c r="I35" i="153"/>
  <c r="R35" i="153" s="1"/>
  <c r="I36" i="153"/>
  <c r="R36" i="153" s="1"/>
  <c r="I37" i="153"/>
  <c r="R37" i="153" s="1"/>
  <c r="I38" i="153"/>
  <c r="R38" i="153" s="1"/>
  <c r="I39" i="153"/>
  <c r="R39" i="153" s="1"/>
  <c r="I40" i="153"/>
  <c r="R40" i="153" s="1"/>
  <c r="I41" i="153"/>
  <c r="R41" i="153" s="1"/>
  <c r="I42" i="153"/>
  <c r="R42" i="153" s="1"/>
  <c r="I43" i="153"/>
  <c r="R43" i="153" s="1"/>
  <c r="I44" i="153"/>
  <c r="R44" i="153" s="1"/>
  <c r="I45" i="153"/>
  <c r="R45" i="153" s="1"/>
  <c r="I46" i="153"/>
  <c r="R46" i="153" s="1"/>
  <c r="I47" i="153"/>
  <c r="R47" i="153" s="1"/>
  <c r="I48" i="153"/>
  <c r="R48" i="153" s="1"/>
  <c r="I49" i="153"/>
  <c r="R49" i="153" s="1"/>
  <c r="I50" i="153"/>
  <c r="R50" i="153" s="1"/>
  <c r="I51" i="153"/>
  <c r="R51" i="153" s="1"/>
  <c r="I52" i="153"/>
  <c r="R52" i="153" s="1"/>
  <c r="I53" i="153"/>
  <c r="R53" i="153" s="1"/>
  <c r="I54" i="153"/>
  <c r="R54" i="153" s="1"/>
  <c r="I55" i="153"/>
  <c r="R55" i="153" s="1"/>
  <c r="I56" i="153"/>
  <c r="R56" i="153" s="1"/>
  <c r="I57" i="153"/>
  <c r="R57" i="153" s="1"/>
  <c r="I58" i="153"/>
  <c r="R58" i="153" s="1"/>
  <c r="I59" i="153"/>
  <c r="R59" i="153" s="1"/>
  <c r="I60" i="153"/>
  <c r="R60" i="153" s="1"/>
  <c r="I61" i="153"/>
  <c r="R61" i="153" s="1"/>
  <c r="I62" i="153"/>
  <c r="R62" i="153" s="1"/>
  <c r="I63" i="153"/>
  <c r="R63" i="153" s="1"/>
  <c r="I64" i="153"/>
  <c r="R64" i="153" s="1"/>
  <c r="I65" i="153"/>
  <c r="R65" i="153" s="1"/>
  <c r="I66" i="153"/>
  <c r="R66" i="153" s="1"/>
  <c r="I67" i="153"/>
  <c r="R67" i="153" s="1"/>
  <c r="I68" i="153"/>
  <c r="R68" i="153" s="1"/>
  <c r="I69" i="153"/>
  <c r="R69" i="153" s="1"/>
  <c r="I70" i="153"/>
  <c r="R70" i="153" s="1"/>
  <c r="I71" i="153"/>
  <c r="R71" i="153" s="1"/>
  <c r="I72" i="153"/>
  <c r="R72" i="153" s="1"/>
  <c r="I73" i="153"/>
  <c r="R73" i="153" s="1"/>
  <c r="I74" i="153"/>
  <c r="R74" i="153" s="1"/>
  <c r="I75" i="153"/>
  <c r="R75" i="153" s="1"/>
  <c r="I76" i="153"/>
  <c r="R76" i="153" s="1"/>
  <c r="I77" i="153"/>
  <c r="R77" i="153" s="1"/>
  <c r="I78" i="153"/>
  <c r="R78" i="153" s="1"/>
  <c r="I79" i="153"/>
  <c r="R79" i="153" s="1"/>
  <c r="I80" i="153"/>
  <c r="R80" i="153" s="1"/>
  <c r="I81" i="153"/>
  <c r="R81" i="153" s="1"/>
  <c r="I82" i="153"/>
  <c r="R82" i="153" s="1"/>
  <c r="I83" i="153"/>
  <c r="R83" i="153" s="1"/>
  <c r="I84" i="153"/>
  <c r="R84" i="153" s="1"/>
  <c r="I85" i="153"/>
  <c r="R85" i="153" s="1"/>
  <c r="I86" i="153"/>
  <c r="R86" i="153" s="1"/>
  <c r="I87" i="153"/>
  <c r="R87" i="153" s="1"/>
  <c r="I88" i="153"/>
  <c r="R88" i="153" s="1"/>
  <c r="I89" i="153"/>
  <c r="R89" i="153" s="1"/>
  <c r="I90" i="153"/>
  <c r="R90" i="153" s="1"/>
  <c r="I91" i="153"/>
  <c r="R91" i="153" s="1"/>
  <c r="I92" i="153"/>
  <c r="R92" i="153" s="1"/>
  <c r="I93" i="153"/>
  <c r="R93" i="153" s="1"/>
  <c r="I94" i="153"/>
  <c r="R94" i="153" s="1"/>
  <c r="I95" i="153"/>
  <c r="R95" i="153" s="1"/>
  <c r="I96" i="153"/>
  <c r="R96" i="153" s="1"/>
  <c r="I97" i="153"/>
  <c r="R97" i="153" s="1"/>
  <c r="I98" i="153"/>
  <c r="R98" i="153" s="1"/>
  <c r="I99" i="153"/>
  <c r="R99" i="153" s="1"/>
  <c r="I100" i="153"/>
  <c r="R100" i="153" s="1"/>
  <c r="I101" i="153"/>
  <c r="R101" i="153" s="1"/>
  <c r="I102" i="153"/>
  <c r="R102" i="153" s="1"/>
  <c r="I103" i="153"/>
  <c r="R103" i="153" s="1"/>
  <c r="I104" i="153"/>
  <c r="R104" i="153" s="1"/>
  <c r="I105" i="153"/>
  <c r="R105" i="153" s="1"/>
  <c r="I106" i="153"/>
  <c r="R106" i="153" s="1"/>
  <c r="I107" i="153"/>
  <c r="R107" i="153" s="1"/>
  <c r="I108" i="153"/>
  <c r="R108" i="153" s="1"/>
  <c r="I109" i="153"/>
  <c r="R109" i="153" s="1"/>
  <c r="I110" i="153"/>
  <c r="R110" i="153" s="1"/>
  <c r="I111" i="153"/>
  <c r="R111" i="153" s="1"/>
  <c r="I112" i="153"/>
  <c r="R112" i="153" s="1"/>
  <c r="I113" i="153"/>
  <c r="R113" i="153" s="1"/>
  <c r="I114" i="153"/>
  <c r="R114" i="153" s="1"/>
  <c r="I115" i="153"/>
  <c r="R115" i="153" s="1"/>
  <c r="I116" i="153"/>
  <c r="R116" i="153" s="1"/>
  <c r="I117" i="153"/>
  <c r="R117" i="153" s="1"/>
  <c r="I118" i="153"/>
  <c r="R118" i="153" s="1"/>
  <c r="I119" i="153"/>
  <c r="R119" i="153" s="1"/>
  <c r="I120" i="153"/>
  <c r="R120" i="153" s="1"/>
  <c r="I121" i="153"/>
  <c r="R121" i="153" s="1"/>
  <c r="H3" i="153"/>
  <c r="Q3" i="153" s="1"/>
  <c r="H4" i="153"/>
  <c r="Q4" i="153" s="1"/>
  <c r="H5" i="153"/>
  <c r="Q5" i="153" s="1"/>
  <c r="H6" i="153"/>
  <c r="Q6" i="153" s="1"/>
  <c r="H7" i="153"/>
  <c r="Q7" i="153" s="1"/>
  <c r="H8" i="153"/>
  <c r="Q8" i="153" s="1"/>
  <c r="H9" i="153"/>
  <c r="Q9" i="153" s="1"/>
  <c r="H10" i="153"/>
  <c r="Q10" i="153" s="1"/>
  <c r="H11" i="153"/>
  <c r="Q11" i="153" s="1"/>
  <c r="H12" i="153"/>
  <c r="Q12" i="153" s="1"/>
  <c r="H13" i="153"/>
  <c r="Q13" i="153" s="1"/>
  <c r="H14" i="153"/>
  <c r="Q14" i="153" s="1"/>
  <c r="H15" i="153"/>
  <c r="Q15" i="153" s="1"/>
  <c r="H16" i="153"/>
  <c r="Q16" i="153" s="1"/>
  <c r="H17" i="153"/>
  <c r="Q17" i="153" s="1"/>
  <c r="H18" i="153"/>
  <c r="Q18" i="153" s="1"/>
  <c r="H19" i="153"/>
  <c r="Q19" i="153" s="1"/>
  <c r="H20" i="153"/>
  <c r="Q20" i="153" s="1"/>
  <c r="H21" i="153"/>
  <c r="Q21" i="153" s="1"/>
  <c r="H22" i="153"/>
  <c r="Q22" i="153" s="1"/>
  <c r="H23" i="153"/>
  <c r="Q23" i="153" s="1"/>
  <c r="H24" i="153"/>
  <c r="Q24" i="153" s="1"/>
  <c r="H25" i="153"/>
  <c r="Q25" i="153" s="1"/>
  <c r="H26" i="153"/>
  <c r="Q26" i="153" s="1"/>
  <c r="H27" i="153"/>
  <c r="Q27" i="153" s="1"/>
  <c r="H28" i="153"/>
  <c r="Q28" i="153" s="1"/>
  <c r="H29" i="153"/>
  <c r="Q29" i="153" s="1"/>
  <c r="H30" i="153"/>
  <c r="Q30" i="153" s="1"/>
  <c r="H31" i="153"/>
  <c r="Q31" i="153" s="1"/>
  <c r="H32" i="153"/>
  <c r="Q32" i="153" s="1"/>
  <c r="H33" i="153"/>
  <c r="Q33" i="153" s="1"/>
  <c r="H34" i="153"/>
  <c r="Q34" i="153" s="1"/>
  <c r="H35" i="153"/>
  <c r="Q35" i="153" s="1"/>
  <c r="H36" i="153"/>
  <c r="Q36" i="153" s="1"/>
  <c r="H37" i="153"/>
  <c r="Q37" i="153" s="1"/>
  <c r="H38" i="153"/>
  <c r="Q38" i="153" s="1"/>
  <c r="H39" i="153"/>
  <c r="Q39" i="153" s="1"/>
  <c r="H40" i="153"/>
  <c r="Q40" i="153" s="1"/>
  <c r="H41" i="153"/>
  <c r="Q41" i="153" s="1"/>
  <c r="H42" i="153"/>
  <c r="Q42" i="153" s="1"/>
  <c r="H43" i="153"/>
  <c r="Q43" i="153" s="1"/>
  <c r="H44" i="153"/>
  <c r="Q44" i="153" s="1"/>
  <c r="H45" i="153"/>
  <c r="Q45" i="153" s="1"/>
  <c r="H46" i="153"/>
  <c r="Q46" i="153" s="1"/>
  <c r="H47" i="153"/>
  <c r="Q47" i="153" s="1"/>
  <c r="H48" i="153"/>
  <c r="Q48" i="153" s="1"/>
  <c r="H49" i="153"/>
  <c r="Q49" i="153" s="1"/>
  <c r="H2" i="153"/>
  <c r="Q2" i="153" s="1"/>
  <c r="H1" i="153"/>
  <c r="Q1" i="153" s="1"/>
  <c r="G2" i="153"/>
  <c r="P2" i="153" s="1"/>
  <c r="G1" i="153"/>
  <c r="P1" i="153" s="1"/>
  <c r="I2" i="153"/>
  <c r="R2" i="153" s="1"/>
  <c r="I1" i="153"/>
  <c r="R1" i="153" s="1"/>
  <c r="F1" i="153"/>
  <c r="E1" i="153"/>
  <c r="N1" i="153" s="1"/>
  <c r="D1" i="153"/>
  <c r="N6" i="152"/>
  <c r="F3" i="152"/>
  <c r="H3" i="152"/>
  <c r="N3" i="152" s="1"/>
  <c r="F4" i="152"/>
  <c r="H4" i="152"/>
  <c r="N4" i="152" s="1"/>
  <c r="F5" i="152"/>
  <c r="H5" i="152"/>
  <c r="N5" i="152" s="1"/>
  <c r="F6" i="152"/>
  <c r="H6" i="152"/>
  <c r="F7" i="152"/>
  <c r="H7" i="152"/>
  <c r="N7" i="152" s="1"/>
  <c r="F8" i="152"/>
  <c r="H8" i="152"/>
  <c r="N8" i="152" s="1"/>
  <c r="F9" i="152"/>
  <c r="H9" i="152"/>
  <c r="N9" i="152" s="1"/>
  <c r="F10" i="152"/>
  <c r="H10" i="152"/>
  <c r="N10" i="152" s="1"/>
  <c r="F11" i="152"/>
  <c r="H11" i="152"/>
  <c r="N11" i="152" s="1"/>
  <c r="F12" i="152"/>
  <c r="H12" i="152"/>
  <c r="N12" i="152" s="1"/>
  <c r="F13" i="152"/>
  <c r="H13" i="152"/>
  <c r="N13" i="152" s="1"/>
  <c r="F14" i="152"/>
  <c r="H14" i="152"/>
  <c r="N14" i="152" s="1"/>
  <c r="F15" i="152"/>
  <c r="H15" i="152"/>
  <c r="N15" i="152" s="1"/>
  <c r="F16" i="152"/>
  <c r="H16" i="152"/>
  <c r="N16" i="152" s="1"/>
  <c r="F17" i="152"/>
  <c r="H17" i="152"/>
  <c r="N17" i="152" s="1"/>
  <c r="F18" i="152"/>
  <c r="H18" i="152"/>
  <c r="N18" i="152" s="1"/>
  <c r="F19" i="152"/>
  <c r="H19" i="152"/>
  <c r="N19" i="152" s="1"/>
  <c r="F20" i="152"/>
  <c r="H20" i="152"/>
  <c r="N20" i="152" s="1"/>
  <c r="F21" i="152"/>
  <c r="H21" i="152"/>
  <c r="N21" i="152" s="1"/>
  <c r="F22" i="152"/>
  <c r="H22" i="152"/>
  <c r="N22" i="152" s="1"/>
  <c r="F23" i="152"/>
  <c r="H23" i="152"/>
  <c r="N23" i="152" s="1"/>
  <c r="F24" i="152"/>
  <c r="H24" i="152"/>
  <c r="N24" i="152" s="1"/>
  <c r="F25" i="152"/>
  <c r="H25" i="152"/>
  <c r="N25" i="152" s="1"/>
  <c r="F26" i="152"/>
  <c r="H26" i="152"/>
  <c r="N26" i="152" s="1"/>
  <c r="F27" i="152"/>
  <c r="H27" i="152"/>
  <c r="N27" i="152" s="1"/>
  <c r="F28" i="152"/>
  <c r="H28" i="152"/>
  <c r="N28" i="152" s="1"/>
  <c r="F29" i="152"/>
  <c r="H29" i="152"/>
  <c r="N29" i="152" s="1"/>
  <c r="F30" i="152"/>
  <c r="H30" i="152"/>
  <c r="N30" i="152" s="1"/>
  <c r="F31" i="152"/>
  <c r="H31" i="152"/>
  <c r="N31" i="152" s="1"/>
  <c r="F32" i="152"/>
  <c r="H32" i="152"/>
  <c r="N32" i="152" s="1"/>
  <c r="F33" i="152"/>
  <c r="H33" i="152"/>
  <c r="N33" i="152" s="1"/>
  <c r="F34" i="152"/>
  <c r="H34" i="152"/>
  <c r="N34" i="152" s="1"/>
  <c r="F35" i="152"/>
  <c r="H35" i="152"/>
  <c r="N35" i="152" s="1"/>
  <c r="F36" i="152"/>
  <c r="H36" i="152"/>
  <c r="N36" i="152" s="1"/>
  <c r="F37" i="152"/>
  <c r="H37" i="152"/>
  <c r="N37" i="152" s="1"/>
  <c r="F38" i="152"/>
  <c r="H38" i="152"/>
  <c r="N38" i="152" s="1"/>
  <c r="F39" i="152"/>
  <c r="H39" i="152"/>
  <c r="N39" i="152" s="1"/>
  <c r="F40" i="152"/>
  <c r="H40" i="152"/>
  <c r="N40" i="152" s="1"/>
  <c r="F41" i="152"/>
  <c r="H41" i="152"/>
  <c r="N41" i="152" s="1"/>
  <c r="F42" i="152"/>
  <c r="H42" i="152"/>
  <c r="N42" i="152" s="1"/>
  <c r="F43" i="152"/>
  <c r="H43" i="152"/>
  <c r="N43" i="152" s="1"/>
  <c r="F44" i="152"/>
  <c r="H44" i="152"/>
  <c r="N44" i="152" s="1"/>
  <c r="F45" i="152"/>
  <c r="H45" i="152"/>
  <c r="N45" i="152" s="1"/>
  <c r="F46" i="152"/>
  <c r="H46" i="152"/>
  <c r="N46" i="152" s="1"/>
  <c r="F47" i="152"/>
  <c r="H47" i="152"/>
  <c r="N47" i="152" s="1"/>
  <c r="F48" i="152"/>
  <c r="H48" i="152"/>
  <c r="N48" i="152" s="1"/>
  <c r="F49" i="152"/>
  <c r="H49" i="152"/>
  <c r="N49" i="152" s="1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10" i="152"/>
  <c r="F111" i="152"/>
  <c r="F112" i="152"/>
  <c r="F113" i="152"/>
  <c r="F114" i="152"/>
  <c r="F115" i="152"/>
  <c r="F116" i="152"/>
  <c r="F117" i="152"/>
  <c r="F118" i="152"/>
  <c r="F119" i="152"/>
  <c r="F120" i="152"/>
  <c r="F121" i="152"/>
  <c r="H2" i="152"/>
  <c r="N2" i="152" s="1"/>
  <c r="F2" i="152"/>
  <c r="H1" i="152"/>
  <c r="N1" i="152" s="1"/>
  <c r="F1" i="152"/>
  <c r="L1" i="152" s="1"/>
  <c r="E1" i="152"/>
  <c r="D1" i="152"/>
  <c r="D1" i="151"/>
  <c r="J2" i="151"/>
  <c r="H4" i="151"/>
  <c r="N4" i="151" s="1"/>
  <c r="H5" i="151"/>
  <c r="N5" i="151" s="1"/>
  <c r="H6" i="151"/>
  <c r="N6" i="151" s="1"/>
  <c r="H7" i="151"/>
  <c r="N7" i="151" s="1"/>
  <c r="H8" i="151"/>
  <c r="N8" i="151" s="1"/>
  <c r="H9" i="151"/>
  <c r="N9" i="151" s="1"/>
  <c r="H10" i="151"/>
  <c r="N10" i="151" s="1"/>
  <c r="H11" i="151"/>
  <c r="N11" i="151" s="1"/>
  <c r="H12" i="151"/>
  <c r="N12" i="151" s="1"/>
  <c r="H13" i="151"/>
  <c r="N13" i="151" s="1"/>
  <c r="H14" i="151"/>
  <c r="N14" i="151" s="1"/>
  <c r="H15" i="151"/>
  <c r="N15" i="151" s="1"/>
  <c r="H16" i="151"/>
  <c r="N16" i="151" s="1"/>
  <c r="H17" i="151"/>
  <c r="N17" i="151" s="1"/>
  <c r="H18" i="151"/>
  <c r="N18" i="151" s="1"/>
  <c r="H19" i="151"/>
  <c r="N19" i="151" s="1"/>
  <c r="H20" i="151"/>
  <c r="N20" i="151" s="1"/>
  <c r="H21" i="151"/>
  <c r="N21" i="151" s="1"/>
  <c r="H22" i="151"/>
  <c r="N22" i="151" s="1"/>
  <c r="H23" i="151"/>
  <c r="N23" i="151" s="1"/>
  <c r="H24" i="151"/>
  <c r="N24" i="151" s="1"/>
  <c r="H25" i="151"/>
  <c r="N25" i="151" s="1"/>
  <c r="H26" i="151"/>
  <c r="N26" i="151" s="1"/>
  <c r="H27" i="151"/>
  <c r="N27" i="151" s="1"/>
  <c r="H28" i="151"/>
  <c r="N28" i="151" s="1"/>
  <c r="H29" i="151"/>
  <c r="N29" i="151" s="1"/>
  <c r="H30" i="151"/>
  <c r="N30" i="151" s="1"/>
  <c r="H31" i="151"/>
  <c r="N31" i="151" s="1"/>
  <c r="H32" i="151"/>
  <c r="N32" i="151" s="1"/>
  <c r="H33" i="151"/>
  <c r="N33" i="151" s="1"/>
  <c r="H34" i="151"/>
  <c r="N34" i="151" s="1"/>
  <c r="H35" i="151"/>
  <c r="N35" i="151" s="1"/>
  <c r="H36" i="151"/>
  <c r="N36" i="151" s="1"/>
  <c r="H37" i="151"/>
  <c r="N37" i="151" s="1"/>
  <c r="H38" i="151"/>
  <c r="N38" i="151" s="1"/>
  <c r="H39" i="151"/>
  <c r="N39" i="151" s="1"/>
  <c r="H40" i="151"/>
  <c r="N40" i="151" s="1"/>
  <c r="H41" i="151"/>
  <c r="N41" i="151" s="1"/>
  <c r="H42" i="151"/>
  <c r="N42" i="151" s="1"/>
  <c r="H43" i="151"/>
  <c r="N43" i="151" s="1"/>
  <c r="H44" i="151"/>
  <c r="N44" i="151" s="1"/>
  <c r="H45" i="151"/>
  <c r="N45" i="151" s="1"/>
  <c r="H46" i="151"/>
  <c r="N46" i="151" s="1"/>
  <c r="H47" i="151"/>
  <c r="N47" i="151" s="1"/>
  <c r="H48" i="151"/>
  <c r="N48" i="151" s="1"/>
  <c r="H49" i="151"/>
  <c r="N49" i="151" s="1"/>
  <c r="H2" i="151"/>
  <c r="N2" i="151" s="1"/>
  <c r="H3" i="151"/>
  <c r="N3" i="151" s="1"/>
  <c r="H1" i="151"/>
  <c r="N1" i="151" s="1"/>
  <c r="F3" i="151"/>
  <c r="F4" i="151"/>
  <c r="L4" i="151" s="1"/>
  <c r="F5" i="151"/>
  <c r="L5" i="151" s="1"/>
  <c r="F6" i="151"/>
  <c r="L6" i="151" s="1"/>
  <c r="F7" i="151"/>
  <c r="F8" i="151"/>
  <c r="F9" i="151"/>
  <c r="F10" i="151"/>
  <c r="L10" i="151" s="1"/>
  <c r="F11" i="151"/>
  <c r="F12" i="151"/>
  <c r="L12" i="151" s="1"/>
  <c r="F13" i="151"/>
  <c r="L13" i="151" s="1"/>
  <c r="F14" i="151"/>
  <c r="F15" i="151"/>
  <c r="L15" i="151" s="1"/>
  <c r="F16" i="151"/>
  <c r="F17" i="151"/>
  <c r="F18" i="151"/>
  <c r="L18" i="151" s="1"/>
  <c r="F19" i="151"/>
  <c r="F20" i="151"/>
  <c r="L20" i="151" s="1"/>
  <c r="F21" i="151"/>
  <c r="L21" i="151" s="1"/>
  <c r="F22" i="151"/>
  <c r="L22" i="151" s="1"/>
  <c r="F23" i="151"/>
  <c r="L23" i="151" s="1"/>
  <c r="F24" i="151"/>
  <c r="L24" i="151" s="1"/>
  <c r="F25" i="151"/>
  <c r="F26" i="151"/>
  <c r="L26" i="151" s="1"/>
  <c r="F27" i="151"/>
  <c r="F28" i="151"/>
  <c r="F29" i="151"/>
  <c r="L29" i="151" s="1"/>
  <c r="F30" i="151"/>
  <c r="F31" i="151"/>
  <c r="L31" i="151" s="1"/>
  <c r="F32" i="151"/>
  <c r="L32" i="151" s="1"/>
  <c r="F33" i="151"/>
  <c r="F34" i="151"/>
  <c r="L34" i="151" s="1"/>
  <c r="F35" i="151"/>
  <c r="L35" i="151" s="1"/>
  <c r="F36" i="151"/>
  <c r="L36" i="151" s="1"/>
  <c r="F37" i="151"/>
  <c r="L37" i="151" s="1"/>
  <c r="F38" i="151"/>
  <c r="L38" i="151" s="1"/>
  <c r="F39" i="151"/>
  <c r="F40" i="151"/>
  <c r="L40" i="151" s="1"/>
  <c r="F41" i="151"/>
  <c r="F42" i="151"/>
  <c r="L42" i="151" s="1"/>
  <c r="F43" i="151"/>
  <c r="F44" i="151"/>
  <c r="L44" i="151" s="1"/>
  <c r="F45" i="151"/>
  <c r="L45" i="151" s="1"/>
  <c r="F46" i="151"/>
  <c r="F47" i="151"/>
  <c r="L47" i="151" s="1"/>
  <c r="F48" i="151"/>
  <c r="L48" i="151" s="1"/>
  <c r="F49" i="151"/>
  <c r="F50" i="151"/>
  <c r="L50" i="151" s="1"/>
  <c r="F51" i="151"/>
  <c r="F52" i="151"/>
  <c r="L52" i="151" s="1"/>
  <c r="F53" i="151"/>
  <c r="L53" i="151" s="1"/>
  <c r="F54" i="151"/>
  <c r="L54" i="151" s="1"/>
  <c r="F55" i="151"/>
  <c r="L55" i="151" s="1"/>
  <c r="F56" i="151"/>
  <c r="F57" i="151"/>
  <c r="F58" i="151"/>
  <c r="L58" i="151" s="1"/>
  <c r="F59" i="151"/>
  <c r="F60" i="151"/>
  <c r="L60" i="151" s="1"/>
  <c r="F61" i="151"/>
  <c r="L61" i="151" s="1"/>
  <c r="F62" i="151"/>
  <c r="F63" i="151"/>
  <c r="L63" i="151" s="1"/>
  <c r="F64" i="151"/>
  <c r="F65" i="151"/>
  <c r="F66" i="151"/>
  <c r="L66" i="151" s="1"/>
  <c r="F67" i="151"/>
  <c r="F68" i="151"/>
  <c r="F69" i="151"/>
  <c r="L69" i="151" s="1"/>
  <c r="F70" i="151"/>
  <c r="L70" i="151" s="1"/>
  <c r="F71" i="151"/>
  <c r="L71" i="151" s="1"/>
  <c r="F72" i="151"/>
  <c r="L72" i="151" s="1"/>
  <c r="F73" i="151"/>
  <c r="F74" i="151"/>
  <c r="L74" i="151" s="1"/>
  <c r="F75" i="151"/>
  <c r="F76" i="151"/>
  <c r="L76" i="151" s="1"/>
  <c r="F77" i="151"/>
  <c r="L77" i="151" s="1"/>
  <c r="F78" i="151"/>
  <c r="L78" i="151" s="1"/>
  <c r="F79" i="151"/>
  <c r="L79" i="151" s="1"/>
  <c r="F80" i="151"/>
  <c r="L80" i="151" s="1"/>
  <c r="F81" i="151"/>
  <c r="L81" i="151" s="1"/>
  <c r="F82" i="151"/>
  <c r="L82" i="151" s="1"/>
  <c r="F83" i="151"/>
  <c r="F84" i="151"/>
  <c r="L84" i="151" s="1"/>
  <c r="F85" i="151"/>
  <c r="L85" i="151" s="1"/>
  <c r="F86" i="151"/>
  <c r="L86" i="151" s="1"/>
  <c r="F87" i="151"/>
  <c r="L87" i="151" s="1"/>
  <c r="F88" i="151"/>
  <c r="L88" i="151" s="1"/>
  <c r="F89" i="151"/>
  <c r="F90" i="151"/>
  <c r="L90" i="151" s="1"/>
  <c r="F91" i="151"/>
  <c r="F92" i="151"/>
  <c r="L92" i="151" s="1"/>
  <c r="F93" i="151"/>
  <c r="L93" i="151" s="1"/>
  <c r="F94" i="151"/>
  <c r="F95" i="151"/>
  <c r="L95" i="151" s="1"/>
  <c r="F96" i="151"/>
  <c r="L96" i="151" s="1"/>
  <c r="F97" i="151"/>
  <c r="L97" i="151" s="1"/>
  <c r="F98" i="151"/>
  <c r="L98" i="151" s="1"/>
  <c r="F99" i="151"/>
  <c r="F100" i="151"/>
  <c r="L100" i="151" s="1"/>
  <c r="F101" i="151"/>
  <c r="L101" i="151" s="1"/>
  <c r="F102" i="151"/>
  <c r="L102" i="151" s="1"/>
  <c r="F103" i="151"/>
  <c r="F104" i="151"/>
  <c r="L104" i="151" s="1"/>
  <c r="F105" i="151"/>
  <c r="F106" i="151"/>
  <c r="L106" i="151" s="1"/>
  <c r="F107" i="151"/>
  <c r="F108" i="151"/>
  <c r="L108" i="151" s="1"/>
  <c r="F109" i="151"/>
  <c r="L109" i="151" s="1"/>
  <c r="F110" i="151"/>
  <c r="L110" i="151" s="1"/>
  <c r="F111" i="151"/>
  <c r="L111" i="151" s="1"/>
  <c r="F112" i="151"/>
  <c r="L112" i="151" s="1"/>
  <c r="F113" i="151"/>
  <c r="F114" i="151"/>
  <c r="L114" i="151" s="1"/>
  <c r="F115" i="151"/>
  <c r="F116" i="151"/>
  <c r="L116" i="151" s="1"/>
  <c r="F117" i="151"/>
  <c r="L117" i="151" s="1"/>
  <c r="F118" i="151"/>
  <c r="L118" i="151" s="1"/>
  <c r="F119" i="151"/>
  <c r="L119" i="151" s="1"/>
  <c r="F120" i="151"/>
  <c r="L120" i="151" s="1"/>
  <c r="F121" i="151"/>
  <c r="L121" i="151" s="1"/>
  <c r="F2" i="151"/>
  <c r="L2" i="151" s="1"/>
  <c r="F1" i="151"/>
  <c r="E1" i="151"/>
  <c r="M3" i="154"/>
  <c r="M4" i="154"/>
  <c r="M5" i="154"/>
  <c r="M6" i="154"/>
  <c r="M7" i="154"/>
  <c r="M8" i="154"/>
  <c r="M9" i="154"/>
  <c r="M10" i="154"/>
  <c r="M11" i="154"/>
  <c r="M12" i="154"/>
  <c r="M13" i="154"/>
  <c r="M14" i="154"/>
  <c r="M15" i="154"/>
  <c r="M16" i="154"/>
  <c r="M17" i="154"/>
  <c r="M18" i="154"/>
  <c r="M19" i="154"/>
  <c r="M20" i="154"/>
  <c r="M21" i="154"/>
  <c r="M22" i="154"/>
  <c r="M23" i="154"/>
  <c r="M24" i="154"/>
  <c r="M25" i="154"/>
  <c r="M26" i="154"/>
  <c r="M27" i="154"/>
  <c r="M28" i="154"/>
  <c r="M29" i="154"/>
  <c r="M30" i="154"/>
  <c r="M31" i="154"/>
  <c r="M32" i="154"/>
  <c r="M33" i="154"/>
  <c r="M34" i="154"/>
  <c r="M35" i="154"/>
  <c r="M36" i="154"/>
  <c r="M37" i="154"/>
  <c r="M38" i="154"/>
  <c r="M39" i="154"/>
  <c r="M40" i="154"/>
  <c r="M41" i="154"/>
  <c r="M42" i="154"/>
  <c r="M43" i="154"/>
  <c r="M44" i="154"/>
  <c r="M45" i="154"/>
  <c r="M46" i="154"/>
  <c r="M47" i="154"/>
  <c r="M48" i="154"/>
  <c r="M49" i="154"/>
  <c r="M50" i="154"/>
  <c r="M51" i="154"/>
  <c r="M52" i="154"/>
  <c r="M53" i="154"/>
  <c r="M54" i="154"/>
  <c r="M55" i="154"/>
  <c r="M56" i="154"/>
  <c r="M57" i="154"/>
  <c r="M58" i="154"/>
  <c r="M59" i="154"/>
  <c r="M60" i="154"/>
  <c r="M61" i="154"/>
  <c r="M62" i="154"/>
  <c r="M63" i="154"/>
  <c r="M64" i="154"/>
  <c r="M65" i="154"/>
  <c r="M66" i="154"/>
  <c r="M67" i="154"/>
  <c r="M68" i="154"/>
  <c r="M69" i="154"/>
  <c r="M70" i="154"/>
  <c r="M71" i="154"/>
  <c r="M72" i="154"/>
  <c r="M73" i="154"/>
  <c r="M74" i="154"/>
  <c r="M75" i="154"/>
  <c r="M76" i="154"/>
  <c r="M77" i="154"/>
  <c r="M78" i="154"/>
  <c r="M79" i="154"/>
  <c r="M80" i="154"/>
  <c r="M81" i="154"/>
  <c r="M82" i="154"/>
  <c r="M83" i="154"/>
  <c r="M84" i="154"/>
  <c r="M85" i="154"/>
  <c r="M86" i="154"/>
  <c r="M87" i="154"/>
  <c r="M88" i="154"/>
  <c r="M89" i="154"/>
  <c r="M90" i="154"/>
  <c r="M91" i="154"/>
  <c r="M92" i="154"/>
  <c r="M93" i="154"/>
  <c r="M94" i="154"/>
  <c r="M95" i="154"/>
  <c r="M96" i="154"/>
  <c r="M97" i="154"/>
  <c r="M98" i="154"/>
  <c r="M99" i="154"/>
  <c r="M100" i="154"/>
  <c r="M101" i="154"/>
  <c r="M102" i="154"/>
  <c r="M103" i="154"/>
  <c r="M104" i="154"/>
  <c r="M105" i="154"/>
  <c r="M106" i="154"/>
  <c r="M107" i="154"/>
  <c r="M108" i="154"/>
  <c r="M109" i="154"/>
  <c r="M110" i="154"/>
  <c r="M111" i="154"/>
  <c r="M112" i="154"/>
  <c r="M113" i="154"/>
  <c r="M114" i="154"/>
  <c r="M115" i="154"/>
  <c r="M116" i="154"/>
  <c r="M117" i="154"/>
  <c r="M118" i="154"/>
  <c r="M119" i="154"/>
  <c r="M120" i="154"/>
  <c r="M121" i="154"/>
  <c r="M122" i="154"/>
  <c r="M123" i="154"/>
  <c r="M124" i="154"/>
  <c r="M125" i="154"/>
  <c r="M126" i="154"/>
  <c r="M127" i="154"/>
  <c r="M128" i="154"/>
  <c r="M129" i="154"/>
  <c r="M130" i="154"/>
  <c r="M131" i="154"/>
  <c r="M132" i="154"/>
  <c r="M133" i="154"/>
  <c r="M134" i="154"/>
  <c r="M135" i="154"/>
  <c r="M136" i="154"/>
  <c r="M137" i="154"/>
  <c r="M138" i="154"/>
  <c r="M139" i="154"/>
  <c r="M140" i="154"/>
  <c r="M141" i="154"/>
  <c r="M142" i="154"/>
  <c r="M143" i="154"/>
  <c r="M144" i="154"/>
  <c r="M145" i="154"/>
  <c r="M2" i="154"/>
  <c r="C145" i="154"/>
  <c r="B145" i="154"/>
  <c r="C144" i="154"/>
  <c r="B144" i="154"/>
  <c r="C143" i="154"/>
  <c r="B143" i="154"/>
  <c r="C142" i="154"/>
  <c r="B142" i="154"/>
  <c r="C141" i="154"/>
  <c r="B141" i="154"/>
  <c r="C140" i="154"/>
  <c r="B140" i="154"/>
  <c r="C139" i="154"/>
  <c r="B139" i="154"/>
  <c r="C138" i="154"/>
  <c r="B138" i="154"/>
  <c r="C137" i="154"/>
  <c r="B137" i="154"/>
  <c r="C136" i="154"/>
  <c r="B136" i="154"/>
  <c r="C135" i="154"/>
  <c r="B135" i="154"/>
  <c r="C134" i="154"/>
  <c r="B134" i="154"/>
  <c r="C133" i="154"/>
  <c r="B133" i="154"/>
  <c r="C132" i="154"/>
  <c r="B132" i="154"/>
  <c r="C131" i="154"/>
  <c r="B131" i="154"/>
  <c r="C130" i="154"/>
  <c r="B130" i="154"/>
  <c r="C129" i="154"/>
  <c r="B129" i="154"/>
  <c r="C128" i="154"/>
  <c r="B128" i="154"/>
  <c r="C127" i="154"/>
  <c r="B127" i="154"/>
  <c r="C126" i="154"/>
  <c r="B126" i="154"/>
  <c r="C125" i="154"/>
  <c r="B125" i="154"/>
  <c r="C124" i="154"/>
  <c r="B124" i="154"/>
  <c r="C123" i="154"/>
  <c r="B123" i="154"/>
  <c r="C122" i="154"/>
  <c r="B122" i="154"/>
  <c r="C121" i="154"/>
  <c r="B121" i="154"/>
  <c r="C120" i="154"/>
  <c r="B120" i="154"/>
  <c r="C119" i="154"/>
  <c r="B119" i="154"/>
  <c r="C118" i="154"/>
  <c r="B118" i="154"/>
  <c r="C117" i="154"/>
  <c r="B117" i="154"/>
  <c r="C116" i="154"/>
  <c r="B116" i="154"/>
  <c r="A115" i="154"/>
  <c r="B115" i="154" s="1"/>
  <c r="A114" i="154"/>
  <c r="B114" i="154" s="1"/>
  <c r="A113" i="154"/>
  <c r="C113" i="154" s="1"/>
  <c r="A112" i="154"/>
  <c r="C112" i="154" s="1"/>
  <c r="A111" i="154"/>
  <c r="C111" i="154" s="1"/>
  <c r="A110" i="154"/>
  <c r="B110" i="154" s="1"/>
  <c r="A109" i="154"/>
  <c r="C109" i="154" s="1"/>
  <c r="A108" i="154"/>
  <c r="B108" i="154" s="1"/>
  <c r="A107" i="154"/>
  <c r="C107" i="154" s="1"/>
  <c r="A106" i="154"/>
  <c r="B106" i="154" s="1"/>
  <c r="A105" i="154"/>
  <c r="C105" i="154" s="1"/>
  <c r="A104" i="154"/>
  <c r="C104" i="154" s="1"/>
  <c r="A103" i="154"/>
  <c r="B103" i="154" s="1"/>
  <c r="A102" i="154"/>
  <c r="B102" i="154" s="1"/>
  <c r="A101" i="154"/>
  <c r="C101" i="154" s="1"/>
  <c r="A100" i="154"/>
  <c r="C100" i="154" s="1"/>
  <c r="A99" i="154"/>
  <c r="C99" i="154" s="1"/>
  <c r="A98" i="154"/>
  <c r="B98" i="154" s="1"/>
  <c r="A97" i="154"/>
  <c r="C97" i="154" s="1"/>
  <c r="A96" i="154"/>
  <c r="C96" i="154" s="1"/>
  <c r="A95" i="154"/>
  <c r="B95" i="154" s="1"/>
  <c r="A94" i="154"/>
  <c r="B94" i="154" s="1"/>
  <c r="A93" i="154"/>
  <c r="C93" i="154" s="1"/>
  <c r="A92" i="154"/>
  <c r="B92" i="154" s="1"/>
  <c r="A91" i="154"/>
  <c r="C91" i="154" s="1"/>
  <c r="A90" i="154"/>
  <c r="B90" i="154" s="1"/>
  <c r="A89" i="154"/>
  <c r="C89" i="154" s="1"/>
  <c r="A88" i="154"/>
  <c r="C88" i="154" s="1"/>
  <c r="A87" i="154"/>
  <c r="B87" i="154" s="1"/>
  <c r="A86" i="154"/>
  <c r="B86" i="154" s="1"/>
  <c r="A85" i="154"/>
  <c r="C85" i="154" s="1"/>
  <c r="A84" i="154"/>
  <c r="C84" i="154" s="1"/>
  <c r="A83" i="154"/>
  <c r="C83" i="154" s="1"/>
  <c r="A82" i="154"/>
  <c r="B82" i="154" s="1"/>
  <c r="A81" i="154"/>
  <c r="C81" i="154" s="1"/>
  <c r="A80" i="154"/>
  <c r="B80" i="154" s="1"/>
  <c r="A79" i="154"/>
  <c r="C79" i="154" s="1"/>
  <c r="A78" i="154"/>
  <c r="B78" i="154" s="1"/>
  <c r="A77" i="154"/>
  <c r="C77" i="154" s="1"/>
  <c r="A76" i="154"/>
  <c r="C76" i="154" s="1"/>
  <c r="A75" i="154"/>
  <c r="C75" i="154" s="1"/>
  <c r="A74" i="154"/>
  <c r="B74" i="154" s="1"/>
  <c r="A73" i="154"/>
  <c r="C73" i="154" s="1"/>
  <c r="A72" i="154"/>
  <c r="C72" i="154" s="1"/>
  <c r="A71" i="154"/>
  <c r="C71" i="154" s="1"/>
  <c r="A70" i="154"/>
  <c r="B70" i="154" s="1"/>
  <c r="A69" i="154"/>
  <c r="C69" i="154" s="1"/>
  <c r="A68" i="154"/>
  <c r="C68" i="154" s="1"/>
  <c r="A67" i="154"/>
  <c r="B67" i="154" s="1"/>
  <c r="A66" i="154"/>
  <c r="B66" i="154" s="1"/>
  <c r="A65" i="154"/>
  <c r="C65" i="154" s="1"/>
  <c r="A64" i="154"/>
  <c r="B64" i="154" s="1"/>
  <c r="A63" i="154"/>
  <c r="C63" i="154" s="1"/>
  <c r="A62" i="154"/>
  <c r="B62" i="154" s="1"/>
  <c r="A61" i="154"/>
  <c r="C61" i="154" s="1"/>
  <c r="A60" i="154"/>
  <c r="C60" i="154" s="1"/>
  <c r="A59" i="154"/>
  <c r="C59" i="154" s="1"/>
  <c r="A58" i="154"/>
  <c r="B58" i="154" s="1"/>
  <c r="A57" i="154"/>
  <c r="C57" i="154" s="1"/>
  <c r="A56" i="154"/>
  <c r="C56" i="154" s="1"/>
  <c r="A55" i="154"/>
  <c r="C55" i="154" s="1"/>
  <c r="A54" i="154"/>
  <c r="B54" i="154" s="1"/>
  <c r="A53" i="154"/>
  <c r="C53" i="154" s="1"/>
  <c r="A52" i="154"/>
  <c r="C52" i="154" s="1"/>
  <c r="A51" i="154"/>
  <c r="C51" i="154" s="1"/>
  <c r="A50" i="154"/>
  <c r="B50" i="154" s="1"/>
  <c r="A49" i="154"/>
  <c r="C49" i="154" s="1"/>
  <c r="A48" i="154"/>
  <c r="C48" i="154" s="1"/>
  <c r="A47" i="154"/>
  <c r="C47" i="154" s="1"/>
  <c r="A46" i="154"/>
  <c r="B46" i="154" s="1"/>
  <c r="A45" i="154"/>
  <c r="C45" i="154" s="1"/>
  <c r="A44" i="154"/>
  <c r="C44" i="154" s="1"/>
  <c r="A43" i="154"/>
  <c r="C43" i="154" s="1"/>
  <c r="A42" i="154"/>
  <c r="B42" i="154" s="1"/>
  <c r="A41" i="154"/>
  <c r="C41" i="154" s="1"/>
  <c r="A40" i="154"/>
  <c r="C40" i="154" s="1"/>
  <c r="A39" i="154"/>
  <c r="B39" i="154" s="1"/>
  <c r="A38" i="154"/>
  <c r="B38" i="154" s="1"/>
  <c r="A37" i="154"/>
  <c r="C37" i="154" s="1"/>
  <c r="A36" i="154"/>
  <c r="C36" i="154" s="1"/>
  <c r="A35" i="154"/>
  <c r="A34" i="154"/>
  <c r="B34" i="154" s="1"/>
  <c r="A33" i="154"/>
  <c r="C33" i="154" s="1"/>
  <c r="A32" i="154"/>
  <c r="C32" i="154" s="1"/>
  <c r="A31" i="154"/>
  <c r="B31" i="154" s="1"/>
  <c r="A30" i="154"/>
  <c r="B30" i="154" s="1"/>
  <c r="A29" i="154"/>
  <c r="B29" i="154" s="1"/>
  <c r="A28" i="154"/>
  <c r="C28" i="154" s="1"/>
  <c r="A27" i="154"/>
  <c r="B27" i="154" s="1"/>
  <c r="A26" i="154"/>
  <c r="B26" i="154" s="1"/>
  <c r="A25" i="154"/>
  <c r="B25" i="154" s="1"/>
  <c r="A24" i="154"/>
  <c r="C24" i="154" s="1"/>
  <c r="A23" i="154"/>
  <c r="C23" i="154" s="1"/>
  <c r="A22" i="154"/>
  <c r="B22" i="154" s="1"/>
  <c r="A21" i="154"/>
  <c r="C21" i="154" s="1"/>
  <c r="A20" i="154"/>
  <c r="C20" i="154" s="1"/>
  <c r="A19" i="154"/>
  <c r="B19" i="154" s="1"/>
  <c r="A18" i="154"/>
  <c r="B18" i="154" s="1"/>
  <c r="A17" i="154"/>
  <c r="C17" i="154" s="1"/>
  <c r="A16" i="154"/>
  <c r="C16" i="154" s="1"/>
  <c r="A15" i="154"/>
  <c r="B15" i="154" s="1"/>
  <c r="A14" i="154"/>
  <c r="C14" i="154" s="1"/>
  <c r="A13" i="154"/>
  <c r="C13" i="154" s="1"/>
  <c r="A12" i="154"/>
  <c r="C12" i="154" s="1"/>
  <c r="A11" i="154"/>
  <c r="B11" i="154" s="1"/>
  <c r="A10" i="154"/>
  <c r="C10" i="154" s="1"/>
  <c r="A9" i="154"/>
  <c r="C9" i="154" s="1"/>
  <c r="A8" i="154"/>
  <c r="C8" i="154" s="1"/>
  <c r="A7" i="154"/>
  <c r="C7" i="154" s="1"/>
  <c r="A6" i="154"/>
  <c r="C6" i="154" s="1"/>
  <c r="A5" i="154"/>
  <c r="C5" i="154" s="1"/>
  <c r="A4" i="154"/>
  <c r="C4" i="154" s="1"/>
  <c r="A3" i="154"/>
  <c r="C3" i="154" s="1"/>
  <c r="P2" i="154"/>
  <c r="A2" i="154"/>
  <c r="C2" i="154" s="1"/>
  <c r="P1" i="154"/>
  <c r="N1" i="154"/>
  <c r="A1" i="154"/>
  <c r="M121" i="153"/>
  <c r="A121" i="153"/>
  <c r="C121" i="153" s="1"/>
  <c r="M120" i="153"/>
  <c r="A120" i="153"/>
  <c r="B120" i="153" s="1"/>
  <c r="M119" i="153"/>
  <c r="A119" i="153"/>
  <c r="C119" i="153" s="1"/>
  <c r="M118" i="153"/>
  <c r="A118" i="153"/>
  <c r="C118" i="153" s="1"/>
  <c r="M117" i="153"/>
  <c r="A117" i="153"/>
  <c r="C117" i="153" s="1"/>
  <c r="M116" i="153"/>
  <c r="A116" i="153"/>
  <c r="C116" i="153" s="1"/>
  <c r="M115" i="153"/>
  <c r="A115" i="153"/>
  <c r="C115" i="153" s="1"/>
  <c r="M114" i="153"/>
  <c r="A114" i="153"/>
  <c r="C114" i="153" s="1"/>
  <c r="M113" i="153"/>
  <c r="A113" i="153"/>
  <c r="C113" i="153" s="1"/>
  <c r="M112" i="153"/>
  <c r="A112" i="153"/>
  <c r="C112" i="153" s="1"/>
  <c r="M111" i="153"/>
  <c r="A111" i="153"/>
  <c r="C111" i="153" s="1"/>
  <c r="M110" i="153"/>
  <c r="A110" i="153"/>
  <c r="C110" i="153" s="1"/>
  <c r="M109" i="153"/>
  <c r="A109" i="153"/>
  <c r="C109" i="153" s="1"/>
  <c r="M108" i="153"/>
  <c r="A108" i="153"/>
  <c r="B108" i="153" s="1"/>
  <c r="M107" i="153"/>
  <c r="A107" i="153"/>
  <c r="C107" i="153" s="1"/>
  <c r="M106" i="153"/>
  <c r="A106" i="153"/>
  <c r="C106" i="153" s="1"/>
  <c r="M105" i="153"/>
  <c r="A105" i="153"/>
  <c r="C105" i="153" s="1"/>
  <c r="M104" i="153"/>
  <c r="A104" i="153"/>
  <c r="B104" i="153" s="1"/>
  <c r="M103" i="153"/>
  <c r="A103" i="153"/>
  <c r="C103" i="153" s="1"/>
  <c r="M102" i="153"/>
  <c r="A102" i="153"/>
  <c r="C102" i="153" s="1"/>
  <c r="M101" i="153"/>
  <c r="A101" i="153"/>
  <c r="C101" i="153" s="1"/>
  <c r="M100" i="153"/>
  <c r="A100" i="153"/>
  <c r="C100" i="153" s="1"/>
  <c r="M99" i="153"/>
  <c r="A99" i="153"/>
  <c r="C99" i="153" s="1"/>
  <c r="M98" i="153"/>
  <c r="A98" i="153"/>
  <c r="C98" i="153" s="1"/>
  <c r="M97" i="153"/>
  <c r="A97" i="153"/>
  <c r="C97" i="153" s="1"/>
  <c r="M96" i="153"/>
  <c r="A96" i="153"/>
  <c r="B96" i="153" s="1"/>
  <c r="M95" i="153"/>
  <c r="A95" i="153"/>
  <c r="C95" i="153" s="1"/>
  <c r="M94" i="153"/>
  <c r="A94" i="153"/>
  <c r="B94" i="153" s="1"/>
  <c r="M93" i="153"/>
  <c r="A93" i="153"/>
  <c r="C93" i="153" s="1"/>
  <c r="M92" i="153"/>
  <c r="A92" i="153"/>
  <c r="C92" i="153" s="1"/>
  <c r="M91" i="153"/>
  <c r="A91" i="153"/>
  <c r="C91" i="153" s="1"/>
  <c r="M90" i="153"/>
  <c r="A90" i="153"/>
  <c r="C90" i="153" s="1"/>
  <c r="M89" i="153"/>
  <c r="A89" i="153"/>
  <c r="C89" i="153" s="1"/>
  <c r="M88" i="153"/>
  <c r="A88" i="153"/>
  <c r="C88" i="153" s="1"/>
  <c r="M87" i="153"/>
  <c r="A87" i="153"/>
  <c r="C87" i="153" s="1"/>
  <c r="M86" i="153"/>
  <c r="A86" i="153"/>
  <c r="B86" i="153" s="1"/>
  <c r="M85" i="153"/>
  <c r="A85" i="153"/>
  <c r="C85" i="153" s="1"/>
  <c r="M84" i="153"/>
  <c r="A84" i="153"/>
  <c r="B84" i="153" s="1"/>
  <c r="M83" i="153"/>
  <c r="A83" i="153"/>
  <c r="C83" i="153" s="1"/>
  <c r="M82" i="153"/>
  <c r="A82" i="153"/>
  <c r="C82" i="153" s="1"/>
  <c r="M81" i="153"/>
  <c r="A81" i="153"/>
  <c r="C81" i="153" s="1"/>
  <c r="M80" i="153"/>
  <c r="A80" i="153"/>
  <c r="C80" i="153" s="1"/>
  <c r="M79" i="153"/>
  <c r="A79" i="153"/>
  <c r="C79" i="153" s="1"/>
  <c r="M78" i="153"/>
  <c r="A78" i="153"/>
  <c r="C78" i="153" s="1"/>
  <c r="M77" i="153"/>
  <c r="A77" i="153"/>
  <c r="C77" i="153" s="1"/>
  <c r="M76" i="153"/>
  <c r="A76" i="153"/>
  <c r="C76" i="153" s="1"/>
  <c r="M75" i="153"/>
  <c r="A75" i="153"/>
  <c r="C75" i="153" s="1"/>
  <c r="M74" i="153"/>
  <c r="A74" i="153"/>
  <c r="C74" i="153" s="1"/>
  <c r="M73" i="153"/>
  <c r="A73" i="153"/>
  <c r="C73" i="153" s="1"/>
  <c r="M72" i="153"/>
  <c r="A72" i="153"/>
  <c r="C72" i="153" s="1"/>
  <c r="M71" i="153"/>
  <c r="A71" i="153"/>
  <c r="C71" i="153" s="1"/>
  <c r="M70" i="153"/>
  <c r="A70" i="153"/>
  <c r="C70" i="153" s="1"/>
  <c r="M69" i="153"/>
  <c r="A69" i="153"/>
  <c r="C69" i="153" s="1"/>
  <c r="M68" i="153"/>
  <c r="A68" i="153"/>
  <c r="B68" i="153" s="1"/>
  <c r="M67" i="153"/>
  <c r="A67" i="153"/>
  <c r="C67" i="153" s="1"/>
  <c r="M66" i="153"/>
  <c r="A66" i="153"/>
  <c r="C66" i="153" s="1"/>
  <c r="M65" i="153"/>
  <c r="A65" i="153"/>
  <c r="C65" i="153" s="1"/>
  <c r="M64" i="153"/>
  <c r="A64" i="153"/>
  <c r="C64" i="153" s="1"/>
  <c r="M63" i="153"/>
  <c r="A63" i="153"/>
  <c r="C63" i="153" s="1"/>
  <c r="M62" i="153"/>
  <c r="A62" i="153"/>
  <c r="C62" i="153" s="1"/>
  <c r="M61" i="153"/>
  <c r="A61" i="153"/>
  <c r="C61" i="153" s="1"/>
  <c r="M60" i="153"/>
  <c r="A60" i="153"/>
  <c r="B60" i="153" s="1"/>
  <c r="M59" i="153"/>
  <c r="A59" i="153"/>
  <c r="C59" i="153" s="1"/>
  <c r="M58" i="153"/>
  <c r="A58" i="153"/>
  <c r="C58" i="153" s="1"/>
  <c r="M57" i="153"/>
  <c r="A57" i="153"/>
  <c r="C57" i="153" s="1"/>
  <c r="M56" i="153"/>
  <c r="A56" i="153"/>
  <c r="C56" i="153" s="1"/>
  <c r="M55" i="153"/>
  <c r="A55" i="153"/>
  <c r="C55" i="153" s="1"/>
  <c r="M54" i="153"/>
  <c r="A54" i="153"/>
  <c r="B54" i="153" s="1"/>
  <c r="M53" i="153"/>
  <c r="A53" i="153"/>
  <c r="C53" i="153" s="1"/>
  <c r="M52" i="153"/>
  <c r="A52" i="153"/>
  <c r="C52" i="153" s="1"/>
  <c r="M51" i="153"/>
  <c r="A51" i="153"/>
  <c r="C51" i="153" s="1"/>
  <c r="M50" i="153"/>
  <c r="A50" i="153"/>
  <c r="C50" i="153" s="1"/>
  <c r="M49" i="153"/>
  <c r="A49" i="153"/>
  <c r="C49" i="153" s="1"/>
  <c r="M48" i="153"/>
  <c r="A48" i="153"/>
  <c r="C48" i="153" s="1"/>
  <c r="M47" i="153"/>
  <c r="A47" i="153"/>
  <c r="C47" i="153" s="1"/>
  <c r="M46" i="153"/>
  <c r="A46" i="153"/>
  <c r="C46" i="153" s="1"/>
  <c r="M45" i="153"/>
  <c r="A45" i="153"/>
  <c r="C45" i="153" s="1"/>
  <c r="M44" i="153"/>
  <c r="A44" i="153"/>
  <c r="C44" i="153" s="1"/>
  <c r="M43" i="153"/>
  <c r="A43" i="153"/>
  <c r="C43" i="153" s="1"/>
  <c r="M42" i="153"/>
  <c r="A42" i="153"/>
  <c r="C42" i="153" s="1"/>
  <c r="M41" i="153"/>
  <c r="A41" i="153"/>
  <c r="C41" i="153" s="1"/>
  <c r="M40" i="153"/>
  <c r="A40" i="153"/>
  <c r="C40" i="153" s="1"/>
  <c r="M39" i="153"/>
  <c r="A39" i="153"/>
  <c r="C39" i="153" s="1"/>
  <c r="M38" i="153"/>
  <c r="A38" i="153"/>
  <c r="B38" i="153" s="1"/>
  <c r="M37" i="153"/>
  <c r="A37" i="153"/>
  <c r="C37" i="153" s="1"/>
  <c r="M36" i="153"/>
  <c r="A36" i="153"/>
  <c r="C36" i="153" s="1"/>
  <c r="M35" i="153"/>
  <c r="A35" i="153"/>
  <c r="C35" i="153" s="1"/>
  <c r="M34" i="153"/>
  <c r="A34" i="153"/>
  <c r="C34" i="153" s="1"/>
  <c r="M33" i="153"/>
  <c r="A33" i="153"/>
  <c r="C33" i="153" s="1"/>
  <c r="M32" i="153"/>
  <c r="A32" i="153"/>
  <c r="C32" i="153" s="1"/>
  <c r="M31" i="153"/>
  <c r="A31" i="153"/>
  <c r="C31" i="153" s="1"/>
  <c r="M30" i="153"/>
  <c r="A30" i="153"/>
  <c r="C30" i="153" s="1"/>
  <c r="M29" i="153"/>
  <c r="A29" i="153"/>
  <c r="C29" i="153" s="1"/>
  <c r="M28" i="153"/>
  <c r="A28" i="153"/>
  <c r="C28" i="153" s="1"/>
  <c r="M27" i="153"/>
  <c r="A27" i="153"/>
  <c r="C27" i="153" s="1"/>
  <c r="M26" i="153"/>
  <c r="A26" i="153"/>
  <c r="C26" i="153" s="1"/>
  <c r="M25" i="153"/>
  <c r="A25" i="153"/>
  <c r="C25" i="153" s="1"/>
  <c r="M24" i="153"/>
  <c r="A24" i="153"/>
  <c r="C24" i="153" s="1"/>
  <c r="M23" i="153"/>
  <c r="A23" i="153"/>
  <c r="C23" i="153" s="1"/>
  <c r="M22" i="153"/>
  <c r="A22" i="153"/>
  <c r="C22" i="153" s="1"/>
  <c r="M21" i="153"/>
  <c r="A21" i="153"/>
  <c r="C21" i="153" s="1"/>
  <c r="M20" i="153"/>
  <c r="A20" i="153"/>
  <c r="C20" i="153" s="1"/>
  <c r="M19" i="153"/>
  <c r="A19" i="153"/>
  <c r="C19" i="153" s="1"/>
  <c r="M18" i="153"/>
  <c r="A18" i="153"/>
  <c r="C18" i="153" s="1"/>
  <c r="M17" i="153"/>
  <c r="A17" i="153"/>
  <c r="C17" i="153" s="1"/>
  <c r="M16" i="153"/>
  <c r="A16" i="153"/>
  <c r="C16" i="153" s="1"/>
  <c r="M15" i="153"/>
  <c r="A15" i="153"/>
  <c r="C15" i="153" s="1"/>
  <c r="M14" i="153"/>
  <c r="A14" i="153"/>
  <c r="C14" i="153" s="1"/>
  <c r="M13" i="153"/>
  <c r="A13" i="153"/>
  <c r="C13" i="153" s="1"/>
  <c r="M12" i="153"/>
  <c r="A12" i="153"/>
  <c r="C12" i="153" s="1"/>
  <c r="M11" i="153"/>
  <c r="A11" i="153"/>
  <c r="C11" i="153" s="1"/>
  <c r="M10" i="153"/>
  <c r="A10" i="153"/>
  <c r="C10" i="153" s="1"/>
  <c r="M9" i="153"/>
  <c r="A9" i="153"/>
  <c r="C9" i="153" s="1"/>
  <c r="M8" i="153"/>
  <c r="A8" i="153"/>
  <c r="C8" i="153" s="1"/>
  <c r="M7" i="153"/>
  <c r="A7" i="153"/>
  <c r="C7" i="153" s="1"/>
  <c r="M6" i="153"/>
  <c r="A6" i="153"/>
  <c r="B6" i="153" s="1"/>
  <c r="M5" i="153"/>
  <c r="A5" i="153"/>
  <c r="C5" i="153" s="1"/>
  <c r="M4" i="153"/>
  <c r="A4" i="153"/>
  <c r="C4" i="153" s="1"/>
  <c r="M3" i="153"/>
  <c r="A3" i="153"/>
  <c r="C3" i="153" s="1"/>
  <c r="M2" i="153"/>
  <c r="A2" i="153"/>
  <c r="C2" i="153" s="1"/>
  <c r="O1" i="153"/>
  <c r="A1" i="153"/>
  <c r="J3" i="152"/>
  <c r="J4" i="152"/>
  <c r="J5" i="152"/>
  <c r="J6" i="152"/>
  <c r="J7" i="152"/>
  <c r="J8" i="152"/>
  <c r="J9" i="152"/>
  <c r="J10" i="152"/>
  <c r="J11" i="152"/>
  <c r="J12" i="152"/>
  <c r="J13" i="152"/>
  <c r="J14" i="152"/>
  <c r="J15" i="152"/>
  <c r="J16" i="152"/>
  <c r="J17" i="152"/>
  <c r="J18" i="152"/>
  <c r="J19" i="152"/>
  <c r="J20" i="152"/>
  <c r="J21" i="152"/>
  <c r="J22" i="152"/>
  <c r="J23" i="152"/>
  <c r="J24" i="152"/>
  <c r="J25" i="152"/>
  <c r="J26" i="152"/>
  <c r="J27" i="152"/>
  <c r="J28" i="152"/>
  <c r="J29" i="152"/>
  <c r="J30" i="152"/>
  <c r="J31" i="152"/>
  <c r="J32" i="152"/>
  <c r="J33" i="152"/>
  <c r="J34" i="152"/>
  <c r="J35" i="152"/>
  <c r="J36" i="152"/>
  <c r="J37" i="152"/>
  <c r="J38" i="152"/>
  <c r="J39" i="152"/>
  <c r="J40" i="152"/>
  <c r="J41" i="152"/>
  <c r="J42" i="152"/>
  <c r="J43" i="152"/>
  <c r="J44" i="152"/>
  <c r="J45" i="152"/>
  <c r="J46" i="152"/>
  <c r="J47" i="152"/>
  <c r="J48" i="152"/>
  <c r="J49" i="152"/>
  <c r="J50" i="152"/>
  <c r="J51" i="152"/>
  <c r="J52" i="152"/>
  <c r="J53" i="152"/>
  <c r="J54" i="152"/>
  <c r="J55" i="152"/>
  <c r="J56" i="152"/>
  <c r="J57" i="152"/>
  <c r="J58" i="152"/>
  <c r="J59" i="152"/>
  <c r="J60" i="152"/>
  <c r="J61" i="152"/>
  <c r="J62" i="152"/>
  <c r="J63" i="152"/>
  <c r="J64" i="152"/>
  <c r="J65" i="152"/>
  <c r="J66" i="152"/>
  <c r="J67" i="152"/>
  <c r="J68" i="152"/>
  <c r="J69" i="152"/>
  <c r="J70" i="152"/>
  <c r="J71" i="152"/>
  <c r="J72" i="152"/>
  <c r="J73" i="152"/>
  <c r="J74" i="152"/>
  <c r="J75" i="152"/>
  <c r="J76" i="152"/>
  <c r="J77" i="152"/>
  <c r="J78" i="152"/>
  <c r="J79" i="152"/>
  <c r="J80" i="152"/>
  <c r="J81" i="152"/>
  <c r="J82" i="152"/>
  <c r="J83" i="152"/>
  <c r="J84" i="152"/>
  <c r="J85" i="152"/>
  <c r="J86" i="152"/>
  <c r="J87" i="152"/>
  <c r="J88" i="152"/>
  <c r="J89" i="152"/>
  <c r="J90" i="152"/>
  <c r="J91" i="152"/>
  <c r="J92" i="152"/>
  <c r="J93" i="152"/>
  <c r="J94" i="152"/>
  <c r="J95" i="152"/>
  <c r="J96" i="152"/>
  <c r="J97" i="152"/>
  <c r="J98" i="152"/>
  <c r="J99" i="152"/>
  <c r="J100" i="152"/>
  <c r="J101" i="152"/>
  <c r="J102" i="152"/>
  <c r="J103" i="152"/>
  <c r="J104" i="152"/>
  <c r="J105" i="152"/>
  <c r="J106" i="152"/>
  <c r="J107" i="152"/>
  <c r="J108" i="152"/>
  <c r="J109" i="152"/>
  <c r="J110" i="152"/>
  <c r="J111" i="152"/>
  <c r="J112" i="152"/>
  <c r="J113" i="152"/>
  <c r="J114" i="152"/>
  <c r="J115" i="152"/>
  <c r="J116" i="152"/>
  <c r="J117" i="152"/>
  <c r="J118" i="152"/>
  <c r="J119" i="152"/>
  <c r="J120" i="152"/>
  <c r="J121" i="152"/>
  <c r="J122" i="152"/>
  <c r="J123" i="152"/>
  <c r="J124" i="152"/>
  <c r="J125" i="152"/>
  <c r="J126" i="152"/>
  <c r="J127" i="152"/>
  <c r="J128" i="152"/>
  <c r="J129" i="152"/>
  <c r="J130" i="152"/>
  <c r="J131" i="152"/>
  <c r="J132" i="152"/>
  <c r="J133" i="152"/>
  <c r="J134" i="152"/>
  <c r="J135" i="152"/>
  <c r="J136" i="152"/>
  <c r="J137" i="152"/>
  <c r="J138" i="152"/>
  <c r="J139" i="152"/>
  <c r="J140" i="152"/>
  <c r="J141" i="152"/>
  <c r="J142" i="152"/>
  <c r="J143" i="152"/>
  <c r="J144" i="152"/>
  <c r="J145" i="152"/>
  <c r="J2" i="152"/>
  <c r="C145" i="152"/>
  <c r="B145" i="152"/>
  <c r="C144" i="152"/>
  <c r="B144" i="152"/>
  <c r="C143" i="152"/>
  <c r="B143" i="152"/>
  <c r="C142" i="152"/>
  <c r="B142" i="152"/>
  <c r="C141" i="152"/>
  <c r="B141" i="152"/>
  <c r="C140" i="152"/>
  <c r="B140" i="152"/>
  <c r="C139" i="152"/>
  <c r="B139" i="152"/>
  <c r="C138" i="152"/>
  <c r="B138" i="152"/>
  <c r="C137" i="152"/>
  <c r="B137" i="152"/>
  <c r="C136" i="152"/>
  <c r="B136" i="152"/>
  <c r="C135" i="152"/>
  <c r="B135" i="152"/>
  <c r="C134" i="152"/>
  <c r="B134" i="152"/>
  <c r="C133" i="152"/>
  <c r="B133" i="152"/>
  <c r="C132" i="152"/>
  <c r="B132" i="152"/>
  <c r="C131" i="152"/>
  <c r="B131" i="152"/>
  <c r="C130" i="152"/>
  <c r="B130" i="152"/>
  <c r="C129" i="152"/>
  <c r="B129" i="152"/>
  <c r="C128" i="152"/>
  <c r="B128" i="152"/>
  <c r="C127" i="152"/>
  <c r="B127" i="152"/>
  <c r="C126" i="152"/>
  <c r="B126" i="152"/>
  <c r="C125" i="152"/>
  <c r="B125" i="152"/>
  <c r="C124" i="152"/>
  <c r="B124" i="152"/>
  <c r="C123" i="152"/>
  <c r="B123" i="152"/>
  <c r="C122" i="152"/>
  <c r="B122" i="152"/>
  <c r="C121" i="152"/>
  <c r="B121" i="152"/>
  <c r="C120" i="152"/>
  <c r="B120" i="152"/>
  <c r="C119" i="152"/>
  <c r="B119" i="152"/>
  <c r="C118" i="152"/>
  <c r="B118" i="152"/>
  <c r="C117" i="152"/>
  <c r="B117" i="152"/>
  <c r="C116" i="152"/>
  <c r="B116" i="152"/>
  <c r="A115" i="152"/>
  <c r="C115" i="152" s="1"/>
  <c r="A114" i="152"/>
  <c r="C114" i="152" s="1"/>
  <c r="A113" i="152"/>
  <c r="A112" i="152"/>
  <c r="B112" i="152" s="1"/>
  <c r="A111" i="152"/>
  <c r="C111" i="152" s="1"/>
  <c r="A110" i="152"/>
  <c r="C110" i="152" s="1"/>
  <c r="A109" i="152"/>
  <c r="C109" i="152" s="1"/>
  <c r="A108" i="152"/>
  <c r="C108" i="152" s="1"/>
  <c r="A107" i="152"/>
  <c r="B107" i="152" s="1"/>
  <c r="A106" i="152"/>
  <c r="C106" i="152" s="1"/>
  <c r="A105" i="152"/>
  <c r="C105" i="152" s="1"/>
  <c r="A104" i="152"/>
  <c r="C104" i="152" s="1"/>
  <c r="A103" i="152"/>
  <c r="C103" i="152" s="1"/>
  <c r="A102" i="152"/>
  <c r="C102" i="152" s="1"/>
  <c r="A101" i="152"/>
  <c r="B101" i="152" s="1"/>
  <c r="A100" i="152"/>
  <c r="C100" i="152" s="1"/>
  <c r="A99" i="152"/>
  <c r="C99" i="152" s="1"/>
  <c r="A98" i="152"/>
  <c r="B98" i="152" s="1"/>
  <c r="A97" i="152"/>
  <c r="B97" i="152" s="1"/>
  <c r="A96" i="152"/>
  <c r="C96" i="152" s="1"/>
  <c r="A95" i="152"/>
  <c r="C95" i="152" s="1"/>
  <c r="A94" i="152"/>
  <c r="C94" i="152" s="1"/>
  <c r="A93" i="152"/>
  <c r="B93" i="152" s="1"/>
  <c r="A92" i="152"/>
  <c r="C92" i="152" s="1"/>
  <c r="A91" i="152"/>
  <c r="C91" i="152" s="1"/>
  <c r="A90" i="152"/>
  <c r="C90" i="152" s="1"/>
  <c r="A89" i="152"/>
  <c r="B89" i="152" s="1"/>
  <c r="A88" i="152"/>
  <c r="C88" i="152" s="1"/>
  <c r="A87" i="152"/>
  <c r="C87" i="152" s="1"/>
  <c r="A86" i="152"/>
  <c r="C86" i="152" s="1"/>
  <c r="A85" i="152"/>
  <c r="B85" i="152" s="1"/>
  <c r="A84" i="152"/>
  <c r="C84" i="152" s="1"/>
  <c r="A83" i="152"/>
  <c r="C83" i="152" s="1"/>
  <c r="A82" i="152"/>
  <c r="B82" i="152" s="1"/>
  <c r="A81" i="152"/>
  <c r="B81" i="152" s="1"/>
  <c r="A80" i="152"/>
  <c r="C80" i="152" s="1"/>
  <c r="A79" i="152"/>
  <c r="C79" i="152" s="1"/>
  <c r="A78" i="152"/>
  <c r="C78" i="152" s="1"/>
  <c r="A77" i="152"/>
  <c r="B77" i="152" s="1"/>
  <c r="A76" i="152"/>
  <c r="B76" i="152" s="1"/>
  <c r="A75" i="152"/>
  <c r="C75" i="152" s="1"/>
  <c r="A74" i="152"/>
  <c r="C74" i="152" s="1"/>
  <c r="A73" i="152"/>
  <c r="B73" i="152" s="1"/>
  <c r="A72" i="152"/>
  <c r="B72" i="152" s="1"/>
  <c r="A71" i="152"/>
  <c r="C71" i="152" s="1"/>
  <c r="A70" i="152"/>
  <c r="C70" i="152" s="1"/>
  <c r="A69" i="152"/>
  <c r="B69" i="152" s="1"/>
  <c r="A68" i="152"/>
  <c r="B68" i="152" s="1"/>
  <c r="A67" i="152"/>
  <c r="C67" i="152" s="1"/>
  <c r="A66" i="152"/>
  <c r="B66" i="152" s="1"/>
  <c r="A65" i="152"/>
  <c r="C65" i="152" s="1"/>
  <c r="A64" i="152"/>
  <c r="B64" i="152" s="1"/>
  <c r="A63" i="152"/>
  <c r="C63" i="152" s="1"/>
  <c r="A62" i="152"/>
  <c r="C62" i="152" s="1"/>
  <c r="A61" i="152"/>
  <c r="B61" i="152" s="1"/>
  <c r="A60" i="152"/>
  <c r="B60" i="152" s="1"/>
  <c r="A59" i="152"/>
  <c r="C59" i="152" s="1"/>
  <c r="A58" i="152"/>
  <c r="C58" i="152" s="1"/>
  <c r="A57" i="152"/>
  <c r="B57" i="152" s="1"/>
  <c r="A56" i="152"/>
  <c r="B56" i="152" s="1"/>
  <c r="A55" i="152"/>
  <c r="C55" i="152" s="1"/>
  <c r="A54" i="152"/>
  <c r="C54" i="152" s="1"/>
  <c r="A53" i="152"/>
  <c r="C53" i="152" s="1"/>
  <c r="A52" i="152"/>
  <c r="B52" i="152" s="1"/>
  <c r="A51" i="152"/>
  <c r="C51" i="152" s="1"/>
  <c r="A50" i="152"/>
  <c r="C50" i="152" s="1"/>
  <c r="A49" i="152"/>
  <c r="B49" i="152" s="1"/>
  <c r="A48" i="152"/>
  <c r="C48" i="152" s="1"/>
  <c r="A47" i="152"/>
  <c r="C47" i="152" s="1"/>
  <c r="A46" i="152"/>
  <c r="C46" i="152" s="1"/>
  <c r="A45" i="152"/>
  <c r="B45" i="152" s="1"/>
  <c r="A44" i="152"/>
  <c r="B44" i="152" s="1"/>
  <c r="A43" i="152"/>
  <c r="C43" i="152" s="1"/>
  <c r="A42" i="152"/>
  <c r="C42" i="152" s="1"/>
  <c r="A41" i="152"/>
  <c r="B41" i="152" s="1"/>
  <c r="A40" i="152"/>
  <c r="A39" i="152"/>
  <c r="C39" i="152" s="1"/>
  <c r="A38" i="152"/>
  <c r="C38" i="152" s="1"/>
  <c r="A37" i="152"/>
  <c r="C37" i="152" s="1"/>
  <c r="A36" i="152"/>
  <c r="C36" i="152" s="1"/>
  <c r="A35" i="152"/>
  <c r="B35" i="152" s="1"/>
  <c r="A34" i="152"/>
  <c r="B34" i="152" s="1"/>
  <c r="A33" i="152"/>
  <c r="C33" i="152" s="1"/>
  <c r="A32" i="152"/>
  <c r="C32" i="152" s="1"/>
  <c r="A31" i="152"/>
  <c r="C31" i="152" s="1"/>
  <c r="A30" i="152"/>
  <c r="B30" i="152" s="1"/>
  <c r="A29" i="152"/>
  <c r="C29" i="152" s="1"/>
  <c r="A28" i="152"/>
  <c r="B28" i="152" s="1"/>
  <c r="A27" i="152"/>
  <c r="C27" i="152" s="1"/>
  <c r="A26" i="152"/>
  <c r="B26" i="152" s="1"/>
  <c r="A25" i="152"/>
  <c r="C25" i="152" s="1"/>
  <c r="A24" i="152"/>
  <c r="C24" i="152" s="1"/>
  <c r="A23" i="152"/>
  <c r="A22" i="152"/>
  <c r="B22" i="152" s="1"/>
  <c r="A21" i="152"/>
  <c r="B21" i="152" s="1"/>
  <c r="A20" i="152"/>
  <c r="C20" i="152" s="1"/>
  <c r="A19" i="152"/>
  <c r="C19" i="152" s="1"/>
  <c r="A18" i="152"/>
  <c r="B18" i="152" s="1"/>
  <c r="A17" i="152"/>
  <c r="B17" i="152" s="1"/>
  <c r="A16" i="152"/>
  <c r="B16" i="152" s="1"/>
  <c r="A15" i="152"/>
  <c r="C15" i="152" s="1"/>
  <c r="A14" i="152"/>
  <c r="A13" i="152"/>
  <c r="B13" i="152" s="1"/>
  <c r="A12" i="152"/>
  <c r="C12" i="152" s="1"/>
  <c r="A11" i="152"/>
  <c r="B11" i="152" s="1"/>
  <c r="A10" i="152"/>
  <c r="B10" i="152" s="1"/>
  <c r="A9" i="152"/>
  <c r="C9" i="152" s="1"/>
  <c r="A8" i="152"/>
  <c r="C8" i="152" s="1"/>
  <c r="A7" i="152"/>
  <c r="C7" i="152" s="1"/>
  <c r="A6" i="152"/>
  <c r="B6" i="152" s="1"/>
  <c r="A5" i="152"/>
  <c r="C5" i="152" s="1"/>
  <c r="A4" i="152"/>
  <c r="C4" i="152" s="1"/>
  <c r="A3" i="152"/>
  <c r="B3" i="152" s="1"/>
  <c r="A2" i="152"/>
  <c r="C2" i="152" s="1"/>
  <c r="M1" i="152"/>
  <c r="K1" i="152"/>
  <c r="A1" i="152"/>
  <c r="J121" i="151"/>
  <c r="A121" i="151"/>
  <c r="C121" i="151" s="1"/>
  <c r="J120" i="151"/>
  <c r="A120" i="151"/>
  <c r="C120" i="151" s="1"/>
  <c r="J119" i="151"/>
  <c r="A119" i="151"/>
  <c r="C119" i="151" s="1"/>
  <c r="J118" i="151"/>
  <c r="A118" i="151"/>
  <c r="B118" i="151" s="1"/>
  <c r="J117" i="151"/>
  <c r="A117" i="151"/>
  <c r="C117" i="151" s="1"/>
  <c r="J116" i="151"/>
  <c r="A116" i="151"/>
  <c r="B116" i="151" s="1"/>
  <c r="J115" i="151"/>
  <c r="L115" i="151"/>
  <c r="A115" i="151"/>
  <c r="C115" i="151" s="1"/>
  <c r="J114" i="151"/>
  <c r="A114" i="151"/>
  <c r="C114" i="151" s="1"/>
  <c r="L113" i="151"/>
  <c r="J113" i="151"/>
  <c r="A113" i="151"/>
  <c r="C113" i="151" s="1"/>
  <c r="J112" i="151"/>
  <c r="A112" i="151"/>
  <c r="C112" i="151" s="1"/>
  <c r="J111" i="151"/>
  <c r="A111" i="151"/>
  <c r="C111" i="151" s="1"/>
  <c r="J110" i="151"/>
  <c r="A110" i="151"/>
  <c r="C110" i="151" s="1"/>
  <c r="J109" i="151"/>
  <c r="A109" i="151"/>
  <c r="C109" i="151" s="1"/>
  <c r="J108" i="151"/>
  <c r="A108" i="151"/>
  <c r="C108" i="151" s="1"/>
  <c r="J107" i="151"/>
  <c r="L107" i="151"/>
  <c r="A107" i="151"/>
  <c r="C107" i="151" s="1"/>
  <c r="J106" i="151"/>
  <c r="A106" i="151"/>
  <c r="C106" i="151" s="1"/>
  <c r="L105" i="151"/>
  <c r="J105" i="151"/>
  <c r="A105" i="151"/>
  <c r="C105" i="151" s="1"/>
  <c r="J104" i="151"/>
  <c r="A104" i="151"/>
  <c r="C104" i="151" s="1"/>
  <c r="J103" i="151"/>
  <c r="L103" i="151"/>
  <c r="A103" i="151"/>
  <c r="C103" i="151" s="1"/>
  <c r="J102" i="151"/>
  <c r="A102" i="151"/>
  <c r="B102" i="151" s="1"/>
  <c r="J101" i="151"/>
  <c r="A101" i="151"/>
  <c r="C101" i="151" s="1"/>
  <c r="J100" i="151"/>
  <c r="A100" i="151"/>
  <c r="C100" i="151" s="1"/>
  <c r="J99" i="151"/>
  <c r="L99" i="151"/>
  <c r="A99" i="151"/>
  <c r="C99" i="151" s="1"/>
  <c r="J98" i="151"/>
  <c r="A98" i="151"/>
  <c r="C98" i="151" s="1"/>
  <c r="J97" i="151"/>
  <c r="A97" i="151"/>
  <c r="C97" i="151" s="1"/>
  <c r="J96" i="151"/>
  <c r="A96" i="151"/>
  <c r="C96" i="151" s="1"/>
  <c r="J95" i="151"/>
  <c r="A95" i="151"/>
  <c r="C95" i="151" s="1"/>
  <c r="J94" i="151"/>
  <c r="L94" i="151"/>
  <c r="A94" i="151"/>
  <c r="C94" i="151" s="1"/>
  <c r="J93" i="151"/>
  <c r="A93" i="151"/>
  <c r="C93" i="151" s="1"/>
  <c r="J92" i="151"/>
  <c r="A92" i="151"/>
  <c r="B92" i="151" s="1"/>
  <c r="J91" i="151"/>
  <c r="L91" i="151"/>
  <c r="A91" i="151"/>
  <c r="C91" i="151" s="1"/>
  <c r="J90" i="151"/>
  <c r="A90" i="151"/>
  <c r="C90" i="151" s="1"/>
  <c r="L89" i="151"/>
  <c r="J89" i="151"/>
  <c r="A89" i="151"/>
  <c r="C89" i="151" s="1"/>
  <c r="J88" i="151"/>
  <c r="A88" i="151"/>
  <c r="B88" i="151" s="1"/>
  <c r="J87" i="151"/>
  <c r="A87" i="151"/>
  <c r="C87" i="151" s="1"/>
  <c r="J86" i="151"/>
  <c r="A86" i="151"/>
  <c r="C86" i="151" s="1"/>
  <c r="J85" i="151"/>
  <c r="A85" i="151"/>
  <c r="C85" i="151" s="1"/>
  <c r="J84" i="151"/>
  <c r="A84" i="151"/>
  <c r="C84" i="151" s="1"/>
  <c r="J83" i="151"/>
  <c r="L83" i="151"/>
  <c r="A83" i="151"/>
  <c r="C83" i="151" s="1"/>
  <c r="J82" i="151"/>
  <c r="A82" i="151"/>
  <c r="C82" i="151" s="1"/>
  <c r="J81" i="151"/>
  <c r="A81" i="151"/>
  <c r="C81" i="151" s="1"/>
  <c r="J80" i="151"/>
  <c r="A80" i="151"/>
  <c r="C80" i="151" s="1"/>
  <c r="J79" i="151"/>
  <c r="A79" i="151"/>
  <c r="C79" i="151" s="1"/>
  <c r="J78" i="151"/>
  <c r="A78" i="151"/>
  <c r="C78" i="151" s="1"/>
  <c r="J77" i="151"/>
  <c r="A77" i="151"/>
  <c r="C77" i="151" s="1"/>
  <c r="J76" i="151"/>
  <c r="A76" i="151"/>
  <c r="C76" i="151" s="1"/>
  <c r="J75" i="151"/>
  <c r="L75" i="151"/>
  <c r="A75" i="151"/>
  <c r="C75" i="151" s="1"/>
  <c r="J74" i="151"/>
  <c r="A74" i="151"/>
  <c r="C74" i="151" s="1"/>
  <c r="L73" i="151"/>
  <c r="J73" i="151"/>
  <c r="A73" i="151"/>
  <c r="C73" i="151" s="1"/>
  <c r="J72" i="151"/>
  <c r="A72" i="151"/>
  <c r="C72" i="151" s="1"/>
  <c r="J71" i="151"/>
  <c r="A71" i="151"/>
  <c r="C71" i="151" s="1"/>
  <c r="J70" i="151"/>
  <c r="A70" i="151"/>
  <c r="C70" i="151" s="1"/>
  <c r="J69" i="151"/>
  <c r="A69" i="151"/>
  <c r="C69" i="151" s="1"/>
  <c r="J68" i="151"/>
  <c r="L68" i="151"/>
  <c r="A68" i="151"/>
  <c r="B68" i="151" s="1"/>
  <c r="J67" i="151"/>
  <c r="L67" i="151"/>
  <c r="A67" i="151"/>
  <c r="C67" i="151" s="1"/>
  <c r="J66" i="151"/>
  <c r="A66" i="151"/>
  <c r="C66" i="151" s="1"/>
  <c r="L65" i="151"/>
  <c r="J65" i="151"/>
  <c r="A65" i="151"/>
  <c r="C65" i="151" s="1"/>
  <c r="L64" i="151"/>
  <c r="J64" i="151"/>
  <c r="A64" i="151"/>
  <c r="C64" i="151" s="1"/>
  <c r="J63" i="151"/>
  <c r="A63" i="151"/>
  <c r="C63" i="151" s="1"/>
  <c r="J62" i="151"/>
  <c r="L62" i="151"/>
  <c r="A62" i="151"/>
  <c r="C62" i="151" s="1"/>
  <c r="J61" i="151"/>
  <c r="A61" i="151"/>
  <c r="C61" i="151" s="1"/>
  <c r="J60" i="151"/>
  <c r="A60" i="151"/>
  <c r="C60" i="151" s="1"/>
  <c r="J59" i="151"/>
  <c r="L59" i="151"/>
  <c r="A59" i="151"/>
  <c r="C59" i="151" s="1"/>
  <c r="J58" i="151"/>
  <c r="A58" i="151"/>
  <c r="C58" i="151" s="1"/>
  <c r="L57" i="151"/>
  <c r="J57" i="151"/>
  <c r="A57" i="151"/>
  <c r="C57" i="151" s="1"/>
  <c r="L56" i="151"/>
  <c r="J56" i="151"/>
  <c r="A56" i="151"/>
  <c r="B56" i="151" s="1"/>
  <c r="J55" i="151"/>
  <c r="A55" i="151"/>
  <c r="C55" i="151" s="1"/>
  <c r="J54" i="151"/>
  <c r="A54" i="151"/>
  <c r="C54" i="151" s="1"/>
  <c r="J53" i="151"/>
  <c r="A53" i="151"/>
  <c r="C53" i="151" s="1"/>
  <c r="J52" i="151"/>
  <c r="A52" i="151"/>
  <c r="B52" i="151" s="1"/>
  <c r="J51" i="151"/>
  <c r="L51" i="151"/>
  <c r="A51" i="151"/>
  <c r="C51" i="151" s="1"/>
  <c r="J50" i="151"/>
  <c r="A50" i="151"/>
  <c r="C50" i="151" s="1"/>
  <c r="L49" i="151"/>
  <c r="J49" i="151"/>
  <c r="A49" i="151"/>
  <c r="C49" i="151" s="1"/>
  <c r="J48" i="151"/>
  <c r="A48" i="151"/>
  <c r="C48" i="151" s="1"/>
  <c r="J47" i="151"/>
  <c r="A47" i="151"/>
  <c r="C47" i="151" s="1"/>
  <c r="J46" i="151"/>
  <c r="L46" i="151"/>
  <c r="A46" i="151"/>
  <c r="B46" i="151" s="1"/>
  <c r="J45" i="151"/>
  <c r="A45" i="151"/>
  <c r="C45" i="151" s="1"/>
  <c r="J44" i="151"/>
  <c r="A44" i="151"/>
  <c r="C44" i="151" s="1"/>
  <c r="J43" i="151"/>
  <c r="L43" i="151"/>
  <c r="A43" i="151"/>
  <c r="C43" i="151" s="1"/>
  <c r="J42" i="151"/>
  <c r="A42" i="151"/>
  <c r="C42" i="151" s="1"/>
  <c r="L41" i="151"/>
  <c r="J41" i="151"/>
  <c r="A41" i="151"/>
  <c r="C41" i="151" s="1"/>
  <c r="J40" i="151"/>
  <c r="A40" i="151"/>
  <c r="B40" i="151" s="1"/>
  <c r="J39" i="151"/>
  <c r="L39" i="151"/>
  <c r="A39" i="151"/>
  <c r="C39" i="151" s="1"/>
  <c r="J38" i="151"/>
  <c r="A38" i="151"/>
  <c r="C38" i="151" s="1"/>
  <c r="J37" i="151"/>
  <c r="A37" i="151"/>
  <c r="C37" i="151" s="1"/>
  <c r="J36" i="151"/>
  <c r="A36" i="151"/>
  <c r="C36" i="151" s="1"/>
  <c r="J35" i="151"/>
  <c r="A35" i="151"/>
  <c r="C35" i="151" s="1"/>
  <c r="J34" i="151"/>
  <c r="A34" i="151"/>
  <c r="C34" i="151" s="1"/>
  <c r="L33" i="151"/>
  <c r="J33" i="151"/>
  <c r="A33" i="151"/>
  <c r="C33" i="151" s="1"/>
  <c r="J32" i="151"/>
  <c r="A32" i="151"/>
  <c r="B32" i="151" s="1"/>
  <c r="J31" i="151"/>
  <c r="A31" i="151"/>
  <c r="C31" i="151" s="1"/>
  <c r="J30" i="151"/>
  <c r="L30" i="151"/>
  <c r="A30" i="151"/>
  <c r="C30" i="151" s="1"/>
  <c r="J29" i="151"/>
  <c r="A29" i="151"/>
  <c r="C29" i="151" s="1"/>
  <c r="J28" i="151"/>
  <c r="L28" i="151"/>
  <c r="A28" i="151"/>
  <c r="B28" i="151" s="1"/>
  <c r="J27" i="151"/>
  <c r="L27" i="151"/>
  <c r="A27" i="151"/>
  <c r="C27" i="151" s="1"/>
  <c r="J26" i="151"/>
  <c r="A26" i="151"/>
  <c r="C26" i="151" s="1"/>
  <c r="L25" i="151"/>
  <c r="J25" i="151"/>
  <c r="A25" i="151"/>
  <c r="C25" i="151" s="1"/>
  <c r="J24" i="151"/>
  <c r="A24" i="151"/>
  <c r="B24" i="151" s="1"/>
  <c r="J23" i="151"/>
  <c r="A23" i="151"/>
  <c r="C23" i="151" s="1"/>
  <c r="J22" i="151"/>
  <c r="A22" i="151"/>
  <c r="C22" i="151" s="1"/>
  <c r="J21" i="151"/>
  <c r="A21" i="151"/>
  <c r="C21" i="151" s="1"/>
  <c r="J20" i="151"/>
  <c r="A20" i="151"/>
  <c r="B20" i="151" s="1"/>
  <c r="J19" i="151"/>
  <c r="L19" i="151"/>
  <c r="A19" i="151"/>
  <c r="C19" i="151" s="1"/>
  <c r="J18" i="151"/>
  <c r="A18" i="151"/>
  <c r="C18" i="151" s="1"/>
  <c r="L17" i="151"/>
  <c r="J17" i="151"/>
  <c r="A17" i="151"/>
  <c r="C17" i="151" s="1"/>
  <c r="L16" i="151"/>
  <c r="J16" i="151"/>
  <c r="A16" i="151"/>
  <c r="C16" i="151" s="1"/>
  <c r="J15" i="151"/>
  <c r="A15" i="151"/>
  <c r="C15" i="151" s="1"/>
  <c r="J14" i="151"/>
  <c r="L14" i="151"/>
  <c r="A14" i="151"/>
  <c r="C14" i="151" s="1"/>
  <c r="J13" i="151"/>
  <c r="A13" i="151"/>
  <c r="C13" i="151" s="1"/>
  <c r="J12" i="151"/>
  <c r="A12" i="151"/>
  <c r="C12" i="151" s="1"/>
  <c r="J11" i="151"/>
  <c r="L11" i="151"/>
  <c r="A11" i="151"/>
  <c r="C11" i="151" s="1"/>
  <c r="J10" i="151"/>
  <c r="A10" i="151"/>
  <c r="C10" i="151" s="1"/>
  <c r="L9" i="151"/>
  <c r="J9" i="151"/>
  <c r="A9" i="151"/>
  <c r="C9" i="151" s="1"/>
  <c r="L8" i="151"/>
  <c r="J8" i="151"/>
  <c r="A8" i="151"/>
  <c r="C8" i="151" s="1"/>
  <c r="J7" i="151"/>
  <c r="L7" i="151"/>
  <c r="A7" i="151"/>
  <c r="C7" i="151" s="1"/>
  <c r="J6" i="151"/>
  <c r="A6" i="151"/>
  <c r="B6" i="151" s="1"/>
  <c r="J5" i="151"/>
  <c r="A5" i="151"/>
  <c r="C5" i="151" s="1"/>
  <c r="J4" i="151"/>
  <c r="A4" i="151"/>
  <c r="B4" i="151" s="1"/>
  <c r="J3" i="151"/>
  <c r="L3" i="151"/>
  <c r="A3" i="151"/>
  <c r="C3" i="151" s="1"/>
  <c r="A2" i="151"/>
  <c r="C2" i="151" s="1"/>
  <c r="K1" i="151"/>
  <c r="M1" i="151"/>
  <c r="L1" i="151"/>
  <c r="A1" i="151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2" i="36"/>
  <c r="G3" i="32"/>
  <c r="N3" i="32" s="1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2" i="32"/>
  <c r="G1" i="32"/>
  <c r="N1" i="32" s="1"/>
  <c r="F1" i="32"/>
  <c r="M1" i="32" s="1"/>
  <c r="G3" i="34"/>
  <c r="H3" i="34"/>
  <c r="G4" i="34"/>
  <c r="H4" i="34"/>
  <c r="O4" i="34" s="1"/>
  <c r="G5" i="34"/>
  <c r="H5" i="34"/>
  <c r="G6" i="34"/>
  <c r="H6" i="34"/>
  <c r="G7" i="34"/>
  <c r="H7" i="34"/>
  <c r="G8" i="34"/>
  <c r="H8" i="34"/>
  <c r="G9" i="34"/>
  <c r="H9" i="34"/>
  <c r="G10" i="34"/>
  <c r="H10" i="34"/>
  <c r="G11" i="34"/>
  <c r="H11" i="34"/>
  <c r="G12" i="34"/>
  <c r="H12" i="34"/>
  <c r="G13" i="34"/>
  <c r="H13" i="34"/>
  <c r="G14" i="34"/>
  <c r="H14" i="34"/>
  <c r="G15" i="34"/>
  <c r="H15" i="34"/>
  <c r="G16" i="34"/>
  <c r="H16" i="34"/>
  <c r="G17" i="34"/>
  <c r="H17" i="34"/>
  <c r="G18" i="34"/>
  <c r="H18" i="34"/>
  <c r="G19" i="34"/>
  <c r="H19" i="34"/>
  <c r="G20" i="34"/>
  <c r="H20" i="34"/>
  <c r="G21" i="34"/>
  <c r="H21" i="34"/>
  <c r="G22" i="34"/>
  <c r="H22" i="34"/>
  <c r="G23" i="34"/>
  <c r="H23" i="34"/>
  <c r="G24" i="34"/>
  <c r="H24" i="34"/>
  <c r="G25" i="34"/>
  <c r="H25" i="34"/>
  <c r="G26" i="34"/>
  <c r="H26" i="34"/>
  <c r="G27" i="34"/>
  <c r="H27" i="34"/>
  <c r="G28" i="34"/>
  <c r="H28" i="34"/>
  <c r="G29" i="34"/>
  <c r="H29" i="34"/>
  <c r="G30" i="34"/>
  <c r="H30" i="34"/>
  <c r="G31" i="34"/>
  <c r="H31" i="34"/>
  <c r="G32" i="34"/>
  <c r="H32" i="34"/>
  <c r="G33" i="34"/>
  <c r="H33" i="34"/>
  <c r="G34" i="34"/>
  <c r="H34" i="34"/>
  <c r="G35" i="34"/>
  <c r="H35" i="34"/>
  <c r="G36" i="34"/>
  <c r="H36" i="34"/>
  <c r="G37" i="34"/>
  <c r="H37" i="34"/>
  <c r="G38" i="34"/>
  <c r="H38" i="34"/>
  <c r="G39" i="34"/>
  <c r="H39" i="34"/>
  <c r="G40" i="34"/>
  <c r="H40" i="34"/>
  <c r="G41" i="34"/>
  <c r="H41" i="34"/>
  <c r="G42" i="34"/>
  <c r="H42" i="34"/>
  <c r="G43" i="34"/>
  <c r="H43" i="34"/>
  <c r="G44" i="34"/>
  <c r="H44" i="34"/>
  <c r="G45" i="34"/>
  <c r="H45" i="34"/>
  <c r="G46" i="34"/>
  <c r="H46" i="34"/>
  <c r="G47" i="34"/>
  <c r="H47" i="34"/>
  <c r="G48" i="34"/>
  <c r="H48" i="34"/>
  <c r="G49" i="34"/>
  <c r="H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87" i="34"/>
  <c r="G88" i="34"/>
  <c r="G89" i="34"/>
  <c r="G90" i="34"/>
  <c r="G91" i="34"/>
  <c r="G92" i="34"/>
  <c r="G93" i="34"/>
  <c r="G94" i="34"/>
  <c r="G95" i="34"/>
  <c r="G96" i="34"/>
  <c r="G97" i="34"/>
  <c r="G98" i="34"/>
  <c r="G99" i="34"/>
  <c r="G100" i="34"/>
  <c r="G101" i="34"/>
  <c r="G102" i="34"/>
  <c r="G103" i="34"/>
  <c r="G104" i="34"/>
  <c r="G105" i="34"/>
  <c r="G106" i="34"/>
  <c r="G107" i="34"/>
  <c r="G108" i="34"/>
  <c r="G109" i="34"/>
  <c r="G110" i="34"/>
  <c r="G111" i="34"/>
  <c r="G112" i="34"/>
  <c r="G113" i="34"/>
  <c r="G114" i="34"/>
  <c r="G115" i="34"/>
  <c r="G116" i="34"/>
  <c r="G117" i="34"/>
  <c r="G118" i="34"/>
  <c r="G119" i="34"/>
  <c r="G120" i="34"/>
  <c r="G121" i="34"/>
  <c r="H2" i="34"/>
  <c r="O2" i="34" s="1"/>
  <c r="G2" i="34"/>
  <c r="E1" i="34"/>
  <c r="I1" i="34"/>
  <c r="H1" i="34"/>
  <c r="G1" i="34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2" i="30"/>
  <c r="H1" i="30"/>
  <c r="I1" i="30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G72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G97" i="30"/>
  <c r="G98" i="30"/>
  <c r="G99" i="30"/>
  <c r="G100" i="30"/>
  <c r="G101" i="30"/>
  <c r="G102" i="30"/>
  <c r="G103" i="30"/>
  <c r="G104" i="30"/>
  <c r="G105" i="30"/>
  <c r="G106" i="30"/>
  <c r="G107" i="30"/>
  <c r="G108" i="30"/>
  <c r="G109" i="30"/>
  <c r="G110" i="30"/>
  <c r="G111" i="30"/>
  <c r="G112" i="30"/>
  <c r="G113" i="30"/>
  <c r="G114" i="30"/>
  <c r="G115" i="30"/>
  <c r="G116" i="30"/>
  <c r="G117" i="30"/>
  <c r="G118" i="30"/>
  <c r="G119" i="30"/>
  <c r="G120" i="30"/>
  <c r="G121" i="30"/>
  <c r="G2" i="30"/>
  <c r="G3" i="30"/>
  <c r="G1" i="30"/>
  <c r="E1" i="30"/>
  <c r="K2" i="75"/>
  <c r="K1" i="75"/>
  <c r="J1" i="75"/>
  <c r="I1" i="75" s="1"/>
  <c r="H1" i="75"/>
  <c r="H2" i="38"/>
  <c r="H1" i="38"/>
  <c r="G1" i="38"/>
  <c r="F1" i="38"/>
  <c r="H2" i="28"/>
  <c r="H1" i="28"/>
  <c r="N1" i="28" s="1"/>
  <c r="G1" i="28"/>
  <c r="F1" i="28"/>
  <c r="DS1" i="4"/>
  <c r="DX46" i="4"/>
  <c r="DY3" i="4"/>
  <c r="DY4" i="4"/>
  <c r="DY5" i="4"/>
  <c r="DY6" i="4"/>
  <c r="DY7" i="4"/>
  <c r="DY8" i="4"/>
  <c r="DY9" i="4"/>
  <c r="DY10" i="4"/>
  <c r="DY11" i="4"/>
  <c r="DY12" i="4"/>
  <c r="DY13" i="4"/>
  <c r="DY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2" i="4"/>
  <c r="DX2" i="4"/>
  <c r="DX3" i="4"/>
  <c r="DX4" i="4"/>
  <c r="DX5" i="4"/>
  <c r="DX6" i="4"/>
  <c r="DX7" i="4"/>
  <c r="DX8" i="4"/>
  <c r="DX9" i="4"/>
  <c r="DX10" i="4"/>
  <c r="DX11" i="4"/>
  <c r="DX12" i="4"/>
  <c r="DX13" i="4"/>
  <c r="DX14" i="4"/>
  <c r="DX15" i="4"/>
  <c r="DX16" i="4"/>
  <c r="DX17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V3" i="4"/>
  <c r="DV4" i="4"/>
  <c r="DV5" i="4"/>
  <c r="DV6" i="4"/>
  <c r="DV7" i="4"/>
  <c r="DV8" i="4"/>
  <c r="DV9" i="4"/>
  <c r="DV10" i="4"/>
  <c r="DV11" i="4"/>
  <c r="DV12" i="4"/>
  <c r="DV13" i="4"/>
  <c r="DV14" i="4"/>
  <c r="DV15" i="4"/>
  <c r="DV16" i="4"/>
  <c r="DV17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2" i="4"/>
  <c r="DU3" i="4"/>
  <c r="DU4" i="4"/>
  <c r="DU5" i="4"/>
  <c r="DU6" i="4"/>
  <c r="DU7" i="4"/>
  <c r="DU8" i="4"/>
  <c r="DU9" i="4"/>
  <c r="DU10" i="4"/>
  <c r="DU11" i="4"/>
  <c r="DU12" i="4"/>
  <c r="DU13" i="4"/>
  <c r="DU14" i="4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2" i="4"/>
  <c r="B8" i="153" l="1"/>
  <c r="B40" i="154"/>
  <c r="B88" i="153"/>
  <c r="B72" i="154"/>
  <c r="C87" i="154"/>
  <c r="C52" i="152"/>
  <c r="B60" i="154"/>
  <c r="B62" i="151"/>
  <c r="C68" i="151"/>
  <c r="B44" i="151"/>
  <c r="B53" i="154"/>
  <c r="C11" i="154"/>
  <c r="B66" i="153"/>
  <c r="B10" i="160"/>
  <c r="C62" i="154"/>
  <c r="C66" i="152"/>
  <c r="B48" i="151"/>
  <c r="C92" i="151"/>
  <c r="C38" i="154"/>
  <c r="C64" i="154"/>
  <c r="C96" i="153"/>
  <c r="C32" i="151"/>
  <c r="C60" i="153"/>
  <c r="B69" i="154"/>
  <c r="B76" i="151"/>
  <c r="C84" i="153"/>
  <c r="C49" i="152"/>
  <c r="B94" i="152"/>
  <c r="O24" i="23"/>
  <c r="O28" i="23"/>
  <c r="O27" i="23"/>
  <c r="P28" i="23" s="1"/>
  <c r="O22" i="23"/>
  <c r="AV52" i="17"/>
  <c r="AK54" i="17"/>
  <c r="C23" i="152"/>
  <c r="B23" i="152"/>
  <c r="C40" i="152"/>
  <c r="B40" i="152"/>
  <c r="C113" i="152"/>
  <c r="B113" i="152"/>
  <c r="B14" i="152"/>
  <c r="C14" i="152"/>
  <c r="C35" i="154"/>
  <c r="B35" i="154"/>
  <c r="C95" i="154"/>
  <c r="C77" i="152"/>
  <c r="B60" i="151"/>
  <c r="B112" i="153"/>
  <c r="B44" i="154"/>
  <c r="C18" i="152"/>
  <c r="C98" i="152"/>
  <c r="B45" i="154"/>
  <c r="B84" i="154"/>
  <c r="B8" i="151"/>
  <c r="B100" i="154"/>
  <c r="C108" i="154"/>
  <c r="C4" i="151"/>
  <c r="B78" i="151"/>
  <c r="B54" i="152"/>
  <c r="C64" i="152"/>
  <c r="B109" i="152"/>
  <c r="C120" i="153"/>
  <c r="B38" i="152"/>
  <c r="C118" i="151"/>
  <c r="C15" i="154"/>
  <c r="C102" i="154"/>
  <c r="BM7" i="17"/>
  <c r="O32" i="23"/>
  <c r="O26" i="23"/>
  <c r="O23" i="23"/>
  <c r="AV7" i="17"/>
  <c r="AV8" i="17" s="1"/>
  <c r="AV9" i="17" s="1"/>
  <c r="AV10" i="17" s="1"/>
  <c r="AV11" i="17" s="1"/>
  <c r="AV12" i="17" s="1"/>
  <c r="AV13" i="17" s="1"/>
  <c r="AV14" i="17" s="1"/>
  <c r="AV15" i="17" s="1"/>
  <c r="AV16" i="17" s="1"/>
  <c r="O33" i="23"/>
  <c r="P34" i="23" s="1"/>
  <c r="O25" i="23"/>
  <c r="O31" i="23"/>
  <c r="O30" i="23"/>
  <c r="O29" i="23"/>
  <c r="B47" i="25"/>
  <c r="B30" i="25"/>
  <c r="B39" i="25" s="1"/>
  <c r="B51" i="25"/>
  <c r="B63" i="25" s="1"/>
  <c r="B49" i="25"/>
  <c r="B61" i="25" s="1"/>
  <c r="B48" i="25"/>
  <c r="B60" i="25" s="1"/>
  <c r="AL8" i="24"/>
  <c r="U8" i="24"/>
  <c r="L9" i="24"/>
  <c r="Z14" i="23"/>
  <c r="Z17" i="23"/>
  <c r="R14" i="23"/>
  <c r="R17" i="23"/>
  <c r="N14" i="23"/>
  <c r="N17" i="23"/>
  <c r="B24" i="154"/>
  <c r="C103" i="154"/>
  <c r="C31" i="154"/>
  <c r="C25" i="154"/>
  <c r="B49" i="154"/>
  <c r="B81" i="154"/>
  <c r="C92" i="154"/>
  <c r="B32" i="154"/>
  <c r="B73" i="154"/>
  <c r="B85" i="154"/>
  <c r="C67" i="154"/>
  <c r="C80" i="154"/>
  <c r="C86" i="154"/>
  <c r="B105" i="154"/>
  <c r="B93" i="154"/>
  <c r="B47" i="154"/>
  <c r="B97" i="154"/>
  <c r="B43" i="154"/>
  <c r="C27" i="154"/>
  <c r="C58" i="154"/>
  <c r="B77" i="154"/>
  <c r="B83" i="154"/>
  <c r="B88" i="154"/>
  <c r="B36" i="154"/>
  <c r="B61" i="154"/>
  <c r="C34" i="154"/>
  <c r="B52" i="154"/>
  <c r="B37" i="154"/>
  <c r="C42" i="154"/>
  <c r="B57" i="154"/>
  <c r="B113" i="154"/>
  <c r="B3" i="154"/>
  <c r="B63" i="154"/>
  <c r="C22" i="154"/>
  <c r="C114" i="154"/>
  <c r="B48" i="154"/>
  <c r="B68" i="154"/>
  <c r="B104" i="154"/>
  <c r="B109" i="154"/>
  <c r="C29" i="154"/>
  <c r="C39" i="154"/>
  <c r="C115" i="154"/>
  <c r="B89" i="154"/>
  <c r="B111" i="154"/>
  <c r="C19" i="154"/>
  <c r="B65" i="154"/>
  <c r="B75" i="154"/>
  <c r="C90" i="154"/>
  <c r="B101" i="154"/>
  <c r="B96" i="154"/>
  <c r="C106" i="154"/>
  <c r="B7" i="154"/>
  <c r="B56" i="154"/>
  <c r="B112" i="154"/>
  <c r="B20" i="154"/>
  <c r="B41" i="154"/>
  <c r="B51" i="154"/>
  <c r="C66" i="154"/>
  <c r="B71" i="154"/>
  <c r="B76" i="154"/>
  <c r="C46" i="154"/>
  <c r="B100" i="153"/>
  <c r="B98" i="153"/>
  <c r="B118" i="153"/>
  <c r="B20" i="153"/>
  <c r="C94" i="153"/>
  <c r="C104" i="153"/>
  <c r="C6" i="153"/>
  <c r="B10" i="153"/>
  <c r="B52" i="153"/>
  <c r="B92" i="153"/>
  <c r="C108" i="153"/>
  <c r="B2" i="153"/>
  <c r="B74" i="153"/>
  <c r="B110" i="153"/>
  <c r="B32" i="153"/>
  <c r="B46" i="153"/>
  <c r="C68" i="153"/>
  <c r="B90" i="153"/>
  <c r="B44" i="153"/>
  <c r="B62" i="153"/>
  <c r="B82" i="153"/>
  <c r="C38" i="153"/>
  <c r="B48" i="153"/>
  <c r="C54" i="153"/>
  <c r="C86" i="153"/>
  <c r="B116" i="153"/>
  <c r="B28" i="153"/>
  <c r="B42" i="153"/>
  <c r="B56" i="153"/>
  <c r="B64" i="153"/>
  <c r="B114" i="153"/>
  <c r="B4" i="153"/>
  <c r="B14" i="153"/>
  <c r="B34" i="153"/>
  <c r="B70" i="153"/>
  <c r="B78" i="153"/>
  <c r="B106" i="153"/>
  <c r="B12" i="153"/>
  <c r="B26" i="153"/>
  <c r="B40" i="153"/>
  <c r="B76" i="153"/>
  <c r="B18" i="153"/>
  <c r="B24" i="153"/>
  <c r="B16" i="153"/>
  <c r="B72" i="153"/>
  <c r="B80" i="153"/>
  <c r="B102" i="153"/>
  <c r="B22" i="153"/>
  <c r="B30" i="153"/>
  <c r="B36" i="153"/>
  <c r="B50" i="153"/>
  <c r="B58" i="153"/>
  <c r="C16" i="152"/>
  <c r="C22" i="152"/>
  <c r="B62" i="152"/>
  <c r="C68" i="152"/>
  <c r="C82" i="152"/>
  <c r="B103" i="152"/>
  <c r="C44" i="152"/>
  <c r="B50" i="152"/>
  <c r="C56" i="152"/>
  <c r="C76" i="152"/>
  <c r="B110" i="152"/>
  <c r="C17" i="152"/>
  <c r="C69" i="152"/>
  <c r="B4" i="152"/>
  <c r="C45" i="152"/>
  <c r="C57" i="152"/>
  <c r="B46" i="152"/>
  <c r="B78" i="152"/>
  <c r="C85" i="152"/>
  <c r="B99" i="152"/>
  <c r="C112" i="152"/>
  <c r="C6" i="152"/>
  <c r="C34" i="152"/>
  <c r="C107" i="152"/>
  <c r="C21" i="152"/>
  <c r="C35" i="152"/>
  <c r="C13" i="152"/>
  <c r="B31" i="152"/>
  <c r="B42" i="152"/>
  <c r="C73" i="152"/>
  <c r="C89" i="152"/>
  <c r="B48" i="152"/>
  <c r="B53" i="152"/>
  <c r="B58" i="152"/>
  <c r="B95" i="152"/>
  <c r="C3" i="152"/>
  <c r="C26" i="152"/>
  <c r="B74" i="152"/>
  <c r="B79" i="152"/>
  <c r="B90" i="152"/>
  <c r="B100" i="152"/>
  <c r="B105" i="152"/>
  <c r="B114" i="152"/>
  <c r="C10" i="152"/>
  <c r="B65" i="152"/>
  <c r="B70" i="152"/>
  <c r="B80" i="152"/>
  <c r="C101" i="152"/>
  <c r="B106" i="152"/>
  <c r="C28" i="152"/>
  <c r="C60" i="152"/>
  <c r="B86" i="152"/>
  <c r="C97" i="152"/>
  <c r="B5" i="152"/>
  <c r="C11" i="152"/>
  <c r="C81" i="152"/>
  <c r="B102" i="152"/>
  <c r="C61" i="152"/>
  <c r="C93" i="152"/>
  <c r="B12" i="152"/>
  <c r="C30" i="152"/>
  <c r="C41" i="152"/>
  <c r="C72" i="152"/>
  <c r="B80" i="151"/>
  <c r="B97" i="151"/>
  <c r="B41" i="151"/>
  <c r="B33" i="151"/>
  <c r="C46" i="151"/>
  <c r="C6" i="151"/>
  <c r="B14" i="151"/>
  <c r="C28" i="151"/>
  <c r="B104" i="151"/>
  <c r="B47" i="151"/>
  <c r="C52" i="151"/>
  <c r="B96" i="151"/>
  <c r="C20" i="151"/>
  <c r="B63" i="151"/>
  <c r="B110" i="151"/>
  <c r="B12" i="151"/>
  <c r="C40" i="151"/>
  <c r="B49" i="151"/>
  <c r="B81" i="151"/>
  <c r="C88" i="151"/>
  <c r="C102" i="151"/>
  <c r="C116" i="151"/>
  <c r="B17" i="151"/>
  <c r="B38" i="151"/>
  <c r="C56" i="151"/>
  <c r="B65" i="151"/>
  <c r="B72" i="151"/>
  <c r="B100" i="151"/>
  <c r="B121" i="151"/>
  <c r="C24" i="151"/>
  <c r="B86" i="151"/>
  <c r="B22" i="151"/>
  <c r="B36" i="151"/>
  <c r="B54" i="151"/>
  <c r="B70" i="151"/>
  <c r="B84" i="151"/>
  <c r="B105" i="151"/>
  <c r="B112" i="151"/>
  <c r="B25" i="151"/>
  <c r="B89" i="151"/>
  <c r="B16" i="151"/>
  <c r="B30" i="151"/>
  <c r="B39" i="151"/>
  <c r="B57" i="151"/>
  <c r="B64" i="151"/>
  <c r="B108" i="151"/>
  <c r="B120" i="151"/>
  <c r="B73" i="151"/>
  <c r="B94" i="151"/>
  <c r="B9" i="151"/>
  <c r="B55" i="151"/>
  <c r="B71" i="151"/>
  <c r="B113" i="151"/>
  <c r="C30" i="154"/>
  <c r="B91" i="154"/>
  <c r="B4" i="154"/>
  <c r="B8" i="154"/>
  <c r="B12" i="154"/>
  <c r="B16" i="154"/>
  <c r="B23" i="154"/>
  <c r="B33" i="154"/>
  <c r="C54" i="154"/>
  <c r="B59" i="154"/>
  <c r="B79" i="154"/>
  <c r="C110" i="154"/>
  <c r="C98" i="154"/>
  <c r="C26" i="154"/>
  <c r="C74" i="154"/>
  <c r="B107" i="154"/>
  <c r="B2" i="154"/>
  <c r="B6" i="154"/>
  <c r="B10" i="154"/>
  <c r="B14" i="154"/>
  <c r="C18" i="154"/>
  <c r="B28" i="154"/>
  <c r="C78" i="154"/>
  <c r="B21" i="154"/>
  <c r="C50" i="154"/>
  <c r="B55" i="154"/>
  <c r="B99" i="154"/>
  <c r="B5" i="154"/>
  <c r="B9" i="154"/>
  <c r="B13" i="154"/>
  <c r="B17" i="154"/>
  <c r="C70" i="154"/>
  <c r="C94" i="154"/>
  <c r="C82" i="154"/>
  <c r="B9" i="153"/>
  <c r="B17" i="153"/>
  <c r="B25" i="153"/>
  <c r="B33" i="153"/>
  <c r="B41" i="153"/>
  <c r="B49" i="153"/>
  <c r="B57" i="153"/>
  <c r="B65" i="153"/>
  <c r="B73" i="153"/>
  <c r="B81" i="153"/>
  <c r="B89" i="153"/>
  <c r="B97" i="153"/>
  <c r="B105" i="153"/>
  <c r="B113" i="153"/>
  <c r="B121" i="153"/>
  <c r="B7" i="153"/>
  <c r="B15" i="153"/>
  <c r="B23" i="153"/>
  <c r="B31" i="153"/>
  <c r="B39" i="153"/>
  <c r="B47" i="153"/>
  <c r="B55" i="153"/>
  <c r="B63" i="153"/>
  <c r="B71" i="153"/>
  <c r="B79" i="153"/>
  <c r="B87" i="153"/>
  <c r="B95" i="153"/>
  <c r="B103" i="153"/>
  <c r="B111" i="153"/>
  <c r="B119" i="153"/>
  <c r="B5" i="153"/>
  <c r="B13" i="153"/>
  <c r="B21" i="153"/>
  <c r="B29" i="153"/>
  <c r="B37" i="153"/>
  <c r="B45" i="153"/>
  <c r="B53" i="153"/>
  <c r="B61" i="153"/>
  <c r="B69" i="153"/>
  <c r="B77" i="153"/>
  <c r="B85" i="153"/>
  <c r="B93" i="153"/>
  <c r="B101" i="153"/>
  <c r="B109" i="153"/>
  <c r="B117" i="153"/>
  <c r="B3" i="153"/>
  <c r="B11" i="153"/>
  <c r="B19" i="153"/>
  <c r="B27" i="153"/>
  <c r="B35" i="153"/>
  <c r="B43" i="153"/>
  <c r="B51" i="153"/>
  <c r="B59" i="153"/>
  <c r="B67" i="153"/>
  <c r="B75" i="153"/>
  <c r="B83" i="153"/>
  <c r="B91" i="153"/>
  <c r="B99" i="153"/>
  <c r="B107" i="153"/>
  <c r="B115" i="153"/>
  <c r="B7" i="152"/>
  <c r="B36" i="152"/>
  <c r="B91" i="152"/>
  <c r="B115" i="152"/>
  <c r="B20" i="152"/>
  <c r="B27" i="152"/>
  <c r="B43" i="152"/>
  <c r="B55" i="152"/>
  <c r="B67" i="152"/>
  <c r="B88" i="152"/>
  <c r="B24" i="152"/>
  <c r="B83" i="152"/>
  <c r="B104" i="152"/>
  <c r="B2" i="152"/>
  <c r="B8" i="152"/>
  <c r="B15" i="152"/>
  <c r="B47" i="152"/>
  <c r="B59" i="152"/>
  <c r="B71" i="152"/>
  <c r="B92" i="152"/>
  <c r="B19" i="152"/>
  <c r="B87" i="152"/>
  <c r="B111" i="152"/>
  <c r="B32" i="152"/>
  <c r="B51" i="152"/>
  <c r="B63" i="152"/>
  <c r="B75" i="152"/>
  <c r="B96" i="152"/>
  <c r="B108" i="152"/>
  <c r="B39" i="152"/>
  <c r="B84" i="152"/>
  <c r="B9" i="152"/>
  <c r="B25" i="152"/>
  <c r="B29" i="152"/>
  <c r="B33" i="152"/>
  <c r="B37" i="152"/>
  <c r="B2" i="151"/>
  <c r="B10" i="151"/>
  <c r="B18" i="151"/>
  <c r="B26" i="151"/>
  <c r="B34" i="151"/>
  <c r="B42" i="151"/>
  <c r="B50" i="151"/>
  <c r="B58" i="151"/>
  <c r="B66" i="151"/>
  <c r="B74" i="151"/>
  <c r="B82" i="151"/>
  <c r="B90" i="151"/>
  <c r="B98" i="151"/>
  <c r="B106" i="151"/>
  <c r="B114" i="151"/>
  <c r="B7" i="151"/>
  <c r="B15" i="151"/>
  <c r="B23" i="151"/>
  <c r="B31" i="151"/>
  <c r="B79" i="151"/>
  <c r="B87" i="151"/>
  <c r="B95" i="151"/>
  <c r="B103" i="151"/>
  <c r="B111" i="151"/>
  <c r="B119" i="151"/>
  <c r="B5" i="151"/>
  <c r="B13" i="151"/>
  <c r="B21" i="151"/>
  <c r="B29" i="151"/>
  <c r="B37" i="151"/>
  <c r="B45" i="151"/>
  <c r="B53" i="151"/>
  <c r="B61" i="151"/>
  <c r="B69" i="151"/>
  <c r="B77" i="151"/>
  <c r="B85" i="151"/>
  <c r="B93" i="151"/>
  <c r="B101" i="151"/>
  <c r="B109" i="151"/>
  <c r="B117" i="151"/>
  <c r="B3" i="151"/>
  <c r="B11" i="151"/>
  <c r="B19" i="151"/>
  <c r="B27" i="151"/>
  <c r="B35" i="151"/>
  <c r="B43" i="151"/>
  <c r="B51" i="151"/>
  <c r="B59" i="151"/>
  <c r="B67" i="151"/>
  <c r="B75" i="151"/>
  <c r="B83" i="151"/>
  <c r="B91" i="151"/>
  <c r="B99" i="151"/>
  <c r="B107" i="151"/>
  <c r="B115" i="151"/>
  <c r="P27" i="23" l="1"/>
  <c r="P29" i="23"/>
  <c r="B9" i="160"/>
  <c r="B11" i="160"/>
  <c r="B8" i="160"/>
  <c r="P25" i="23"/>
  <c r="P32" i="23"/>
  <c r="P30" i="23"/>
  <c r="P26" i="23"/>
  <c r="O17" i="23"/>
  <c r="AV53" i="17"/>
  <c r="AK55" i="17"/>
  <c r="P24" i="23"/>
  <c r="P33" i="23"/>
  <c r="P31" i="23"/>
  <c r="BM8" i="17"/>
  <c r="AL9" i="24"/>
  <c r="U9" i="24"/>
  <c r="L10" i="24"/>
  <c r="Z15" i="23"/>
  <c r="Z18" i="23"/>
  <c r="R15" i="23"/>
  <c r="R18" i="23"/>
  <c r="N15" i="23"/>
  <c r="N18" i="23"/>
  <c r="AV54" i="17" l="1"/>
  <c r="AK56" i="17"/>
  <c r="BM9" i="17"/>
  <c r="AL10" i="24"/>
  <c r="U10" i="24"/>
  <c r="L11" i="24"/>
  <c r="AV55" i="17" l="1"/>
  <c r="AK57" i="17"/>
  <c r="AK58" i="17" s="1"/>
  <c r="BM10" i="17"/>
  <c r="AL11" i="24"/>
  <c r="U11" i="24"/>
  <c r="L12" i="24"/>
  <c r="AV56" i="17" l="1"/>
  <c r="BM11" i="17"/>
  <c r="AL12" i="24"/>
  <c r="U12" i="24"/>
  <c r="L13" i="24"/>
  <c r="AV57" i="17" l="1"/>
  <c r="BM12" i="17"/>
  <c r="AL13" i="24"/>
  <c r="U13" i="24"/>
  <c r="L14" i="24"/>
  <c r="AV58" i="17" l="1"/>
  <c r="BM13" i="17"/>
  <c r="AL14" i="24"/>
  <c r="U14" i="24"/>
  <c r="BM14" i="17" l="1"/>
  <c r="BM15" i="17" l="1"/>
  <c r="BM16" i="17" s="1"/>
  <c r="E156" i="69" l="1"/>
  <c r="E165" i="69" s="1"/>
  <c r="E173" i="69" s="1"/>
  <c r="F156" i="69"/>
  <c r="G156" i="69"/>
  <c r="H156" i="69"/>
  <c r="E155" i="69"/>
  <c r="E164" i="69" s="1"/>
  <c r="E172" i="69" s="1"/>
  <c r="F155" i="69"/>
  <c r="G155" i="69"/>
  <c r="H155" i="69"/>
  <c r="D93" i="69"/>
  <c r="D94" i="69"/>
  <c r="D92" i="69"/>
  <c r="D101" i="69"/>
  <c r="D100" i="69"/>
  <c r="D99" i="69"/>
  <c r="Y95" i="69"/>
  <c r="Z95" i="69"/>
  <c r="X95" i="69"/>
  <c r="R2" i="68"/>
  <c r="X2" i="68" s="1"/>
  <c r="AO3" i="67"/>
  <c r="AP3" i="67"/>
  <c r="AQ3" i="67"/>
  <c r="AR3" i="67"/>
  <c r="AO4" i="67"/>
  <c r="AP4" i="67"/>
  <c r="AQ4" i="67"/>
  <c r="AR4" i="67"/>
  <c r="AO5" i="67"/>
  <c r="AP5" i="67"/>
  <c r="AQ5" i="67"/>
  <c r="AR5" i="67"/>
  <c r="AO6" i="67"/>
  <c r="AP6" i="67"/>
  <c r="AQ6" i="67"/>
  <c r="AR6" i="67"/>
  <c r="AO7" i="67"/>
  <c r="AP7" i="67"/>
  <c r="AQ7" i="67"/>
  <c r="AR7" i="67"/>
  <c r="AO8" i="67"/>
  <c r="AP8" i="67"/>
  <c r="AQ8" i="67"/>
  <c r="AR8" i="67"/>
  <c r="AO9" i="67"/>
  <c r="AP9" i="67"/>
  <c r="AQ9" i="67"/>
  <c r="AR9" i="67"/>
  <c r="AO10" i="67"/>
  <c r="AP10" i="67"/>
  <c r="AQ10" i="67"/>
  <c r="AR10" i="67"/>
  <c r="AO11" i="67"/>
  <c r="AP11" i="67"/>
  <c r="AQ11" i="67"/>
  <c r="AR11" i="67"/>
  <c r="AO12" i="67"/>
  <c r="AP12" i="67"/>
  <c r="AQ12" i="67"/>
  <c r="AR12" i="67"/>
  <c r="AO13" i="67"/>
  <c r="AP13" i="67"/>
  <c r="AQ13" i="67"/>
  <c r="AR13" i="67"/>
  <c r="AO14" i="67"/>
  <c r="AP14" i="67"/>
  <c r="AQ14" i="67"/>
  <c r="AR14" i="67"/>
  <c r="AO15" i="67"/>
  <c r="AP15" i="67"/>
  <c r="AQ15" i="67"/>
  <c r="AR15" i="67"/>
  <c r="AO16" i="67"/>
  <c r="AP16" i="67"/>
  <c r="AQ16" i="67"/>
  <c r="AR16" i="67"/>
  <c r="AO17" i="67"/>
  <c r="AP17" i="67"/>
  <c r="AQ17" i="67"/>
  <c r="AR17" i="67"/>
  <c r="AO18" i="67"/>
  <c r="AP18" i="67"/>
  <c r="AQ18" i="67"/>
  <c r="AR18" i="67"/>
  <c r="AO19" i="67"/>
  <c r="AP19" i="67"/>
  <c r="AQ19" i="67"/>
  <c r="AR19" i="67"/>
  <c r="AO20" i="67"/>
  <c r="AP20" i="67"/>
  <c r="AQ20" i="67"/>
  <c r="AR20" i="67"/>
  <c r="AO21" i="67"/>
  <c r="AP21" i="67"/>
  <c r="AQ21" i="67"/>
  <c r="AR21" i="67"/>
  <c r="AO22" i="67"/>
  <c r="AP22" i="67"/>
  <c r="AQ22" i="67"/>
  <c r="AR22" i="67"/>
  <c r="AO23" i="67"/>
  <c r="AP23" i="67"/>
  <c r="AQ23" i="67"/>
  <c r="AR23" i="67"/>
  <c r="AO24" i="67"/>
  <c r="AP24" i="67"/>
  <c r="AQ24" i="67"/>
  <c r="AR24" i="67"/>
  <c r="AO25" i="67"/>
  <c r="AP25" i="67"/>
  <c r="AQ25" i="67"/>
  <c r="AR25" i="67"/>
  <c r="AO26" i="67"/>
  <c r="AP26" i="67"/>
  <c r="AQ26" i="67"/>
  <c r="AR26" i="67"/>
  <c r="AO27" i="67"/>
  <c r="AP27" i="67"/>
  <c r="AQ27" i="67"/>
  <c r="AR27" i="67"/>
  <c r="AO28" i="67"/>
  <c r="AP28" i="67"/>
  <c r="AQ28" i="67"/>
  <c r="AR28" i="67"/>
  <c r="AO29" i="67"/>
  <c r="AP29" i="67"/>
  <c r="AQ29" i="67"/>
  <c r="AR29" i="67"/>
  <c r="AO30" i="67"/>
  <c r="AP30" i="67"/>
  <c r="AQ30" i="67"/>
  <c r="AR30" i="67"/>
  <c r="AO31" i="67"/>
  <c r="AP31" i="67"/>
  <c r="AQ31" i="67"/>
  <c r="AR31" i="67"/>
  <c r="AO32" i="67"/>
  <c r="AP32" i="67"/>
  <c r="AQ32" i="67"/>
  <c r="AR32" i="67"/>
  <c r="AO33" i="67"/>
  <c r="AP33" i="67"/>
  <c r="AQ33" i="67"/>
  <c r="AR33" i="67"/>
  <c r="AO34" i="67"/>
  <c r="AP34" i="67"/>
  <c r="AQ34" i="67"/>
  <c r="AR34" i="67"/>
  <c r="AO35" i="67"/>
  <c r="AP35" i="67"/>
  <c r="AQ35" i="67"/>
  <c r="AR35" i="67"/>
  <c r="AO36" i="67"/>
  <c r="AP36" i="67"/>
  <c r="AQ36" i="67"/>
  <c r="AR36" i="67"/>
  <c r="AO37" i="67"/>
  <c r="AP37" i="67"/>
  <c r="AQ37" i="67"/>
  <c r="AR37" i="67"/>
  <c r="AO38" i="67"/>
  <c r="AP38" i="67"/>
  <c r="AQ38" i="67"/>
  <c r="AR38" i="67"/>
  <c r="AO39" i="67"/>
  <c r="AP39" i="67"/>
  <c r="AQ39" i="67"/>
  <c r="AR39" i="67"/>
  <c r="AO40" i="67"/>
  <c r="AP40" i="67"/>
  <c r="AQ40" i="67"/>
  <c r="AR40" i="67"/>
  <c r="AO41" i="67"/>
  <c r="AP41" i="67"/>
  <c r="AQ41" i="67"/>
  <c r="AR41" i="67"/>
  <c r="AO42" i="67"/>
  <c r="AP42" i="67"/>
  <c r="AQ42" i="67"/>
  <c r="AR42" i="67"/>
  <c r="AO43" i="67"/>
  <c r="AP43" i="67"/>
  <c r="AQ43" i="67"/>
  <c r="AR43" i="67"/>
  <c r="AO44" i="67"/>
  <c r="AP44" i="67"/>
  <c r="AQ44" i="67"/>
  <c r="AR44" i="67"/>
  <c r="AO45" i="67"/>
  <c r="AP45" i="67"/>
  <c r="AQ45" i="67"/>
  <c r="AR45" i="67"/>
  <c r="AO46" i="67"/>
  <c r="AP46" i="67"/>
  <c r="AQ46" i="67"/>
  <c r="AR46" i="67"/>
  <c r="AO47" i="67"/>
  <c r="AP47" i="67"/>
  <c r="AQ47" i="67"/>
  <c r="AR47" i="67"/>
  <c r="AO48" i="67"/>
  <c r="AP48" i="67"/>
  <c r="AQ48" i="67"/>
  <c r="AR48" i="67"/>
  <c r="AO49" i="67"/>
  <c r="AP49" i="67"/>
  <c r="AQ49" i="67"/>
  <c r="AR49" i="67"/>
  <c r="AO50" i="67"/>
  <c r="AP50" i="67"/>
  <c r="AQ50" i="67"/>
  <c r="AR50" i="67"/>
  <c r="AO51" i="67"/>
  <c r="AP51" i="67"/>
  <c r="AQ51" i="67"/>
  <c r="AR51" i="67"/>
  <c r="AO52" i="67"/>
  <c r="AP52" i="67"/>
  <c r="AQ52" i="67"/>
  <c r="AR52" i="67"/>
  <c r="AO53" i="67"/>
  <c r="AP53" i="67"/>
  <c r="AQ53" i="67"/>
  <c r="AR53" i="67"/>
  <c r="AO54" i="67"/>
  <c r="AP54" i="67"/>
  <c r="AQ54" i="67"/>
  <c r="AR54" i="67"/>
  <c r="AO55" i="67"/>
  <c r="AP55" i="67"/>
  <c r="AQ55" i="67"/>
  <c r="AR55" i="67"/>
  <c r="AO56" i="67"/>
  <c r="AP56" i="67"/>
  <c r="AQ56" i="67"/>
  <c r="AR56" i="67"/>
  <c r="AO57" i="67"/>
  <c r="AP57" i="67"/>
  <c r="AQ57" i="67"/>
  <c r="AR57" i="67"/>
  <c r="AO58" i="67"/>
  <c r="AP58" i="67"/>
  <c r="AQ58" i="67"/>
  <c r="AR58" i="67"/>
  <c r="AO59" i="67"/>
  <c r="AP59" i="67"/>
  <c r="AQ59" i="67"/>
  <c r="AR59" i="67"/>
  <c r="AO60" i="67"/>
  <c r="AP60" i="67"/>
  <c r="AQ60" i="67"/>
  <c r="AR60" i="67"/>
  <c r="AO61" i="67"/>
  <c r="AP61" i="67"/>
  <c r="AQ61" i="67"/>
  <c r="AR61" i="67"/>
  <c r="AO62" i="67"/>
  <c r="AP62" i="67"/>
  <c r="AQ62" i="67"/>
  <c r="AR62" i="67"/>
  <c r="AO63" i="67"/>
  <c r="AP63" i="67"/>
  <c r="AQ63" i="67"/>
  <c r="AR63" i="67"/>
  <c r="AO64" i="67"/>
  <c r="AP64" i="67"/>
  <c r="AQ64" i="67"/>
  <c r="AR64" i="67"/>
  <c r="AO65" i="67"/>
  <c r="AP65" i="67"/>
  <c r="AQ65" i="67"/>
  <c r="AR65" i="67"/>
  <c r="AO66" i="67"/>
  <c r="AP66" i="67"/>
  <c r="AQ66" i="67"/>
  <c r="AR66" i="67"/>
  <c r="AO67" i="67"/>
  <c r="AP67" i="67"/>
  <c r="AQ67" i="67"/>
  <c r="AR67" i="67"/>
  <c r="AO68" i="67"/>
  <c r="AP68" i="67"/>
  <c r="AQ68" i="67"/>
  <c r="AR68" i="67"/>
  <c r="AO69" i="67"/>
  <c r="AP69" i="67"/>
  <c r="AQ69" i="67"/>
  <c r="AR69" i="67"/>
  <c r="AO70" i="67"/>
  <c r="AP70" i="67"/>
  <c r="AQ70" i="67"/>
  <c r="AR70" i="67"/>
  <c r="AO71" i="67"/>
  <c r="AP71" i="67"/>
  <c r="AQ71" i="67"/>
  <c r="AR71" i="67"/>
  <c r="AO72" i="67"/>
  <c r="AP72" i="67"/>
  <c r="AQ72" i="67"/>
  <c r="AR72" i="67"/>
  <c r="AO73" i="67"/>
  <c r="AP73" i="67"/>
  <c r="AQ73" i="67"/>
  <c r="AR73" i="67"/>
  <c r="AO74" i="67"/>
  <c r="AP74" i="67"/>
  <c r="AQ74" i="67"/>
  <c r="AR74" i="67"/>
  <c r="AO75" i="67"/>
  <c r="AP75" i="67"/>
  <c r="AQ75" i="67"/>
  <c r="AR75" i="67"/>
  <c r="AO76" i="67"/>
  <c r="AP76" i="67"/>
  <c r="AQ76" i="67"/>
  <c r="AR76" i="67"/>
  <c r="AO77" i="67"/>
  <c r="AP77" i="67"/>
  <c r="AQ77" i="67"/>
  <c r="AR77" i="67"/>
  <c r="AO78" i="67"/>
  <c r="AP78" i="67"/>
  <c r="AQ78" i="67"/>
  <c r="AR78" i="67"/>
  <c r="AO79" i="67"/>
  <c r="AP79" i="67"/>
  <c r="AQ79" i="67"/>
  <c r="AR79" i="67"/>
  <c r="AO80" i="67"/>
  <c r="AP80" i="67"/>
  <c r="AQ80" i="67"/>
  <c r="AR80" i="67"/>
  <c r="AO81" i="67"/>
  <c r="AP81" i="67"/>
  <c r="AQ81" i="67"/>
  <c r="AR81" i="67"/>
  <c r="AO82" i="67"/>
  <c r="AP82" i="67"/>
  <c r="AQ82" i="67"/>
  <c r="AR82" i="67"/>
  <c r="AO83" i="67"/>
  <c r="AP83" i="67"/>
  <c r="AQ83" i="67"/>
  <c r="AR83" i="67"/>
  <c r="AO84" i="67"/>
  <c r="AP84" i="67"/>
  <c r="AQ84" i="67"/>
  <c r="AR84" i="67"/>
  <c r="AO85" i="67"/>
  <c r="AP85" i="67"/>
  <c r="AQ85" i="67"/>
  <c r="AR85" i="67"/>
  <c r="AO86" i="67"/>
  <c r="AP86" i="67"/>
  <c r="AQ86" i="67"/>
  <c r="AR86" i="67"/>
  <c r="AO87" i="67"/>
  <c r="AP87" i="67"/>
  <c r="AQ87" i="67"/>
  <c r="AR87" i="67"/>
  <c r="AO88" i="67"/>
  <c r="AP88" i="67"/>
  <c r="AQ88" i="67"/>
  <c r="AR88" i="67"/>
  <c r="AO89" i="67"/>
  <c r="AP89" i="67"/>
  <c r="AQ89" i="67"/>
  <c r="AR89" i="67"/>
  <c r="AO90" i="67"/>
  <c r="AP90" i="67"/>
  <c r="AQ90" i="67"/>
  <c r="AR90" i="67"/>
  <c r="AO91" i="67"/>
  <c r="AP91" i="67"/>
  <c r="AQ91" i="67"/>
  <c r="AR91" i="67"/>
  <c r="AO92" i="67"/>
  <c r="AP92" i="67"/>
  <c r="AQ92" i="67"/>
  <c r="AR92" i="67"/>
  <c r="AO93" i="67"/>
  <c r="AP93" i="67"/>
  <c r="AQ93" i="67"/>
  <c r="AR93" i="67"/>
  <c r="AO94" i="67"/>
  <c r="AP94" i="67"/>
  <c r="AQ94" i="67"/>
  <c r="AR94" i="67"/>
  <c r="AO95" i="67"/>
  <c r="AP95" i="67"/>
  <c r="AQ95" i="67"/>
  <c r="AR95" i="67"/>
  <c r="AO96" i="67"/>
  <c r="AP96" i="67"/>
  <c r="AQ96" i="67"/>
  <c r="AR96" i="67"/>
  <c r="AO97" i="67"/>
  <c r="AP97" i="67"/>
  <c r="AQ97" i="67"/>
  <c r="AR97" i="67"/>
  <c r="AO98" i="67"/>
  <c r="AP98" i="67"/>
  <c r="AQ98" i="67"/>
  <c r="AR98" i="67"/>
  <c r="AO99" i="67"/>
  <c r="AP99" i="67"/>
  <c r="AQ99" i="67"/>
  <c r="AR99" i="67"/>
  <c r="AO100" i="67"/>
  <c r="AP100" i="67"/>
  <c r="AQ100" i="67"/>
  <c r="AR100" i="67"/>
  <c r="AO101" i="67"/>
  <c r="AP101" i="67"/>
  <c r="AQ101" i="67"/>
  <c r="AR101" i="67"/>
  <c r="AO102" i="67"/>
  <c r="AP102" i="67"/>
  <c r="AQ102" i="67"/>
  <c r="AR102" i="67"/>
  <c r="AO103" i="67"/>
  <c r="AP103" i="67"/>
  <c r="AQ103" i="67"/>
  <c r="AR103" i="67"/>
  <c r="AO104" i="67"/>
  <c r="AP104" i="67"/>
  <c r="AQ104" i="67"/>
  <c r="AR104" i="67"/>
  <c r="AO105" i="67"/>
  <c r="AP105" i="67"/>
  <c r="AQ105" i="67"/>
  <c r="AR105" i="67"/>
  <c r="AO106" i="67"/>
  <c r="AP106" i="67"/>
  <c r="AQ106" i="67"/>
  <c r="AR106" i="67"/>
  <c r="AO107" i="67"/>
  <c r="AP107" i="67"/>
  <c r="AQ107" i="67"/>
  <c r="AR107" i="67"/>
  <c r="AO108" i="67"/>
  <c r="AP108" i="67"/>
  <c r="AQ108" i="67"/>
  <c r="AR108" i="67"/>
  <c r="AO109" i="67"/>
  <c r="AP109" i="67"/>
  <c r="AQ109" i="67"/>
  <c r="AR109" i="67"/>
  <c r="AO110" i="67"/>
  <c r="AP110" i="67"/>
  <c r="AQ110" i="67"/>
  <c r="AR110" i="67"/>
  <c r="AO111" i="67"/>
  <c r="AP111" i="67"/>
  <c r="AQ111" i="67"/>
  <c r="AR111" i="67"/>
  <c r="AO112" i="67"/>
  <c r="AP112" i="67"/>
  <c r="AQ112" i="67"/>
  <c r="AR112" i="67"/>
  <c r="AO113" i="67"/>
  <c r="AP113" i="67"/>
  <c r="AQ113" i="67"/>
  <c r="AR113" i="67"/>
  <c r="AO114" i="67"/>
  <c r="AP114" i="67"/>
  <c r="AQ114" i="67"/>
  <c r="AR114" i="67"/>
  <c r="AO115" i="67"/>
  <c r="AP115" i="67"/>
  <c r="AQ115" i="67"/>
  <c r="AR115" i="67"/>
  <c r="AO116" i="67"/>
  <c r="AP116" i="67"/>
  <c r="AQ116" i="67"/>
  <c r="AR116" i="67"/>
  <c r="AO117" i="67"/>
  <c r="AP117" i="67"/>
  <c r="AQ117" i="67"/>
  <c r="AR117" i="67"/>
  <c r="AO118" i="67"/>
  <c r="AP118" i="67"/>
  <c r="AQ118" i="67"/>
  <c r="AR118" i="67"/>
  <c r="AO119" i="67"/>
  <c r="AP119" i="67"/>
  <c r="AQ119" i="67"/>
  <c r="AR119" i="67"/>
  <c r="AO120" i="67"/>
  <c r="AP120" i="67"/>
  <c r="AQ120" i="67"/>
  <c r="AR120" i="67"/>
  <c r="AO121" i="67"/>
  <c r="AP121" i="67"/>
  <c r="AQ121" i="67"/>
  <c r="AR121" i="67"/>
  <c r="AP2" i="67"/>
  <c r="AQ2" i="67"/>
  <c r="AR2" i="67"/>
  <c r="AO2" i="67"/>
  <c r="AJ3" i="67"/>
  <c r="AK3" i="67"/>
  <c r="AL3" i="67"/>
  <c r="AM3" i="67"/>
  <c r="AN3" i="67"/>
  <c r="AJ4" i="67"/>
  <c r="AK4" i="67"/>
  <c r="AL4" i="67"/>
  <c r="AM4" i="67"/>
  <c r="AN4" i="67"/>
  <c r="AJ5" i="67"/>
  <c r="AK5" i="67"/>
  <c r="AL5" i="67"/>
  <c r="AM5" i="67"/>
  <c r="AN5" i="67"/>
  <c r="AJ6" i="67"/>
  <c r="AK6" i="67"/>
  <c r="AL6" i="67"/>
  <c r="AM6" i="67"/>
  <c r="AN6" i="67"/>
  <c r="AJ7" i="67"/>
  <c r="AK7" i="67"/>
  <c r="AL7" i="67"/>
  <c r="AM7" i="67"/>
  <c r="AN7" i="67"/>
  <c r="AJ8" i="67"/>
  <c r="AK8" i="67"/>
  <c r="AL8" i="67"/>
  <c r="AM8" i="67"/>
  <c r="AN8" i="67"/>
  <c r="AJ9" i="67"/>
  <c r="AK9" i="67"/>
  <c r="AL9" i="67"/>
  <c r="AM9" i="67"/>
  <c r="AN9" i="67"/>
  <c r="AJ10" i="67"/>
  <c r="AK10" i="67"/>
  <c r="AL10" i="67"/>
  <c r="AM10" i="67"/>
  <c r="AN10" i="67"/>
  <c r="AJ11" i="67"/>
  <c r="AK11" i="67"/>
  <c r="AL11" i="67"/>
  <c r="AM11" i="67"/>
  <c r="AN11" i="67"/>
  <c r="AJ12" i="67"/>
  <c r="AK12" i="67"/>
  <c r="AL12" i="67"/>
  <c r="AM12" i="67"/>
  <c r="AN12" i="67"/>
  <c r="AJ13" i="67"/>
  <c r="AK13" i="67"/>
  <c r="AL13" i="67"/>
  <c r="AM13" i="67"/>
  <c r="AN13" i="67"/>
  <c r="AJ14" i="67"/>
  <c r="AK14" i="67"/>
  <c r="AL14" i="67"/>
  <c r="AM14" i="67"/>
  <c r="AN14" i="67"/>
  <c r="AJ15" i="67"/>
  <c r="AK15" i="67"/>
  <c r="AL15" i="67"/>
  <c r="AM15" i="67"/>
  <c r="AN15" i="67"/>
  <c r="AJ16" i="67"/>
  <c r="AK16" i="67"/>
  <c r="AL16" i="67"/>
  <c r="AM16" i="67"/>
  <c r="AN16" i="67"/>
  <c r="AJ17" i="67"/>
  <c r="AK17" i="67"/>
  <c r="AL17" i="67"/>
  <c r="AM17" i="67"/>
  <c r="AN17" i="67"/>
  <c r="AJ18" i="67"/>
  <c r="AK18" i="67"/>
  <c r="AL18" i="67"/>
  <c r="AM18" i="67"/>
  <c r="AN18" i="67"/>
  <c r="AJ19" i="67"/>
  <c r="AK19" i="67"/>
  <c r="AL19" i="67"/>
  <c r="AM19" i="67"/>
  <c r="AN19" i="67"/>
  <c r="AJ20" i="67"/>
  <c r="AK20" i="67"/>
  <c r="AL20" i="67"/>
  <c r="AM20" i="67"/>
  <c r="AN20" i="67"/>
  <c r="AJ21" i="67"/>
  <c r="AK21" i="67"/>
  <c r="AL21" i="67"/>
  <c r="AM21" i="67"/>
  <c r="AN21" i="67"/>
  <c r="AJ22" i="67"/>
  <c r="AK22" i="67"/>
  <c r="AL22" i="67"/>
  <c r="AM22" i="67"/>
  <c r="AN22" i="67"/>
  <c r="AJ23" i="67"/>
  <c r="AK23" i="67"/>
  <c r="AL23" i="67"/>
  <c r="AM23" i="67"/>
  <c r="AN23" i="67"/>
  <c r="AJ24" i="67"/>
  <c r="AK24" i="67"/>
  <c r="AL24" i="67"/>
  <c r="AM24" i="67"/>
  <c r="AN24" i="67"/>
  <c r="AJ25" i="67"/>
  <c r="AK25" i="67"/>
  <c r="AL25" i="67"/>
  <c r="AM25" i="67"/>
  <c r="AN25" i="67"/>
  <c r="AJ26" i="67"/>
  <c r="AK26" i="67"/>
  <c r="AL26" i="67"/>
  <c r="AM26" i="67"/>
  <c r="AN26" i="67"/>
  <c r="AJ27" i="67"/>
  <c r="AK27" i="67"/>
  <c r="AL27" i="67"/>
  <c r="AM27" i="67"/>
  <c r="AN27" i="67"/>
  <c r="AJ28" i="67"/>
  <c r="AK28" i="67"/>
  <c r="AL28" i="67"/>
  <c r="AM28" i="67"/>
  <c r="AN28" i="67"/>
  <c r="AJ29" i="67"/>
  <c r="AK29" i="67"/>
  <c r="AL29" i="67"/>
  <c r="AM29" i="67"/>
  <c r="AN29" i="67"/>
  <c r="AJ30" i="67"/>
  <c r="AK30" i="67"/>
  <c r="AL30" i="67"/>
  <c r="AM30" i="67"/>
  <c r="AN30" i="67"/>
  <c r="AJ31" i="67"/>
  <c r="AK31" i="67"/>
  <c r="AL31" i="67"/>
  <c r="AM31" i="67"/>
  <c r="AN31" i="67"/>
  <c r="AJ32" i="67"/>
  <c r="AK32" i="67"/>
  <c r="AL32" i="67"/>
  <c r="AM32" i="67"/>
  <c r="AN32" i="67"/>
  <c r="AJ33" i="67"/>
  <c r="AK33" i="67"/>
  <c r="AL33" i="67"/>
  <c r="AM33" i="67"/>
  <c r="AN33" i="67"/>
  <c r="AJ34" i="67"/>
  <c r="AK34" i="67"/>
  <c r="AL34" i="67"/>
  <c r="AM34" i="67"/>
  <c r="AN34" i="67"/>
  <c r="AJ35" i="67"/>
  <c r="AK35" i="67"/>
  <c r="AL35" i="67"/>
  <c r="AM35" i="67"/>
  <c r="AN35" i="67"/>
  <c r="AJ36" i="67"/>
  <c r="AK36" i="67"/>
  <c r="AL36" i="67"/>
  <c r="AM36" i="67"/>
  <c r="AN36" i="67"/>
  <c r="AJ37" i="67"/>
  <c r="AK37" i="67"/>
  <c r="AL37" i="67"/>
  <c r="AM37" i="67"/>
  <c r="AN37" i="67"/>
  <c r="AJ38" i="67"/>
  <c r="AK38" i="67"/>
  <c r="AL38" i="67"/>
  <c r="AM38" i="67"/>
  <c r="AN38" i="67"/>
  <c r="AJ39" i="67"/>
  <c r="AK39" i="67"/>
  <c r="AL39" i="67"/>
  <c r="AM39" i="67"/>
  <c r="AN39" i="67"/>
  <c r="AJ40" i="67"/>
  <c r="AK40" i="67"/>
  <c r="AL40" i="67"/>
  <c r="AM40" i="67"/>
  <c r="AN40" i="67"/>
  <c r="AJ41" i="67"/>
  <c r="AK41" i="67"/>
  <c r="AL41" i="67"/>
  <c r="AM41" i="67"/>
  <c r="AN41" i="67"/>
  <c r="AJ42" i="67"/>
  <c r="AK42" i="67"/>
  <c r="AL42" i="67"/>
  <c r="AM42" i="67"/>
  <c r="AN42" i="67"/>
  <c r="AJ43" i="67"/>
  <c r="AK43" i="67"/>
  <c r="AL43" i="67"/>
  <c r="AM43" i="67"/>
  <c r="AN43" i="67"/>
  <c r="AJ44" i="67"/>
  <c r="AK44" i="67"/>
  <c r="AL44" i="67"/>
  <c r="AM44" i="67"/>
  <c r="AN44" i="67"/>
  <c r="AJ45" i="67"/>
  <c r="AK45" i="67"/>
  <c r="AL45" i="67"/>
  <c r="AM45" i="67"/>
  <c r="AN45" i="67"/>
  <c r="AJ46" i="67"/>
  <c r="AK46" i="67"/>
  <c r="AL46" i="67"/>
  <c r="AM46" i="67"/>
  <c r="AN46" i="67"/>
  <c r="AJ47" i="67"/>
  <c r="AK47" i="67"/>
  <c r="AL47" i="67"/>
  <c r="AM47" i="67"/>
  <c r="AN47" i="67"/>
  <c r="AJ48" i="67"/>
  <c r="AK48" i="67"/>
  <c r="AL48" i="67"/>
  <c r="AM48" i="67"/>
  <c r="AN48" i="67"/>
  <c r="AJ49" i="67"/>
  <c r="AK49" i="67"/>
  <c r="AL49" i="67"/>
  <c r="AM49" i="67"/>
  <c r="AN49" i="67"/>
  <c r="AJ50" i="67"/>
  <c r="AK50" i="67"/>
  <c r="AL50" i="67"/>
  <c r="AM50" i="67"/>
  <c r="AN50" i="67"/>
  <c r="AJ51" i="67"/>
  <c r="AK51" i="67"/>
  <c r="AL51" i="67"/>
  <c r="AM51" i="67"/>
  <c r="AN51" i="67"/>
  <c r="AJ52" i="67"/>
  <c r="AK52" i="67"/>
  <c r="AL52" i="67"/>
  <c r="AM52" i="67"/>
  <c r="AN52" i="67"/>
  <c r="AJ53" i="67"/>
  <c r="AK53" i="67"/>
  <c r="AL53" i="67"/>
  <c r="AM53" i="67"/>
  <c r="AN53" i="67"/>
  <c r="AJ54" i="67"/>
  <c r="AK54" i="67"/>
  <c r="AL54" i="67"/>
  <c r="AM54" i="67"/>
  <c r="AN54" i="67"/>
  <c r="AJ55" i="67"/>
  <c r="AK55" i="67"/>
  <c r="AL55" i="67"/>
  <c r="AM55" i="67"/>
  <c r="AN55" i="67"/>
  <c r="AJ56" i="67"/>
  <c r="AK56" i="67"/>
  <c r="AL56" i="67"/>
  <c r="AM56" i="67"/>
  <c r="AN56" i="67"/>
  <c r="AJ57" i="67"/>
  <c r="AK57" i="67"/>
  <c r="AL57" i="67"/>
  <c r="AM57" i="67"/>
  <c r="AN57" i="67"/>
  <c r="AJ58" i="67"/>
  <c r="AK58" i="67"/>
  <c r="AL58" i="67"/>
  <c r="AM58" i="67"/>
  <c r="AN58" i="67"/>
  <c r="AJ59" i="67"/>
  <c r="AK59" i="67"/>
  <c r="AL59" i="67"/>
  <c r="AM59" i="67"/>
  <c r="AN59" i="67"/>
  <c r="AJ60" i="67"/>
  <c r="AK60" i="67"/>
  <c r="AL60" i="67"/>
  <c r="AM60" i="67"/>
  <c r="AN60" i="67"/>
  <c r="AJ61" i="67"/>
  <c r="AK61" i="67"/>
  <c r="AL61" i="67"/>
  <c r="AM61" i="67"/>
  <c r="AN61" i="67"/>
  <c r="AJ62" i="67"/>
  <c r="AK62" i="67"/>
  <c r="AL62" i="67"/>
  <c r="AM62" i="67"/>
  <c r="AN62" i="67"/>
  <c r="AJ63" i="67"/>
  <c r="AK63" i="67"/>
  <c r="AL63" i="67"/>
  <c r="AM63" i="67"/>
  <c r="AN63" i="67"/>
  <c r="AJ64" i="67"/>
  <c r="AK64" i="67"/>
  <c r="AL64" i="67"/>
  <c r="AM64" i="67"/>
  <c r="AN64" i="67"/>
  <c r="AJ65" i="67"/>
  <c r="AK65" i="67"/>
  <c r="AL65" i="67"/>
  <c r="AM65" i="67"/>
  <c r="AN65" i="67"/>
  <c r="AJ66" i="67"/>
  <c r="AK66" i="67"/>
  <c r="AL66" i="67"/>
  <c r="AM66" i="67"/>
  <c r="AN66" i="67"/>
  <c r="AJ67" i="67"/>
  <c r="AK67" i="67"/>
  <c r="AL67" i="67"/>
  <c r="AM67" i="67"/>
  <c r="AN67" i="67"/>
  <c r="AJ68" i="67"/>
  <c r="AK68" i="67"/>
  <c r="AL68" i="67"/>
  <c r="AM68" i="67"/>
  <c r="AN68" i="67"/>
  <c r="AJ69" i="67"/>
  <c r="AK69" i="67"/>
  <c r="AL69" i="67"/>
  <c r="AM69" i="67"/>
  <c r="AN69" i="67"/>
  <c r="AJ70" i="67"/>
  <c r="AK70" i="67"/>
  <c r="AL70" i="67"/>
  <c r="AM70" i="67"/>
  <c r="AN70" i="67"/>
  <c r="AJ71" i="67"/>
  <c r="AK71" i="67"/>
  <c r="AL71" i="67"/>
  <c r="AM71" i="67"/>
  <c r="AN71" i="67"/>
  <c r="AJ72" i="67"/>
  <c r="AK72" i="67"/>
  <c r="AL72" i="67"/>
  <c r="AM72" i="67"/>
  <c r="AN72" i="67"/>
  <c r="AJ73" i="67"/>
  <c r="AK73" i="67"/>
  <c r="AL73" i="67"/>
  <c r="AM73" i="67"/>
  <c r="AN73" i="67"/>
  <c r="AJ74" i="67"/>
  <c r="AK74" i="67"/>
  <c r="AL74" i="67"/>
  <c r="AM74" i="67"/>
  <c r="AN74" i="67"/>
  <c r="AJ75" i="67"/>
  <c r="AK75" i="67"/>
  <c r="AL75" i="67"/>
  <c r="AM75" i="67"/>
  <c r="AN75" i="67"/>
  <c r="AJ76" i="67"/>
  <c r="AK76" i="67"/>
  <c r="AL76" i="67"/>
  <c r="AM76" i="67"/>
  <c r="AN76" i="67"/>
  <c r="AJ77" i="67"/>
  <c r="AK77" i="67"/>
  <c r="AL77" i="67"/>
  <c r="AM77" i="67"/>
  <c r="AN77" i="67"/>
  <c r="AJ78" i="67"/>
  <c r="AK78" i="67"/>
  <c r="AL78" i="67"/>
  <c r="AM78" i="67"/>
  <c r="AN78" i="67"/>
  <c r="AJ79" i="67"/>
  <c r="AK79" i="67"/>
  <c r="AL79" i="67"/>
  <c r="AM79" i="67"/>
  <c r="AN79" i="67"/>
  <c r="AJ80" i="67"/>
  <c r="AK80" i="67"/>
  <c r="AL80" i="67"/>
  <c r="AM80" i="67"/>
  <c r="AN80" i="67"/>
  <c r="AJ81" i="67"/>
  <c r="AK81" i="67"/>
  <c r="AL81" i="67"/>
  <c r="AM81" i="67"/>
  <c r="AN81" i="67"/>
  <c r="AJ82" i="67"/>
  <c r="AK82" i="67"/>
  <c r="AL82" i="67"/>
  <c r="AM82" i="67"/>
  <c r="AN82" i="67"/>
  <c r="AJ83" i="67"/>
  <c r="AK83" i="67"/>
  <c r="AL83" i="67"/>
  <c r="AM83" i="67"/>
  <c r="AN83" i="67"/>
  <c r="AJ84" i="67"/>
  <c r="AK84" i="67"/>
  <c r="AL84" i="67"/>
  <c r="AM84" i="67"/>
  <c r="AN84" i="67"/>
  <c r="AJ85" i="67"/>
  <c r="AK85" i="67"/>
  <c r="AL85" i="67"/>
  <c r="AM85" i="67"/>
  <c r="AN85" i="67"/>
  <c r="AJ86" i="67"/>
  <c r="AK86" i="67"/>
  <c r="AL86" i="67"/>
  <c r="AM86" i="67"/>
  <c r="AN86" i="67"/>
  <c r="AJ87" i="67"/>
  <c r="AK87" i="67"/>
  <c r="AL87" i="67"/>
  <c r="AM87" i="67"/>
  <c r="AN87" i="67"/>
  <c r="AJ88" i="67"/>
  <c r="AK88" i="67"/>
  <c r="AL88" i="67"/>
  <c r="AM88" i="67"/>
  <c r="AN88" i="67"/>
  <c r="AJ89" i="67"/>
  <c r="AK89" i="67"/>
  <c r="AL89" i="67"/>
  <c r="AM89" i="67"/>
  <c r="AN89" i="67"/>
  <c r="AJ90" i="67"/>
  <c r="AK90" i="67"/>
  <c r="AL90" i="67"/>
  <c r="AM90" i="67"/>
  <c r="AN90" i="67"/>
  <c r="AJ91" i="67"/>
  <c r="AK91" i="67"/>
  <c r="AL91" i="67"/>
  <c r="AM91" i="67"/>
  <c r="AN91" i="67"/>
  <c r="AJ92" i="67"/>
  <c r="AK92" i="67"/>
  <c r="AL92" i="67"/>
  <c r="AM92" i="67"/>
  <c r="AN92" i="67"/>
  <c r="AJ93" i="67"/>
  <c r="AK93" i="67"/>
  <c r="AL93" i="67"/>
  <c r="AM93" i="67"/>
  <c r="AN93" i="67"/>
  <c r="AJ94" i="67"/>
  <c r="AK94" i="67"/>
  <c r="AL94" i="67"/>
  <c r="AM94" i="67"/>
  <c r="AN94" i="67"/>
  <c r="AJ95" i="67"/>
  <c r="AK95" i="67"/>
  <c r="AL95" i="67"/>
  <c r="AM95" i="67"/>
  <c r="AN95" i="67"/>
  <c r="AJ96" i="67"/>
  <c r="AK96" i="67"/>
  <c r="AL96" i="67"/>
  <c r="AM96" i="67"/>
  <c r="AN96" i="67"/>
  <c r="AJ97" i="67"/>
  <c r="AK97" i="67"/>
  <c r="AL97" i="67"/>
  <c r="AM97" i="67"/>
  <c r="AN97" i="67"/>
  <c r="AJ98" i="67"/>
  <c r="AK98" i="67"/>
  <c r="AL98" i="67"/>
  <c r="AM98" i="67"/>
  <c r="AN98" i="67"/>
  <c r="AK99" i="67"/>
  <c r="AL99" i="67"/>
  <c r="AM99" i="67"/>
  <c r="AN99" i="67"/>
  <c r="AK100" i="67"/>
  <c r="AL100" i="67"/>
  <c r="AM100" i="67"/>
  <c r="AN100" i="67"/>
  <c r="AK101" i="67"/>
  <c r="AL101" i="67"/>
  <c r="AM101" i="67"/>
  <c r="AN101" i="67"/>
  <c r="AK102" i="67"/>
  <c r="AL102" i="67"/>
  <c r="AM102" i="67"/>
  <c r="AN102" i="67"/>
  <c r="AK103" i="67"/>
  <c r="AL103" i="67"/>
  <c r="AM103" i="67"/>
  <c r="AN103" i="67"/>
  <c r="AK104" i="67"/>
  <c r="AL104" i="67"/>
  <c r="AM104" i="67"/>
  <c r="AN104" i="67"/>
  <c r="AK105" i="67"/>
  <c r="AL105" i="67"/>
  <c r="AM105" i="67"/>
  <c r="AN105" i="67"/>
  <c r="AK106" i="67"/>
  <c r="AL106" i="67"/>
  <c r="AM106" i="67"/>
  <c r="AN106" i="67"/>
  <c r="AK107" i="67"/>
  <c r="AL107" i="67"/>
  <c r="AM107" i="67"/>
  <c r="AN107" i="67"/>
  <c r="AK108" i="67"/>
  <c r="AL108" i="67"/>
  <c r="AM108" i="67"/>
  <c r="AN108" i="67"/>
  <c r="AK109" i="67"/>
  <c r="AL109" i="67"/>
  <c r="AM109" i="67"/>
  <c r="AN109" i="67"/>
  <c r="AL110" i="67"/>
  <c r="AM110" i="67"/>
  <c r="AN110" i="67"/>
  <c r="AL111" i="67"/>
  <c r="AM111" i="67"/>
  <c r="AN111" i="67"/>
  <c r="AL112" i="67"/>
  <c r="AM112" i="67"/>
  <c r="AN112" i="67"/>
  <c r="AL113" i="67"/>
  <c r="AM113" i="67"/>
  <c r="AN113" i="67"/>
  <c r="AL114" i="67"/>
  <c r="AM114" i="67"/>
  <c r="AN114" i="67"/>
  <c r="AL115" i="67"/>
  <c r="AM115" i="67"/>
  <c r="AN115" i="67"/>
  <c r="AL116" i="67"/>
  <c r="AM116" i="67"/>
  <c r="AN116" i="67"/>
  <c r="AL117" i="67"/>
  <c r="AM117" i="67"/>
  <c r="AN117" i="67"/>
  <c r="AL118" i="67"/>
  <c r="AM118" i="67"/>
  <c r="AN118" i="67"/>
  <c r="AN2" i="67"/>
  <c r="AJ2" i="67"/>
  <c r="AK2" i="67"/>
  <c r="AL2" i="67"/>
  <c r="AM2" i="67"/>
  <c r="AI3" i="67"/>
  <c r="AI4" i="67"/>
  <c r="AI5" i="67"/>
  <c r="AI6" i="67"/>
  <c r="AI7" i="67"/>
  <c r="AI8" i="67"/>
  <c r="AI9" i="67"/>
  <c r="AI10" i="67"/>
  <c r="AI11" i="67"/>
  <c r="AI12" i="67"/>
  <c r="AI13" i="67"/>
  <c r="AI14" i="67"/>
  <c r="AI15" i="67"/>
  <c r="AI16" i="67"/>
  <c r="AI17" i="67"/>
  <c r="AI18" i="67"/>
  <c r="AI19" i="67"/>
  <c r="AI20" i="67"/>
  <c r="AI21" i="67"/>
  <c r="AI22" i="67"/>
  <c r="AI23" i="67"/>
  <c r="AI24" i="67"/>
  <c r="AI25" i="67"/>
  <c r="AI26" i="67"/>
  <c r="AI27" i="67"/>
  <c r="AI28" i="67"/>
  <c r="AI29" i="67"/>
  <c r="AI30" i="67"/>
  <c r="AI31" i="67"/>
  <c r="AI32" i="67"/>
  <c r="AI33" i="67"/>
  <c r="AI34" i="67"/>
  <c r="AI35" i="67"/>
  <c r="AI36" i="67"/>
  <c r="AI37" i="67"/>
  <c r="AI38" i="67"/>
  <c r="AI39" i="67"/>
  <c r="AI40" i="67"/>
  <c r="AI41" i="67"/>
  <c r="AI42" i="67"/>
  <c r="AI43" i="67"/>
  <c r="AI44" i="67"/>
  <c r="AI45" i="67"/>
  <c r="AI46" i="67"/>
  <c r="AI47" i="67"/>
  <c r="AI48" i="67"/>
  <c r="AI49" i="67"/>
  <c r="AI50" i="67"/>
  <c r="AI51" i="67"/>
  <c r="AI52" i="67"/>
  <c r="AI53" i="67"/>
  <c r="AI54" i="67"/>
  <c r="AI55" i="67"/>
  <c r="AI56" i="67"/>
  <c r="AI57" i="67"/>
  <c r="AI58" i="67"/>
  <c r="AI59" i="67"/>
  <c r="AI60" i="67"/>
  <c r="AI61" i="67"/>
  <c r="AI62" i="67"/>
  <c r="AI63" i="67"/>
  <c r="AI64" i="67"/>
  <c r="AI65" i="67"/>
  <c r="AI66" i="67"/>
  <c r="AI67" i="67"/>
  <c r="AI68" i="67"/>
  <c r="AI69" i="67"/>
  <c r="AI70" i="67"/>
  <c r="AI71" i="67"/>
  <c r="AI72" i="67"/>
  <c r="AI73" i="67"/>
  <c r="AI74" i="67"/>
  <c r="AI75" i="67"/>
  <c r="AI76" i="67"/>
  <c r="AI77" i="67"/>
  <c r="AI78" i="67"/>
  <c r="AI79" i="67"/>
  <c r="AI80" i="67"/>
  <c r="AI81" i="67"/>
  <c r="AI82" i="67"/>
  <c r="AI83" i="67"/>
  <c r="AI84" i="67"/>
  <c r="AI85" i="67"/>
  <c r="AI86" i="67"/>
  <c r="AI87" i="67"/>
  <c r="AI88" i="67"/>
  <c r="AI8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AI2" i="67"/>
  <c r="C17" i="65"/>
  <c r="C29" i="65" s="1"/>
  <c r="C41" i="65" s="1"/>
  <c r="C53" i="65" s="1"/>
  <c r="C65" i="65" s="1"/>
  <c r="C77" i="65" s="1"/>
  <c r="C89" i="65" s="1"/>
  <c r="C101" i="65" s="1"/>
  <c r="C113" i="65" s="1"/>
  <c r="C125" i="65" s="1"/>
  <c r="C137" i="65" s="1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C21" i="65"/>
  <c r="C33" i="65" s="1"/>
  <c r="C45" i="65" s="1"/>
  <c r="C57" i="65" s="1"/>
  <c r="C69" i="65" s="1"/>
  <c r="C81" i="65" s="1"/>
  <c r="C93" i="65" s="1"/>
  <c r="C105" i="65" s="1"/>
  <c r="C117" i="65" s="1"/>
  <c r="C129" i="65" s="1"/>
  <c r="C141" i="65" s="1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C23" i="65"/>
  <c r="C35" i="65" s="1"/>
  <c r="C47" i="65" s="1"/>
  <c r="C59" i="65" s="1"/>
  <c r="C71" i="65" s="1"/>
  <c r="C83" i="65" s="1"/>
  <c r="C95" i="65" s="1"/>
  <c r="C107" i="65" s="1"/>
  <c r="C119" i="65" s="1"/>
  <c r="C131" i="65" s="1"/>
  <c r="C143" i="65" s="1"/>
  <c r="C24" i="65"/>
  <c r="C36" i="65" s="1"/>
  <c r="C48" i="65" s="1"/>
  <c r="C60" i="65" s="1"/>
  <c r="C72" i="65" s="1"/>
  <c r="C84" i="65" s="1"/>
  <c r="C96" i="65" s="1"/>
  <c r="C108" i="65" s="1"/>
  <c r="C120" i="65" s="1"/>
  <c r="C132" i="65" s="1"/>
  <c r="C144" i="65" s="1"/>
  <c r="C25" i="65"/>
  <c r="C37" i="65" s="1"/>
  <c r="C49" i="65" s="1"/>
  <c r="C61" i="65" s="1"/>
  <c r="C73" i="65" s="1"/>
  <c r="C85" i="65" s="1"/>
  <c r="C97" i="65" s="1"/>
  <c r="C109" i="65" s="1"/>
  <c r="C121" i="65" s="1"/>
  <c r="C133" i="65" s="1"/>
  <c r="C145" i="65" s="1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C16" i="65"/>
  <c r="C28" i="65" s="1"/>
  <c r="C40" i="65" s="1"/>
  <c r="C52" i="65" s="1"/>
  <c r="C64" i="65" s="1"/>
  <c r="C76" i="65" s="1"/>
  <c r="C88" i="65" s="1"/>
  <c r="C100" i="65" s="1"/>
  <c r="C112" i="65" s="1"/>
  <c r="C124" i="65" s="1"/>
  <c r="C136" i="65" s="1"/>
  <c r="DT1" i="4"/>
  <c r="DY1" i="4" s="1"/>
  <c r="DX1" i="4"/>
  <c r="EV1" i="4"/>
  <c r="EU1" i="4"/>
  <c r="AX18" i="4"/>
  <c r="AJ18" i="4"/>
  <c r="BL18" i="4"/>
  <c r="BZ18" i="4"/>
  <c r="CN18" i="4"/>
  <c r="DB18" i="4"/>
  <c r="U18" i="4"/>
  <c r="W2" i="4"/>
  <c r="X2" i="4" s="1"/>
  <c r="H2" i="36" l="1"/>
  <c r="O2" i="36" s="1"/>
  <c r="J2" i="77"/>
  <c r="H2" i="32"/>
  <c r="O2" i="32" s="1"/>
  <c r="J91" i="77"/>
  <c r="H91" i="36"/>
  <c r="O91" i="36" s="1"/>
  <c r="H91" i="32"/>
  <c r="O91" i="32" s="1"/>
  <c r="J75" i="77"/>
  <c r="H75" i="36"/>
  <c r="O75" i="36" s="1"/>
  <c r="H75" i="32"/>
  <c r="O75" i="32" s="1"/>
  <c r="J59" i="77"/>
  <c r="H59" i="36"/>
  <c r="O59" i="36" s="1"/>
  <c r="H59" i="32"/>
  <c r="O59" i="32" s="1"/>
  <c r="J43" i="77"/>
  <c r="H43" i="36"/>
  <c r="O43" i="36" s="1"/>
  <c r="H43" i="32"/>
  <c r="O43" i="32" s="1"/>
  <c r="J27" i="77"/>
  <c r="H27" i="36"/>
  <c r="O27" i="36" s="1"/>
  <c r="H27" i="32"/>
  <c r="O27" i="32" s="1"/>
  <c r="J11" i="77"/>
  <c r="H11" i="36"/>
  <c r="O11" i="36" s="1"/>
  <c r="H11" i="32"/>
  <c r="O11" i="32" s="1"/>
  <c r="H121" i="155"/>
  <c r="G121" i="152"/>
  <c r="G121" i="151"/>
  <c r="H117" i="155"/>
  <c r="G117" i="152"/>
  <c r="G117" i="151"/>
  <c r="H113" i="155"/>
  <c r="G113" i="152"/>
  <c r="G113" i="151"/>
  <c r="G109" i="151"/>
  <c r="H109" i="155"/>
  <c r="G109" i="152"/>
  <c r="G105" i="152"/>
  <c r="H105" i="155"/>
  <c r="G105" i="151"/>
  <c r="H101" i="155"/>
  <c r="G101" i="152"/>
  <c r="G101" i="151"/>
  <c r="H97" i="155"/>
  <c r="G97" i="152"/>
  <c r="G97" i="151"/>
  <c r="G93" i="151"/>
  <c r="H93" i="155"/>
  <c r="G93" i="152"/>
  <c r="H89" i="155"/>
  <c r="G89" i="151"/>
  <c r="G89" i="152"/>
  <c r="G85" i="152"/>
  <c r="H85" i="155"/>
  <c r="G85" i="151"/>
  <c r="H81" i="155"/>
  <c r="G81" i="152"/>
  <c r="G81" i="151"/>
  <c r="H77" i="155"/>
  <c r="G77" i="151"/>
  <c r="G77" i="152"/>
  <c r="H73" i="155"/>
  <c r="G73" i="152"/>
  <c r="G73" i="151"/>
  <c r="G69" i="152"/>
  <c r="H69" i="155"/>
  <c r="G69" i="151"/>
  <c r="G65" i="152"/>
  <c r="H65" i="155"/>
  <c r="G65" i="151"/>
  <c r="H61" i="155"/>
  <c r="G61" i="151"/>
  <c r="G61" i="152"/>
  <c r="H57" i="155"/>
  <c r="G57" i="152"/>
  <c r="G57" i="151"/>
  <c r="G53" i="152"/>
  <c r="H53" i="155"/>
  <c r="G53" i="151"/>
  <c r="H49" i="155"/>
  <c r="G49" i="152"/>
  <c r="G49" i="151"/>
  <c r="H45" i="155"/>
  <c r="G45" i="151"/>
  <c r="G45" i="152"/>
  <c r="H41" i="155"/>
  <c r="G41" i="152"/>
  <c r="G41" i="151"/>
  <c r="G37" i="152"/>
  <c r="H37" i="155"/>
  <c r="G37" i="151"/>
  <c r="G33" i="152"/>
  <c r="G33" i="151"/>
  <c r="H33" i="155"/>
  <c r="G29" i="151"/>
  <c r="G29" i="152"/>
  <c r="H29" i="155"/>
  <c r="G25" i="152"/>
  <c r="G25" i="151"/>
  <c r="H25" i="155"/>
  <c r="H21" i="155"/>
  <c r="G21" i="152"/>
  <c r="G21" i="151"/>
  <c r="G17" i="152"/>
  <c r="H17" i="155"/>
  <c r="G17" i="151"/>
  <c r="G13" i="151"/>
  <c r="H13" i="155"/>
  <c r="G13" i="152"/>
  <c r="H9" i="155"/>
  <c r="G9" i="152"/>
  <c r="G9" i="151"/>
  <c r="H5" i="155"/>
  <c r="G5" i="152"/>
  <c r="G5" i="151"/>
  <c r="J109" i="77"/>
  <c r="H109" i="32"/>
  <c r="O109" i="32" s="1"/>
  <c r="H109" i="36"/>
  <c r="O109" i="36" s="1"/>
  <c r="H105" i="32"/>
  <c r="O105" i="32" s="1"/>
  <c r="J105" i="77"/>
  <c r="H105" i="36"/>
  <c r="O105" i="36" s="1"/>
  <c r="J101" i="77"/>
  <c r="H101" i="32"/>
  <c r="O101" i="32" s="1"/>
  <c r="H101" i="36"/>
  <c r="O101" i="36" s="1"/>
  <c r="J94" i="77"/>
  <c r="H94" i="36"/>
  <c r="O94" i="36" s="1"/>
  <c r="H94" i="32"/>
  <c r="O94" i="32" s="1"/>
  <c r="J78" i="77"/>
  <c r="H78" i="36"/>
  <c r="O78" i="36" s="1"/>
  <c r="H78" i="32"/>
  <c r="O78" i="32" s="1"/>
  <c r="J62" i="77"/>
  <c r="H62" i="36"/>
  <c r="O62" i="36" s="1"/>
  <c r="H62" i="32"/>
  <c r="O62" i="32" s="1"/>
  <c r="J46" i="77"/>
  <c r="H46" i="36"/>
  <c r="O46" i="36" s="1"/>
  <c r="H46" i="32"/>
  <c r="O46" i="32" s="1"/>
  <c r="J30" i="77"/>
  <c r="H30" i="36"/>
  <c r="O30" i="36" s="1"/>
  <c r="H30" i="32"/>
  <c r="O30" i="32" s="1"/>
  <c r="J14" i="77"/>
  <c r="H14" i="36"/>
  <c r="O14" i="36" s="1"/>
  <c r="H14" i="32"/>
  <c r="O14" i="32" s="1"/>
  <c r="J88" i="77"/>
  <c r="H88" i="36"/>
  <c r="O88" i="36" s="1"/>
  <c r="H88" i="32"/>
  <c r="O88" i="32" s="1"/>
  <c r="J56" i="77"/>
  <c r="H56" i="36"/>
  <c r="O56" i="36" s="1"/>
  <c r="H56" i="32"/>
  <c r="O56" i="32" s="1"/>
  <c r="J114" i="77"/>
  <c r="H114" i="36"/>
  <c r="O114" i="36" s="1"/>
  <c r="H114" i="32"/>
  <c r="O114" i="32" s="1"/>
  <c r="H97" i="32"/>
  <c r="O97" i="32" s="1"/>
  <c r="J97" i="77"/>
  <c r="H97" i="36"/>
  <c r="O97" i="36" s="1"/>
  <c r="H81" i="32"/>
  <c r="O81" i="32" s="1"/>
  <c r="J81" i="77"/>
  <c r="H81" i="36"/>
  <c r="O81" i="36" s="1"/>
  <c r="H65" i="32"/>
  <c r="O65" i="32" s="1"/>
  <c r="J65" i="77"/>
  <c r="H65" i="36"/>
  <c r="O65" i="36" s="1"/>
  <c r="H49" i="32"/>
  <c r="O49" i="32" s="1"/>
  <c r="J49" i="77"/>
  <c r="H49" i="36"/>
  <c r="O49" i="36" s="1"/>
  <c r="H33" i="32"/>
  <c r="O33" i="32" s="1"/>
  <c r="J33" i="77"/>
  <c r="H33" i="36"/>
  <c r="O33" i="36" s="1"/>
  <c r="J17" i="77"/>
  <c r="H17" i="32"/>
  <c r="O17" i="32" s="1"/>
  <c r="H17" i="36"/>
  <c r="O17" i="36" s="1"/>
  <c r="J84" i="77"/>
  <c r="H84" i="36"/>
  <c r="O84" i="36" s="1"/>
  <c r="H84" i="32"/>
  <c r="O84" i="32" s="1"/>
  <c r="J68" i="77"/>
  <c r="H68" i="36"/>
  <c r="O68" i="36" s="1"/>
  <c r="H68" i="32"/>
  <c r="O68" i="32" s="1"/>
  <c r="J52" i="77"/>
  <c r="H52" i="36"/>
  <c r="O52" i="36" s="1"/>
  <c r="H52" i="32"/>
  <c r="O52" i="32" s="1"/>
  <c r="J36" i="77"/>
  <c r="H36" i="36"/>
  <c r="O36" i="36" s="1"/>
  <c r="H36" i="32"/>
  <c r="O36" i="32" s="1"/>
  <c r="J20" i="77"/>
  <c r="H20" i="36"/>
  <c r="O20" i="36" s="1"/>
  <c r="H20" i="32"/>
  <c r="O20" i="32" s="1"/>
  <c r="J4" i="77"/>
  <c r="H4" i="36"/>
  <c r="O4" i="36" s="1"/>
  <c r="H4" i="32"/>
  <c r="O4" i="32" s="1"/>
  <c r="J87" i="77"/>
  <c r="H87" i="32"/>
  <c r="O87" i="32" s="1"/>
  <c r="H87" i="36"/>
  <c r="O87" i="36" s="1"/>
  <c r="J71" i="77"/>
  <c r="H71" i="32"/>
  <c r="O71" i="32" s="1"/>
  <c r="H71" i="36"/>
  <c r="O71" i="36" s="1"/>
  <c r="J55" i="77"/>
  <c r="H55" i="36"/>
  <c r="O55" i="36" s="1"/>
  <c r="H55" i="32"/>
  <c r="O55" i="32" s="1"/>
  <c r="J39" i="77"/>
  <c r="H39" i="32"/>
  <c r="O39" i="32" s="1"/>
  <c r="H39" i="36"/>
  <c r="O39" i="36" s="1"/>
  <c r="J23" i="77"/>
  <c r="H23" i="36"/>
  <c r="O23" i="36" s="1"/>
  <c r="H23" i="32"/>
  <c r="O23" i="32" s="1"/>
  <c r="J7" i="77"/>
  <c r="H7" i="36"/>
  <c r="O7" i="36" s="1"/>
  <c r="H7" i="32"/>
  <c r="O7" i="32" s="1"/>
  <c r="H120" i="155"/>
  <c r="G120" i="152"/>
  <c r="G120" i="151"/>
  <c r="H116" i="155"/>
  <c r="G116" i="152"/>
  <c r="G116" i="151"/>
  <c r="H112" i="155"/>
  <c r="G112" i="152"/>
  <c r="G112" i="151"/>
  <c r="G108" i="151"/>
  <c r="H108" i="155"/>
  <c r="G108" i="152"/>
  <c r="G104" i="152"/>
  <c r="H104" i="155"/>
  <c r="G104" i="151"/>
  <c r="M104" i="151" s="1"/>
  <c r="H100" i="155"/>
  <c r="G100" i="152"/>
  <c r="G100" i="151"/>
  <c r="H96" i="155"/>
  <c r="G96" i="152"/>
  <c r="G96" i="151"/>
  <c r="M96" i="151" s="1"/>
  <c r="G92" i="151"/>
  <c r="H92" i="155"/>
  <c r="G92" i="152"/>
  <c r="H88" i="155"/>
  <c r="G88" i="152"/>
  <c r="G88" i="151"/>
  <c r="H84" i="155"/>
  <c r="G84" i="152"/>
  <c r="G84" i="151"/>
  <c r="H80" i="155"/>
  <c r="G80" i="152"/>
  <c r="G80" i="151"/>
  <c r="M80" i="151" s="1"/>
  <c r="G76" i="151"/>
  <c r="H76" i="155"/>
  <c r="G76" i="152"/>
  <c r="G72" i="152"/>
  <c r="G72" i="151"/>
  <c r="H72" i="155"/>
  <c r="H68" i="155"/>
  <c r="G68" i="152"/>
  <c r="G68" i="151"/>
  <c r="M68" i="151" s="1"/>
  <c r="H64" i="155"/>
  <c r="G64" i="152"/>
  <c r="G64" i="151"/>
  <c r="H60" i="155"/>
  <c r="G60" i="151"/>
  <c r="G60" i="152"/>
  <c r="M60" i="152" s="1"/>
  <c r="G56" i="152"/>
  <c r="G56" i="151"/>
  <c r="H56" i="155"/>
  <c r="H52" i="155"/>
  <c r="G52" i="151"/>
  <c r="M52" i="151" s="1"/>
  <c r="G52" i="152"/>
  <c r="H48" i="155"/>
  <c r="G48" i="152"/>
  <c r="G48" i="151"/>
  <c r="H44" i="155"/>
  <c r="G44" i="151"/>
  <c r="G44" i="152"/>
  <c r="H40" i="155"/>
  <c r="G40" i="152"/>
  <c r="G40" i="151"/>
  <c r="H36" i="155"/>
  <c r="G36" i="152"/>
  <c r="M36" i="152" s="1"/>
  <c r="G36" i="151"/>
  <c r="H32" i="155"/>
  <c r="G32" i="152"/>
  <c r="G32" i="151"/>
  <c r="G28" i="151"/>
  <c r="H28" i="155"/>
  <c r="G28" i="152"/>
  <c r="H24" i="155"/>
  <c r="G24" i="152"/>
  <c r="G24" i="151"/>
  <c r="H20" i="155"/>
  <c r="G20" i="152"/>
  <c r="G20" i="151"/>
  <c r="H16" i="155"/>
  <c r="G16" i="152"/>
  <c r="G16" i="151"/>
  <c r="M16" i="151" s="1"/>
  <c r="H12" i="155"/>
  <c r="G12" i="151"/>
  <c r="G12" i="152"/>
  <c r="G8" i="152"/>
  <c r="G8" i="151"/>
  <c r="H8" i="155"/>
  <c r="H4" i="155"/>
  <c r="G4" i="152"/>
  <c r="G4" i="151"/>
  <c r="M4" i="151" s="1"/>
  <c r="J115" i="77"/>
  <c r="H115" i="36"/>
  <c r="O115" i="36" s="1"/>
  <c r="H115" i="32"/>
  <c r="O115" i="32" s="1"/>
  <c r="J72" i="77"/>
  <c r="H72" i="36"/>
  <c r="O72" i="36" s="1"/>
  <c r="H72" i="32"/>
  <c r="O72" i="32" s="1"/>
  <c r="H24" i="36"/>
  <c r="O24" i="36" s="1"/>
  <c r="H24" i="32"/>
  <c r="O24" i="32" s="1"/>
  <c r="J24" i="77"/>
  <c r="H113" i="32"/>
  <c r="O113" i="32" s="1"/>
  <c r="J113" i="77"/>
  <c r="H113" i="36"/>
  <c r="O113" i="36" s="1"/>
  <c r="J108" i="77"/>
  <c r="H108" i="36"/>
  <c r="O108" i="36" s="1"/>
  <c r="H108" i="32"/>
  <c r="O108" i="32" s="1"/>
  <c r="J104" i="77"/>
  <c r="H104" i="36"/>
  <c r="O104" i="36" s="1"/>
  <c r="H104" i="32"/>
  <c r="O104" i="32" s="1"/>
  <c r="J100" i="77"/>
  <c r="H100" i="36"/>
  <c r="O100" i="36" s="1"/>
  <c r="H100" i="32"/>
  <c r="O100" i="32" s="1"/>
  <c r="H90" i="36"/>
  <c r="O90" i="36" s="1"/>
  <c r="J90" i="77"/>
  <c r="H90" i="32"/>
  <c r="O90" i="32" s="1"/>
  <c r="H74" i="36"/>
  <c r="O74" i="36" s="1"/>
  <c r="J74" i="77"/>
  <c r="H74" i="32"/>
  <c r="O74" i="32" s="1"/>
  <c r="H58" i="36"/>
  <c r="O58" i="36" s="1"/>
  <c r="J58" i="77"/>
  <c r="H58" i="32"/>
  <c r="O58" i="32" s="1"/>
  <c r="H42" i="36"/>
  <c r="O42" i="36" s="1"/>
  <c r="J42" i="77"/>
  <c r="H42" i="32"/>
  <c r="O42" i="32" s="1"/>
  <c r="J26" i="77"/>
  <c r="H26" i="36"/>
  <c r="O26" i="36" s="1"/>
  <c r="H26" i="32"/>
  <c r="O26" i="32" s="1"/>
  <c r="H10" i="36"/>
  <c r="O10" i="36" s="1"/>
  <c r="J10" i="77"/>
  <c r="H10" i="32"/>
  <c r="O10" i="32" s="1"/>
  <c r="J118" i="77"/>
  <c r="H118" i="36"/>
  <c r="O118" i="36" s="1"/>
  <c r="H118" i="32"/>
  <c r="O118" i="32" s="1"/>
  <c r="J93" i="77"/>
  <c r="H93" i="32"/>
  <c r="O93" i="32" s="1"/>
  <c r="H93" i="36"/>
  <c r="O93" i="36" s="1"/>
  <c r="J77" i="77"/>
  <c r="H77" i="32"/>
  <c r="O77" i="32" s="1"/>
  <c r="H77" i="36"/>
  <c r="O77" i="36" s="1"/>
  <c r="J61" i="77"/>
  <c r="H61" i="32"/>
  <c r="O61" i="32" s="1"/>
  <c r="H61" i="36"/>
  <c r="O61" i="36" s="1"/>
  <c r="J45" i="77"/>
  <c r="H45" i="32"/>
  <c r="O45" i="32" s="1"/>
  <c r="H45" i="36"/>
  <c r="O45" i="36" s="1"/>
  <c r="J29" i="77"/>
  <c r="H29" i="32"/>
  <c r="O29" i="32" s="1"/>
  <c r="H29" i="36"/>
  <c r="O29" i="36" s="1"/>
  <c r="J13" i="77"/>
  <c r="H13" i="32"/>
  <c r="O13" i="32" s="1"/>
  <c r="H13" i="36"/>
  <c r="O13" i="36" s="1"/>
  <c r="J96" i="77"/>
  <c r="H96" i="36"/>
  <c r="O96" i="36" s="1"/>
  <c r="H96" i="32"/>
  <c r="O96" i="32" s="1"/>
  <c r="J80" i="77"/>
  <c r="H80" i="36"/>
  <c r="O80" i="36" s="1"/>
  <c r="H80" i="32"/>
  <c r="O80" i="32" s="1"/>
  <c r="J64" i="77"/>
  <c r="H64" i="36"/>
  <c r="O64" i="36" s="1"/>
  <c r="H64" i="32"/>
  <c r="O64" i="32" s="1"/>
  <c r="J48" i="77"/>
  <c r="H48" i="36"/>
  <c r="O48" i="36" s="1"/>
  <c r="H48" i="32"/>
  <c r="O48" i="32" s="1"/>
  <c r="J32" i="77"/>
  <c r="H32" i="36"/>
  <c r="O32" i="36" s="1"/>
  <c r="H32" i="32"/>
  <c r="O32" i="32" s="1"/>
  <c r="J16" i="77"/>
  <c r="H16" i="36"/>
  <c r="O16" i="36" s="1"/>
  <c r="H16" i="32"/>
  <c r="O16" i="32" s="1"/>
  <c r="J112" i="77"/>
  <c r="H112" i="36"/>
  <c r="O112" i="36" s="1"/>
  <c r="H112" i="32"/>
  <c r="O112" i="32" s="1"/>
  <c r="J83" i="77"/>
  <c r="H83" i="36"/>
  <c r="O83" i="36" s="1"/>
  <c r="H83" i="32"/>
  <c r="O83" i="32" s="1"/>
  <c r="J67" i="77"/>
  <c r="H67" i="36"/>
  <c r="O67" i="36" s="1"/>
  <c r="H67" i="32"/>
  <c r="O67" i="32" s="1"/>
  <c r="J51" i="77"/>
  <c r="H51" i="36"/>
  <c r="O51" i="36" s="1"/>
  <c r="H51" i="32"/>
  <c r="O51" i="32" s="1"/>
  <c r="J35" i="77"/>
  <c r="H35" i="36"/>
  <c r="O35" i="36" s="1"/>
  <c r="H35" i="32"/>
  <c r="O35" i="32" s="1"/>
  <c r="J19" i="77"/>
  <c r="H19" i="36"/>
  <c r="O19" i="36" s="1"/>
  <c r="H19" i="32"/>
  <c r="O19" i="32" s="1"/>
  <c r="J3" i="77"/>
  <c r="H3" i="36"/>
  <c r="O3" i="36" s="1"/>
  <c r="H3" i="32"/>
  <c r="O3" i="32" s="1"/>
  <c r="H119" i="155"/>
  <c r="G119" i="152"/>
  <c r="M119" i="152" s="1"/>
  <c r="G119" i="151"/>
  <c r="M119" i="151" s="1"/>
  <c r="H115" i="155"/>
  <c r="G115" i="152"/>
  <c r="M115" i="152" s="1"/>
  <c r="G115" i="151"/>
  <c r="M115" i="151" s="1"/>
  <c r="G111" i="151"/>
  <c r="H111" i="155"/>
  <c r="G111" i="152"/>
  <c r="H107" i="155"/>
  <c r="G107" i="152"/>
  <c r="M107" i="152" s="1"/>
  <c r="G107" i="151"/>
  <c r="G103" i="152"/>
  <c r="G103" i="151"/>
  <c r="H103" i="155"/>
  <c r="H99" i="155"/>
  <c r="G99" i="152"/>
  <c r="M99" i="152" s="1"/>
  <c r="G99" i="151"/>
  <c r="G95" i="151"/>
  <c r="G95" i="152"/>
  <c r="M95" i="152" s="1"/>
  <c r="H95" i="155"/>
  <c r="H91" i="155"/>
  <c r="G91" i="151"/>
  <c r="M91" i="151" s="1"/>
  <c r="G91" i="152"/>
  <c r="M91" i="152" s="1"/>
  <c r="H87" i="155"/>
  <c r="G87" i="152"/>
  <c r="G87" i="151"/>
  <c r="H83" i="155"/>
  <c r="G83" i="152"/>
  <c r="M83" i="152" s="1"/>
  <c r="G83" i="151"/>
  <c r="H79" i="155"/>
  <c r="G79" i="151"/>
  <c r="M79" i="151" s="1"/>
  <c r="G79" i="152"/>
  <c r="M79" i="152" s="1"/>
  <c r="H75" i="155"/>
  <c r="G75" i="152"/>
  <c r="G75" i="151"/>
  <c r="H71" i="155"/>
  <c r="G71" i="152"/>
  <c r="G71" i="151"/>
  <c r="H67" i="155"/>
  <c r="G67" i="152"/>
  <c r="G67" i="151"/>
  <c r="M67" i="151" s="1"/>
  <c r="G63" i="151"/>
  <c r="H63" i="155"/>
  <c r="G63" i="152"/>
  <c r="M63" i="152" s="1"/>
  <c r="H59" i="155"/>
  <c r="G59" i="151"/>
  <c r="M59" i="151" s="1"/>
  <c r="G59" i="152"/>
  <c r="H55" i="155"/>
  <c r="G55" i="152"/>
  <c r="G55" i="151"/>
  <c r="M55" i="151" s="1"/>
  <c r="G51" i="152"/>
  <c r="M51" i="152" s="1"/>
  <c r="H51" i="155"/>
  <c r="G51" i="151"/>
  <c r="H47" i="155"/>
  <c r="G47" i="151"/>
  <c r="M47" i="151" s="1"/>
  <c r="G47" i="152"/>
  <c r="M47" i="152" s="1"/>
  <c r="H43" i="155"/>
  <c r="G43" i="152"/>
  <c r="M43" i="152" s="1"/>
  <c r="G43" i="151"/>
  <c r="G39" i="152"/>
  <c r="H39" i="155"/>
  <c r="G39" i="151"/>
  <c r="H35" i="155"/>
  <c r="G35" i="152"/>
  <c r="M35" i="152" s="1"/>
  <c r="G35" i="151"/>
  <c r="M35" i="151" s="1"/>
  <c r="H31" i="155"/>
  <c r="G31" i="151"/>
  <c r="G31" i="152"/>
  <c r="M31" i="152" s="1"/>
  <c r="G27" i="151"/>
  <c r="M27" i="151" s="1"/>
  <c r="H27" i="155"/>
  <c r="G27" i="152"/>
  <c r="M27" i="152" s="1"/>
  <c r="G23" i="152"/>
  <c r="G23" i="151"/>
  <c r="H23" i="155"/>
  <c r="H19" i="155"/>
  <c r="G19" i="152"/>
  <c r="M19" i="152" s="1"/>
  <c r="G19" i="151"/>
  <c r="H15" i="155"/>
  <c r="G15" i="151"/>
  <c r="G15" i="152"/>
  <c r="M15" i="152" s="1"/>
  <c r="H11" i="155"/>
  <c r="G11" i="152"/>
  <c r="G11" i="151"/>
  <c r="M11" i="151" s="1"/>
  <c r="G7" i="152"/>
  <c r="M7" i="152" s="1"/>
  <c r="H7" i="155"/>
  <c r="G7" i="151"/>
  <c r="H3" i="155"/>
  <c r="G3" i="152"/>
  <c r="M3" i="152" s="1"/>
  <c r="G3" i="151"/>
  <c r="J117" i="77"/>
  <c r="H117" i="32"/>
  <c r="O117" i="32" s="1"/>
  <c r="H117" i="36"/>
  <c r="O117" i="36" s="1"/>
  <c r="J107" i="77"/>
  <c r="H107" i="36"/>
  <c r="O107" i="36" s="1"/>
  <c r="H107" i="32"/>
  <c r="O107" i="32" s="1"/>
  <c r="J103" i="77"/>
  <c r="H103" i="32"/>
  <c r="O103" i="32" s="1"/>
  <c r="H103" i="36"/>
  <c r="O103" i="36" s="1"/>
  <c r="J99" i="77"/>
  <c r="H99" i="36"/>
  <c r="O99" i="36" s="1"/>
  <c r="H99" i="32"/>
  <c r="O99" i="32" s="1"/>
  <c r="J86" i="77"/>
  <c r="H86" i="36"/>
  <c r="O86" i="36" s="1"/>
  <c r="H86" i="32"/>
  <c r="O86" i="32" s="1"/>
  <c r="J70" i="77"/>
  <c r="H70" i="36"/>
  <c r="O70" i="36" s="1"/>
  <c r="H70" i="32"/>
  <c r="O70" i="32" s="1"/>
  <c r="J54" i="77"/>
  <c r="H54" i="36"/>
  <c r="O54" i="36" s="1"/>
  <c r="H54" i="32"/>
  <c r="O54" i="32" s="1"/>
  <c r="J38" i="77"/>
  <c r="H38" i="36"/>
  <c r="O38" i="36" s="1"/>
  <c r="H38" i="32"/>
  <c r="O38" i="32" s="1"/>
  <c r="J22" i="77"/>
  <c r="H22" i="36"/>
  <c r="O22" i="36" s="1"/>
  <c r="H22" i="32"/>
  <c r="O22" i="32" s="1"/>
  <c r="J6" i="77"/>
  <c r="H6" i="36"/>
  <c r="O6" i="36" s="1"/>
  <c r="H6" i="32"/>
  <c r="O6" i="32" s="1"/>
  <c r="H89" i="32"/>
  <c r="O89" i="32" s="1"/>
  <c r="J89" i="77"/>
  <c r="H89" i="36"/>
  <c r="O89" i="36" s="1"/>
  <c r="H73" i="32"/>
  <c r="O73" i="32" s="1"/>
  <c r="J73" i="77"/>
  <c r="H73" i="36"/>
  <c r="O73" i="36" s="1"/>
  <c r="H57" i="32"/>
  <c r="O57" i="32" s="1"/>
  <c r="J57" i="77"/>
  <c r="H57" i="36"/>
  <c r="O57" i="36" s="1"/>
  <c r="H41" i="32"/>
  <c r="O41" i="32" s="1"/>
  <c r="J41" i="77"/>
  <c r="H41" i="36"/>
  <c r="O41" i="36" s="1"/>
  <c r="J25" i="77"/>
  <c r="H25" i="32"/>
  <c r="O25" i="32" s="1"/>
  <c r="H25" i="36"/>
  <c r="O25" i="36" s="1"/>
  <c r="J9" i="77"/>
  <c r="H9" i="32"/>
  <c r="O9" i="32" s="1"/>
  <c r="H9" i="36"/>
  <c r="O9" i="36" s="1"/>
  <c r="J40" i="77"/>
  <c r="H40" i="36"/>
  <c r="O40" i="36" s="1"/>
  <c r="H40" i="32"/>
  <c r="O40" i="32" s="1"/>
  <c r="J8" i="77"/>
  <c r="H8" i="36"/>
  <c r="O8" i="36" s="1"/>
  <c r="H8" i="32"/>
  <c r="O8" i="32" s="1"/>
  <c r="J111" i="77"/>
  <c r="H111" i="36"/>
  <c r="O111" i="36" s="1"/>
  <c r="H111" i="32"/>
  <c r="O111" i="32" s="1"/>
  <c r="J92" i="77"/>
  <c r="H92" i="32"/>
  <c r="O92" i="32" s="1"/>
  <c r="H92" i="36"/>
  <c r="O92" i="36" s="1"/>
  <c r="J76" i="77"/>
  <c r="H76" i="36"/>
  <c r="O76" i="36" s="1"/>
  <c r="H76" i="32"/>
  <c r="O76" i="32" s="1"/>
  <c r="J60" i="77"/>
  <c r="H60" i="32"/>
  <c r="O60" i="32" s="1"/>
  <c r="H60" i="36"/>
  <c r="O60" i="36" s="1"/>
  <c r="J44" i="77"/>
  <c r="H44" i="32"/>
  <c r="O44" i="32" s="1"/>
  <c r="H44" i="36"/>
  <c r="O44" i="36" s="1"/>
  <c r="J28" i="77"/>
  <c r="H28" i="32"/>
  <c r="O28" i="32" s="1"/>
  <c r="H28" i="36"/>
  <c r="O28" i="36" s="1"/>
  <c r="J12" i="77"/>
  <c r="H12" i="36"/>
  <c r="O12" i="36" s="1"/>
  <c r="H12" i="32"/>
  <c r="O12" i="32" s="1"/>
  <c r="J116" i="77"/>
  <c r="H116" i="32"/>
  <c r="O116" i="32" s="1"/>
  <c r="H116" i="36"/>
  <c r="O116" i="36" s="1"/>
  <c r="J95" i="77"/>
  <c r="H95" i="36"/>
  <c r="O95" i="36" s="1"/>
  <c r="H95" i="32"/>
  <c r="O95" i="32" s="1"/>
  <c r="J79" i="77"/>
  <c r="H79" i="36"/>
  <c r="O79" i="36" s="1"/>
  <c r="H79" i="32"/>
  <c r="O79" i="32" s="1"/>
  <c r="J63" i="77"/>
  <c r="H63" i="32"/>
  <c r="O63" i="32" s="1"/>
  <c r="H63" i="36"/>
  <c r="O63" i="36" s="1"/>
  <c r="J47" i="77"/>
  <c r="H47" i="36"/>
  <c r="O47" i="36" s="1"/>
  <c r="H47" i="32"/>
  <c r="O47" i="32" s="1"/>
  <c r="J31" i="77"/>
  <c r="H31" i="32"/>
  <c r="O31" i="32" s="1"/>
  <c r="H31" i="36"/>
  <c r="O31" i="36" s="1"/>
  <c r="J15" i="77"/>
  <c r="H15" i="32"/>
  <c r="O15" i="32" s="1"/>
  <c r="H15" i="36"/>
  <c r="O15" i="36" s="1"/>
  <c r="G118" i="152"/>
  <c r="G118" i="151"/>
  <c r="H118" i="155"/>
  <c r="H114" i="155"/>
  <c r="G114" i="152"/>
  <c r="M114" i="152" s="1"/>
  <c r="G114" i="151"/>
  <c r="M114" i="151" s="1"/>
  <c r="G110" i="151"/>
  <c r="G110" i="152"/>
  <c r="M110" i="152" s="1"/>
  <c r="H110" i="155"/>
  <c r="H106" i="155"/>
  <c r="G106" i="151"/>
  <c r="M106" i="151" s="1"/>
  <c r="G106" i="152"/>
  <c r="M106" i="152" s="1"/>
  <c r="G102" i="152"/>
  <c r="M102" i="152" s="1"/>
  <c r="H102" i="155"/>
  <c r="G102" i="151"/>
  <c r="M102" i="151" s="1"/>
  <c r="H98" i="155"/>
  <c r="G98" i="151"/>
  <c r="G98" i="152"/>
  <c r="G94" i="151"/>
  <c r="M94" i="151" s="1"/>
  <c r="G94" i="152"/>
  <c r="H94" i="155"/>
  <c r="H90" i="155"/>
  <c r="G90" i="151"/>
  <c r="M90" i="151" s="1"/>
  <c r="G90" i="152"/>
  <c r="M90" i="152" s="1"/>
  <c r="H86" i="155"/>
  <c r="G86" i="152"/>
  <c r="M86" i="152" s="1"/>
  <c r="G86" i="151"/>
  <c r="M86" i="151" s="1"/>
  <c r="H82" i="155"/>
  <c r="G82" i="152"/>
  <c r="M82" i="152" s="1"/>
  <c r="G82" i="151"/>
  <c r="M82" i="151" s="1"/>
  <c r="H78" i="155"/>
  <c r="G78" i="151"/>
  <c r="M78" i="151" s="1"/>
  <c r="G78" i="152"/>
  <c r="M78" i="152" s="1"/>
  <c r="H74" i="155"/>
  <c r="G74" i="151"/>
  <c r="M74" i="151" s="1"/>
  <c r="G74" i="152"/>
  <c r="H70" i="155"/>
  <c r="G70" i="152"/>
  <c r="G70" i="151"/>
  <c r="M70" i="151" s="1"/>
  <c r="H66" i="155"/>
  <c r="G66" i="152"/>
  <c r="M66" i="152" s="1"/>
  <c r="G66" i="151"/>
  <c r="M66" i="151" s="1"/>
  <c r="H62" i="155"/>
  <c r="G62" i="151"/>
  <c r="M62" i="151" s="1"/>
  <c r="G62" i="152"/>
  <c r="H58" i="155"/>
  <c r="G58" i="152"/>
  <c r="M58" i="152" s="1"/>
  <c r="G58" i="151"/>
  <c r="M58" i="151" s="1"/>
  <c r="G54" i="152"/>
  <c r="M54" i="152" s="1"/>
  <c r="H54" i="155"/>
  <c r="G54" i="151"/>
  <c r="H50" i="155"/>
  <c r="G50" i="152"/>
  <c r="M50" i="152" s="1"/>
  <c r="G50" i="151"/>
  <c r="M50" i="151" s="1"/>
  <c r="H46" i="155"/>
  <c r="G46" i="151"/>
  <c r="M46" i="151" s="1"/>
  <c r="G46" i="152"/>
  <c r="M46" i="152" s="1"/>
  <c r="H42" i="155"/>
  <c r="G42" i="152"/>
  <c r="M42" i="152" s="1"/>
  <c r="G42" i="151"/>
  <c r="M42" i="151" s="1"/>
  <c r="G38" i="152"/>
  <c r="M38" i="152" s="1"/>
  <c r="G38" i="151"/>
  <c r="M38" i="151" s="1"/>
  <c r="H38" i="155"/>
  <c r="H34" i="155"/>
  <c r="G34" i="152"/>
  <c r="M34" i="152" s="1"/>
  <c r="G34" i="151"/>
  <c r="G30" i="151"/>
  <c r="M30" i="151" s="1"/>
  <c r="G30" i="152"/>
  <c r="M30" i="152" s="1"/>
  <c r="H30" i="155"/>
  <c r="G26" i="152"/>
  <c r="M26" i="152" s="1"/>
  <c r="H26" i="155"/>
  <c r="G26" i="151"/>
  <c r="M26" i="151" s="1"/>
  <c r="G22" i="152"/>
  <c r="M22" i="152" s="1"/>
  <c r="G22" i="151"/>
  <c r="M22" i="151" s="1"/>
  <c r="H22" i="155"/>
  <c r="H18" i="155"/>
  <c r="G18" i="151"/>
  <c r="G18" i="152"/>
  <c r="M18" i="152" s="1"/>
  <c r="H14" i="155"/>
  <c r="G14" i="151"/>
  <c r="G14" i="152"/>
  <c r="G10" i="152"/>
  <c r="G10" i="151"/>
  <c r="H10" i="155"/>
  <c r="H6" i="155"/>
  <c r="G6" i="152"/>
  <c r="M6" i="152" s="1"/>
  <c r="G6" i="151"/>
  <c r="M6" i="151" s="1"/>
  <c r="H106" i="36"/>
  <c r="O106" i="36" s="1"/>
  <c r="J106" i="77"/>
  <c r="H106" i="32"/>
  <c r="O106" i="32" s="1"/>
  <c r="J102" i="77"/>
  <c r="H102" i="36"/>
  <c r="O102" i="36" s="1"/>
  <c r="H102" i="32"/>
  <c r="O102" i="32" s="1"/>
  <c r="J98" i="77"/>
  <c r="H98" i="36"/>
  <c r="O98" i="36" s="1"/>
  <c r="H98" i="32"/>
  <c r="O98" i="32" s="1"/>
  <c r="J82" i="77"/>
  <c r="H82" i="36"/>
  <c r="O82" i="36" s="1"/>
  <c r="H82" i="32"/>
  <c r="O82" i="32" s="1"/>
  <c r="J66" i="77"/>
  <c r="H66" i="36"/>
  <c r="O66" i="36" s="1"/>
  <c r="H66" i="32"/>
  <c r="O66" i="32" s="1"/>
  <c r="J50" i="77"/>
  <c r="H50" i="36"/>
  <c r="O50" i="36" s="1"/>
  <c r="H50" i="32"/>
  <c r="O50" i="32" s="1"/>
  <c r="J34" i="77"/>
  <c r="H34" i="36"/>
  <c r="O34" i="36" s="1"/>
  <c r="H34" i="32"/>
  <c r="O34" i="32" s="1"/>
  <c r="J18" i="77"/>
  <c r="H18" i="36"/>
  <c r="O18" i="36" s="1"/>
  <c r="H18" i="32"/>
  <c r="O18" i="32" s="1"/>
  <c r="H2" i="155"/>
  <c r="G2" i="151"/>
  <c r="M2" i="151" s="1"/>
  <c r="G2" i="152"/>
  <c r="J110" i="77"/>
  <c r="H110" i="36"/>
  <c r="O110" i="36" s="1"/>
  <c r="H110" i="32"/>
  <c r="O110" i="32" s="1"/>
  <c r="J85" i="77"/>
  <c r="H85" i="32"/>
  <c r="O85" i="32" s="1"/>
  <c r="H85" i="36"/>
  <c r="O85" i="36" s="1"/>
  <c r="J69" i="77"/>
  <c r="H69" i="32"/>
  <c r="O69" i="32" s="1"/>
  <c r="H69" i="36"/>
  <c r="O69" i="36" s="1"/>
  <c r="J53" i="77"/>
  <c r="H53" i="32"/>
  <c r="O53" i="32" s="1"/>
  <c r="H53" i="36"/>
  <c r="O53" i="36" s="1"/>
  <c r="J37" i="77"/>
  <c r="H37" i="32"/>
  <c r="O37" i="32" s="1"/>
  <c r="H37" i="36"/>
  <c r="O37" i="36" s="1"/>
  <c r="J21" i="77"/>
  <c r="H21" i="32"/>
  <c r="O21" i="32" s="1"/>
  <c r="H21" i="36"/>
  <c r="O21" i="36" s="1"/>
  <c r="J5" i="77"/>
  <c r="H5" i="32"/>
  <c r="O5" i="32" s="1"/>
  <c r="H5" i="36"/>
  <c r="O5" i="36" s="1"/>
  <c r="M120" i="152"/>
  <c r="M120" i="151"/>
  <c r="M116" i="152"/>
  <c r="M116" i="151"/>
  <c r="M112" i="152"/>
  <c r="M112" i="151"/>
  <c r="M108" i="152"/>
  <c r="M108" i="151"/>
  <c r="M104" i="152"/>
  <c r="M100" i="152"/>
  <c r="M100" i="151"/>
  <c r="M96" i="152"/>
  <c r="M92" i="152"/>
  <c r="M92" i="151"/>
  <c r="M88" i="152"/>
  <c r="M88" i="151"/>
  <c r="M84" i="152"/>
  <c r="M84" i="151"/>
  <c r="M80" i="152"/>
  <c r="M76" i="152"/>
  <c r="M76" i="151"/>
  <c r="M72" i="152"/>
  <c r="M72" i="151"/>
  <c r="M68" i="152"/>
  <c r="M64" i="152"/>
  <c r="M64" i="151"/>
  <c r="M60" i="151"/>
  <c r="M56" i="152"/>
  <c r="M56" i="151"/>
  <c r="M52" i="152"/>
  <c r="M48" i="152"/>
  <c r="M48" i="151"/>
  <c r="M44" i="152"/>
  <c r="M44" i="151"/>
  <c r="M40" i="152"/>
  <c r="M40" i="151"/>
  <c r="M36" i="151"/>
  <c r="M32" i="152"/>
  <c r="M32" i="151"/>
  <c r="M28" i="152"/>
  <c r="M28" i="151"/>
  <c r="M24" i="152"/>
  <c r="M24" i="151"/>
  <c r="M20" i="152"/>
  <c r="M20" i="151"/>
  <c r="M16" i="152"/>
  <c r="M12" i="152"/>
  <c r="M12" i="151"/>
  <c r="M8" i="151"/>
  <c r="M8" i="152"/>
  <c r="M4" i="152"/>
  <c r="M111" i="152"/>
  <c r="M111" i="151"/>
  <c r="M107" i="151"/>
  <c r="M103" i="152"/>
  <c r="M103" i="151"/>
  <c r="M99" i="151"/>
  <c r="M95" i="151"/>
  <c r="M87" i="152"/>
  <c r="M87" i="151"/>
  <c r="M83" i="151"/>
  <c r="M75" i="152"/>
  <c r="M75" i="151"/>
  <c r="M71" i="152"/>
  <c r="M71" i="151"/>
  <c r="M67" i="152"/>
  <c r="M63" i="151"/>
  <c r="M59" i="152"/>
  <c r="M55" i="152"/>
  <c r="M51" i="151"/>
  <c r="M43" i="151"/>
  <c r="M39" i="152"/>
  <c r="M39" i="151"/>
  <c r="M31" i="151"/>
  <c r="M23" i="152"/>
  <c r="M23" i="151"/>
  <c r="M19" i="151"/>
  <c r="M15" i="151"/>
  <c r="M11" i="152"/>
  <c r="M7" i="151"/>
  <c r="M3" i="151"/>
  <c r="M118" i="152"/>
  <c r="M118" i="151"/>
  <c r="M98" i="152"/>
  <c r="M98" i="151"/>
  <c r="M94" i="152"/>
  <c r="M74" i="152"/>
  <c r="M70" i="152"/>
  <c r="M62" i="152"/>
  <c r="M54" i="151"/>
  <c r="M34" i="151"/>
  <c r="M18" i="151"/>
  <c r="M14" i="151"/>
  <c r="M14" i="152"/>
  <c r="M2" i="152"/>
  <c r="M110" i="151"/>
  <c r="M10" i="152"/>
  <c r="M10" i="151"/>
  <c r="M121" i="151"/>
  <c r="M121" i="152"/>
  <c r="M117" i="152"/>
  <c r="M117" i="151"/>
  <c r="M113" i="151"/>
  <c r="M113" i="152"/>
  <c r="M109" i="151"/>
  <c r="M109" i="152"/>
  <c r="M105" i="152"/>
  <c r="M105" i="151"/>
  <c r="M101" i="152"/>
  <c r="M101" i="151"/>
  <c r="M97" i="152"/>
  <c r="M97" i="151"/>
  <c r="M93" i="151"/>
  <c r="M93" i="152"/>
  <c r="M89" i="151"/>
  <c r="M89" i="152"/>
  <c r="M85" i="152"/>
  <c r="M85" i="151"/>
  <c r="M81" i="152"/>
  <c r="M81" i="151"/>
  <c r="M77" i="151"/>
  <c r="M77" i="152"/>
  <c r="M73" i="151"/>
  <c r="M73" i="152"/>
  <c r="M69" i="152"/>
  <c r="M69" i="151"/>
  <c r="M65" i="151"/>
  <c r="M65" i="152"/>
  <c r="M61" i="151"/>
  <c r="M61" i="152"/>
  <c r="M57" i="152"/>
  <c r="M57" i="151"/>
  <c r="M53" i="152"/>
  <c r="M53" i="151"/>
  <c r="M49" i="151"/>
  <c r="M49" i="152"/>
  <c r="M45" i="151"/>
  <c r="M45" i="152"/>
  <c r="M41" i="152"/>
  <c r="M41" i="151"/>
  <c r="M37" i="152"/>
  <c r="M37" i="151"/>
  <c r="M33" i="152"/>
  <c r="M33" i="151"/>
  <c r="M29" i="151"/>
  <c r="M29" i="152"/>
  <c r="M25" i="151"/>
  <c r="M25" i="152"/>
  <c r="M21" i="152"/>
  <c r="M21" i="151"/>
  <c r="M17" i="152"/>
  <c r="M17" i="151"/>
  <c r="M13" i="152"/>
  <c r="M13" i="151"/>
  <c r="M9" i="152"/>
  <c r="M9" i="151"/>
  <c r="M5" i="152"/>
  <c r="M5" i="151"/>
  <c r="U19" i="4"/>
  <c r="U5" i="4"/>
  <c r="U6" i="4" l="1"/>
  <c r="U20" i="4"/>
  <c r="U21" i="4" l="1"/>
  <c r="U7" i="4"/>
  <c r="U8" i="4" l="1"/>
  <c r="U22" i="4"/>
  <c r="U23" i="4" l="1"/>
  <c r="U9" i="4"/>
  <c r="U10" i="4" l="1"/>
  <c r="U24" i="4"/>
  <c r="U25" i="4" l="1"/>
  <c r="U11" i="4"/>
  <c r="U12" i="4" l="1"/>
  <c r="U26" i="4"/>
  <c r="U27" i="4" l="1"/>
  <c r="U13" i="4"/>
  <c r="U14" i="4" l="1"/>
  <c r="U15" i="4" s="1"/>
  <c r="U28" i="4"/>
  <c r="U29" i="4" s="1"/>
  <c r="P7" i="148" l="1"/>
  <c r="Q7" i="148"/>
  <c r="R7" i="148"/>
  <c r="S7" i="148"/>
  <c r="T7" i="148"/>
  <c r="P8" i="148"/>
  <c r="Q8" i="148"/>
  <c r="R8" i="148"/>
  <c r="S8" i="148"/>
  <c r="T8" i="148"/>
  <c r="P9" i="148"/>
  <c r="Q9" i="148"/>
  <c r="R9" i="148"/>
  <c r="S9" i="148"/>
  <c r="T9" i="148"/>
  <c r="P10" i="148"/>
  <c r="Q10" i="148"/>
  <c r="R10" i="148"/>
  <c r="S10" i="148"/>
  <c r="T10" i="148"/>
  <c r="P11" i="148"/>
  <c r="Q11" i="148"/>
  <c r="R11" i="148"/>
  <c r="S11" i="148"/>
  <c r="T11" i="148"/>
  <c r="P12" i="148"/>
  <c r="Q12" i="148"/>
  <c r="R12" i="148"/>
  <c r="S12" i="148"/>
  <c r="T12" i="148"/>
  <c r="R13" i="148"/>
  <c r="S13" i="148"/>
  <c r="T13" i="148"/>
  <c r="R14" i="148"/>
  <c r="S14" i="148"/>
  <c r="T14" i="148"/>
  <c r="R15" i="148"/>
  <c r="S15" i="148"/>
  <c r="T15" i="148"/>
  <c r="R16" i="148"/>
  <c r="S16" i="148"/>
  <c r="T16" i="148"/>
  <c r="R17" i="148"/>
  <c r="S17" i="148"/>
  <c r="T17" i="148"/>
  <c r="R18" i="148"/>
  <c r="S18" i="148"/>
  <c r="T18" i="148"/>
  <c r="R27" i="148"/>
  <c r="S27" i="148"/>
  <c r="T27" i="148"/>
  <c r="R28" i="148"/>
  <c r="S28" i="148"/>
  <c r="T28" i="148"/>
  <c r="R29" i="148"/>
  <c r="S29" i="148"/>
  <c r="T29" i="148"/>
  <c r="M26" i="148"/>
  <c r="M36" i="148" s="1"/>
  <c r="N5" i="148"/>
  <c r="N26" i="148" s="1"/>
  <c r="N36" i="148" s="1"/>
  <c r="O5" i="148"/>
  <c r="O26" i="148" s="1"/>
  <c r="O36" i="148" s="1"/>
  <c r="P5" i="148"/>
  <c r="P26" i="148" s="1"/>
  <c r="P36" i="148" s="1"/>
  <c r="Q5" i="148"/>
  <c r="Q26" i="148" s="1"/>
  <c r="Q36" i="148" s="1"/>
  <c r="R5" i="148"/>
  <c r="R26" i="148" s="1"/>
  <c r="S5" i="148"/>
  <c r="S26" i="148" s="1"/>
  <c r="T5" i="148"/>
  <c r="T26" i="148" s="1"/>
  <c r="M5" i="148"/>
  <c r="C55" i="72"/>
  <c r="D55" i="72"/>
  <c r="E55" i="72"/>
  <c r="F55" i="72"/>
  <c r="G55" i="72"/>
  <c r="I41" i="72"/>
  <c r="I40" i="72"/>
  <c r="I36" i="72"/>
  <c r="I35" i="72"/>
  <c r="I31" i="72"/>
  <c r="I30" i="72"/>
  <c r="G42" i="72"/>
  <c r="F42" i="72"/>
  <c r="E42" i="72"/>
  <c r="D42" i="72"/>
  <c r="C42" i="72"/>
  <c r="G37" i="72"/>
  <c r="F37" i="72"/>
  <c r="E37" i="72"/>
  <c r="D37" i="72"/>
  <c r="C37" i="72"/>
  <c r="G32" i="72"/>
  <c r="F32" i="72"/>
  <c r="E32" i="72"/>
  <c r="D32" i="72"/>
  <c r="C32" i="72"/>
  <c r="S62" i="72"/>
  <c r="R62" i="72"/>
  <c r="Q62" i="72"/>
  <c r="P62" i="72"/>
  <c r="E61" i="148"/>
  <c r="K5" i="148"/>
  <c r="I42" i="72" l="1"/>
  <c r="I55" i="72"/>
  <c r="B9" i="73"/>
  <c r="B23" i="73" s="1"/>
  <c r="Q82" i="72"/>
  <c r="R82" i="72"/>
  <c r="B10" i="73"/>
  <c r="B24" i="73" s="1"/>
  <c r="S82" i="72"/>
  <c r="B11" i="73"/>
  <c r="B25" i="73" s="1"/>
  <c r="I32" i="72"/>
  <c r="K10" i="72" s="1"/>
  <c r="I37" i="72"/>
  <c r="Q41" i="148"/>
  <c r="Q40" i="148"/>
  <c r="Q38" i="148"/>
  <c r="Q37" i="148"/>
  <c r="P37" i="148"/>
  <c r="Q42" i="148"/>
  <c r="P39" i="148"/>
  <c r="P42" i="148"/>
  <c r="Q39" i="148"/>
  <c r="P40" i="148"/>
  <c r="P41" i="148"/>
  <c r="P38" i="148"/>
  <c r="T10" i="72" l="1"/>
  <c r="U10" i="72"/>
  <c r="AA34" i="23"/>
  <c r="AB35" i="23" s="1"/>
  <c r="S34" i="23"/>
  <c r="T35" i="23" s="1"/>
  <c r="K3" i="76"/>
  <c r="K4" i="76"/>
  <c r="K5" i="76"/>
  <c r="K6" i="76"/>
  <c r="K7" i="76"/>
  <c r="K8" i="76"/>
  <c r="K9" i="76"/>
  <c r="K10" i="76"/>
  <c r="K11" i="76"/>
  <c r="K12" i="76"/>
  <c r="K13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69" i="76"/>
  <c r="K70" i="76"/>
  <c r="K71" i="76"/>
  <c r="K72" i="76"/>
  <c r="K73" i="76"/>
  <c r="K74" i="76"/>
  <c r="K75" i="76"/>
  <c r="K76" i="76"/>
  <c r="K77" i="76"/>
  <c r="K78" i="76"/>
  <c r="K79" i="76"/>
  <c r="K80" i="76"/>
  <c r="K81" i="76"/>
  <c r="K82" i="76"/>
  <c r="K83" i="76"/>
  <c r="K84" i="76"/>
  <c r="K85" i="76"/>
  <c r="K86" i="76"/>
  <c r="K87" i="76"/>
  <c r="K88" i="76"/>
  <c r="K89" i="76"/>
  <c r="K90" i="76"/>
  <c r="K91" i="76"/>
  <c r="K92" i="76"/>
  <c r="K93" i="76"/>
  <c r="K94" i="76"/>
  <c r="K95" i="76"/>
  <c r="K96" i="76"/>
  <c r="K97" i="76"/>
  <c r="K98" i="76"/>
  <c r="K99" i="76"/>
  <c r="K100" i="76"/>
  <c r="K101" i="76"/>
  <c r="K102" i="76"/>
  <c r="K103" i="76"/>
  <c r="K104" i="76"/>
  <c r="K105" i="76"/>
  <c r="K106" i="76"/>
  <c r="K107" i="76"/>
  <c r="K108" i="76"/>
  <c r="K110" i="76"/>
  <c r="K111" i="76"/>
  <c r="K112" i="76"/>
  <c r="K113" i="76"/>
  <c r="K114" i="76"/>
  <c r="K115" i="76"/>
  <c r="K116" i="76"/>
  <c r="K117" i="76"/>
  <c r="K118" i="76"/>
  <c r="K119" i="76"/>
  <c r="K120" i="76"/>
  <c r="K121" i="76"/>
  <c r="K2" i="76"/>
  <c r="F71" i="72" l="1"/>
  <c r="G22" i="23"/>
  <c r="K109" i="76"/>
  <c r="S22" i="23"/>
  <c r="W22" i="23"/>
  <c r="AA22" i="23"/>
  <c r="AE22" i="23"/>
  <c r="K22" i="23"/>
  <c r="C22" i="23"/>
  <c r="I115" i="34"/>
  <c r="I115" i="30"/>
  <c r="I99" i="34"/>
  <c r="I99" i="30"/>
  <c r="I83" i="34"/>
  <c r="I83" i="30"/>
  <c r="I67" i="34"/>
  <c r="I67" i="30"/>
  <c r="I51" i="34"/>
  <c r="I51" i="30"/>
  <c r="I35" i="34"/>
  <c r="I35" i="30"/>
  <c r="I19" i="34"/>
  <c r="I19" i="30"/>
  <c r="I3" i="34"/>
  <c r="I3" i="30"/>
  <c r="S28" i="23"/>
  <c r="S30" i="23"/>
  <c r="I114" i="30"/>
  <c r="I114" i="34"/>
  <c r="I98" i="30"/>
  <c r="I98" i="34"/>
  <c r="I82" i="30"/>
  <c r="I82" i="34"/>
  <c r="I66" i="30"/>
  <c r="I66" i="34"/>
  <c r="I50" i="30"/>
  <c r="I50" i="34"/>
  <c r="I34" i="30"/>
  <c r="I34" i="34"/>
  <c r="I18" i="30"/>
  <c r="I18" i="34"/>
  <c r="S27" i="23"/>
  <c r="I101" i="30"/>
  <c r="I101" i="34"/>
  <c r="I97" i="30"/>
  <c r="I97" i="34"/>
  <c r="I65" i="30"/>
  <c r="I65" i="34"/>
  <c r="I33" i="30"/>
  <c r="I33" i="34"/>
  <c r="S26" i="23"/>
  <c r="AA33" i="23"/>
  <c r="I32" i="30"/>
  <c r="I32" i="34"/>
  <c r="S25" i="23"/>
  <c r="AA32" i="23"/>
  <c r="I111" i="30"/>
  <c r="I111" i="34"/>
  <c r="I95" i="30"/>
  <c r="I95" i="34"/>
  <c r="I79" i="30"/>
  <c r="I79" i="34"/>
  <c r="I63" i="30"/>
  <c r="I63" i="34"/>
  <c r="I47" i="30"/>
  <c r="I47" i="34"/>
  <c r="I31" i="30"/>
  <c r="I31" i="34"/>
  <c r="I15" i="30"/>
  <c r="I15" i="34"/>
  <c r="S24" i="23"/>
  <c r="AA31" i="23"/>
  <c r="I117" i="30"/>
  <c r="I117" i="34"/>
  <c r="I37" i="30"/>
  <c r="I37" i="34"/>
  <c r="I49" i="30"/>
  <c r="I49" i="34"/>
  <c r="AA30" i="23"/>
  <c r="I69" i="30"/>
  <c r="I69" i="34"/>
  <c r="I112" i="30"/>
  <c r="I112" i="34"/>
  <c r="I96" i="30"/>
  <c r="I96" i="34"/>
  <c r="P96" i="34" s="1"/>
  <c r="I80" i="30"/>
  <c r="I80" i="34"/>
  <c r="I64" i="30"/>
  <c r="I64" i="34"/>
  <c r="I48" i="30"/>
  <c r="I48" i="34"/>
  <c r="I62" i="34"/>
  <c r="I62" i="30"/>
  <c r="I109" i="34"/>
  <c r="I109" i="30"/>
  <c r="I93" i="34"/>
  <c r="I93" i="30"/>
  <c r="I77" i="34"/>
  <c r="I77" i="30"/>
  <c r="I61" i="34"/>
  <c r="I61" i="30"/>
  <c r="I45" i="34"/>
  <c r="I45" i="30"/>
  <c r="I29" i="34"/>
  <c r="I29" i="30"/>
  <c r="I13" i="34"/>
  <c r="I13" i="30"/>
  <c r="AA29" i="23"/>
  <c r="I76" i="30"/>
  <c r="I76" i="34"/>
  <c r="AA28" i="23"/>
  <c r="I75" i="34"/>
  <c r="I75" i="30"/>
  <c r="AA27" i="23"/>
  <c r="I2" i="34"/>
  <c r="P2" i="34" s="1"/>
  <c r="I2" i="30"/>
  <c r="I106" i="34"/>
  <c r="I106" i="30"/>
  <c r="I90" i="34"/>
  <c r="I90" i="30"/>
  <c r="I74" i="34"/>
  <c r="I74" i="30"/>
  <c r="I58" i="34"/>
  <c r="I58" i="30"/>
  <c r="I42" i="34"/>
  <c r="I42" i="30"/>
  <c r="I26" i="34"/>
  <c r="I26" i="30"/>
  <c r="I10" i="34"/>
  <c r="I10" i="30"/>
  <c r="AA26" i="23"/>
  <c r="I53" i="30"/>
  <c r="I53" i="34"/>
  <c r="I110" i="34"/>
  <c r="I110" i="30"/>
  <c r="I27" i="34"/>
  <c r="I27" i="30"/>
  <c r="I121" i="34"/>
  <c r="I121" i="30"/>
  <c r="I105" i="34"/>
  <c r="I105" i="30"/>
  <c r="I89" i="34"/>
  <c r="I89" i="30"/>
  <c r="I73" i="34"/>
  <c r="I73" i="30"/>
  <c r="I57" i="34"/>
  <c r="I57" i="30"/>
  <c r="I41" i="34"/>
  <c r="I41" i="30"/>
  <c r="I25" i="34"/>
  <c r="I25" i="30"/>
  <c r="I9" i="34"/>
  <c r="I9" i="30"/>
  <c r="AA25" i="23"/>
  <c r="I85" i="30"/>
  <c r="I85" i="34"/>
  <c r="I5" i="30"/>
  <c r="I5" i="34"/>
  <c r="I94" i="34"/>
  <c r="I94" i="30"/>
  <c r="I46" i="34"/>
  <c r="I46" i="30"/>
  <c r="I30" i="34"/>
  <c r="I30" i="30"/>
  <c r="I14" i="34"/>
  <c r="I14" i="30"/>
  <c r="I108" i="30"/>
  <c r="I108" i="34"/>
  <c r="I120" i="34"/>
  <c r="I120" i="30"/>
  <c r="I104" i="34"/>
  <c r="I104" i="30"/>
  <c r="I88" i="34"/>
  <c r="I88" i="30"/>
  <c r="I72" i="34"/>
  <c r="I72" i="30"/>
  <c r="I56" i="34"/>
  <c r="I56" i="30"/>
  <c r="I40" i="34"/>
  <c r="I40" i="30"/>
  <c r="I24" i="34"/>
  <c r="I24" i="30"/>
  <c r="I8" i="34"/>
  <c r="I8" i="30"/>
  <c r="S33" i="23"/>
  <c r="T34" i="23" s="1"/>
  <c r="AA24" i="23"/>
  <c r="I17" i="30"/>
  <c r="I17" i="34"/>
  <c r="I16" i="30"/>
  <c r="I16" i="34"/>
  <c r="S23" i="23"/>
  <c r="I92" i="30"/>
  <c r="I92" i="34"/>
  <c r="I60" i="30"/>
  <c r="I60" i="34"/>
  <c r="I44" i="30"/>
  <c r="I44" i="34"/>
  <c r="I28" i="30"/>
  <c r="I28" i="34"/>
  <c r="I12" i="30"/>
  <c r="I12" i="34"/>
  <c r="I107" i="34"/>
  <c r="I107" i="30"/>
  <c r="I91" i="34"/>
  <c r="I91" i="30"/>
  <c r="I59" i="34"/>
  <c r="I59" i="30"/>
  <c r="I43" i="34"/>
  <c r="I43" i="30"/>
  <c r="I11" i="34"/>
  <c r="I11" i="30"/>
  <c r="S32" i="23"/>
  <c r="AA23" i="23"/>
  <c r="I113" i="30"/>
  <c r="I113" i="34"/>
  <c r="I81" i="30"/>
  <c r="I81" i="34"/>
  <c r="I78" i="34"/>
  <c r="I78" i="30"/>
  <c r="I119" i="30"/>
  <c r="I119" i="34"/>
  <c r="I103" i="30"/>
  <c r="I103" i="34"/>
  <c r="I87" i="30"/>
  <c r="I87" i="34"/>
  <c r="I71" i="30"/>
  <c r="I71" i="34"/>
  <c r="I55" i="30"/>
  <c r="I55" i="34"/>
  <c r="I39" i="30"/>
  <c r="I39" i="34"/>
  <c r="I23" i="30"/>
  <c r="I23" i="34"/>
  <c r="I7" i="30"/>
  <c r="I7" i="34"/>
  <c r="I118" i="30"/>
  <c r="I118" i="34"/>
  <c r="I102" i="30"/>
  <c r="I102" i="34"/>
  <c r="I86" i="30"/>
  <c r="I86" i="34"/>
  <c r="I70" i="30"/>
  <c r="I70" i="34"/>
  <c r="I54" i="30"/>
  <c r="I54" i="34"/>
  <c r="I38" i="30"/>
  <c r="I38" i="34"/>
  <c r="I22" i="30"/>
  <c r="I22" i="34"/>
  <c r="I6" i="30"/>
  <c r="I6" i="34"/>
  <c r="S31" i="23"/>
  <c r="I21" i="30"/>
  <c r="I21" i="34"/>
  <c r="I116" i="34"/>
  <c r="I116" i="30"/>
  <c r="I100" i="34"/>
  <c r="I100" i="30"/>
  <c r="I84" i="34"/>
  <c r="I84" i="30"/>
  <c r="I68" i="34"/>
  <c r="I68" i="30"/>
  <c r="I52" i="34"/>
  <c r="I52" i="30"/>
  <c r="I36" i="34"/>
  <c r="I36" i="30"/>
  <c r="I20" i="34"/>
  <c r="I20" i="30"/>
  <c r="I4" i="34"/>
  <c r="I4" i="30"/>
  <c r="S29" i="23"/>
  <c r="T29" i="23" s="1"/>
  <c r="DT115" i="4"/>
  <c r="DT99" i="4"/>
  <c r="DT64" i="4"/>
  <c r="DT16" i="4"/>
  <c r="EV16" i="4"/>
  <c r="EU40" i="4"/>
  <c r="EU22" i="4"/>
  <c r="EU6" i="4"/>
  <c r="DT114" i="4"/>
  <c r="DT98" i="4"/>
  <c r="DT82" i="4"/>
  <c r="DT63" i="4"/>
  <c r="EV47" i="4"/>
  <c r="DT47" i="4"/>
  <c r="EV31" i="4"/>
  <c r="DT31" i="4"/>
  <c r="EV15" i="4"/>
  <c r="DT15" i="4"/>
  <c r="EU39" i="4"/>
  <c r="EU21" i="4"/>
  <c r="EU5" i="4"/>
  <c r="DT113" i="4"/>
  <c r="DT97" i="4"/>
  <c r="DT81" i="4"/>
  <c r="DT62" i="4"/>
  <c r="EV46" i="4"/>
  <c r="DT46" i="4"/>
  <c r="EV30" i="4"/>
  <c r="DT30" i="4"/>
  <c r="EV14" i="4"/>
  <c r="DT14" i="4"/>
  <c r="EU36" i="4"/>
  <c r="DT72" i="4"/>
  <c r="EU38" i="4"/>
  <c r="EU20" i="4"/>
  <c r="EU4" i="4"/>
  <c r="DT112" i="4"/>
  <c r="DT96" i="4"/>
  <c r="DT80" i="4"/>
  <c r="DT61" i="4"/>
  <c r="EV45" i="4"/>
  <c r="DT45" i="4"/>
  <c r="EV29" i="4"/>
  <c r="DT29" i="4"/>
  <c r="EV13" i="4"/>
  <c r="DT13" i="4"/>
  <c r="DT83" i="4"/>
  <c r="DT48" i="4"/>
  <c r="EV48" i="4"/>
  <c r="DT32" i="4"/>
  <c r="EV32" i="4"/>
  <c r="EU37" i="4"/>
  <c r="EU19" i="4"/>
  <c r="EU3" i="4"/>
  <c r="DT111" i="4"/>
  <c r="DT95" i="4"/>
  <c r="DT79" i="4"/>
  <c r="DT60" i="4"/>
  <c r="EV44" i="4"/>
  <c r="DT44" i="4"/>
  <c r="EV28" i="4"/>
  <c r="DT28" i="4"/>
  <c r="EV12" i="4"/>
  <c r="DT12" i="4"/>
  <c r="EU41" i="4"/>
  <c r="EU23" i="4"/>
  <c r="EU7" i="4"/>
  <c r="EU2" i="4"/>
  <c r="EU34" i="4"/>
  <c r="EU18" i="4"/>
  <c r="DT110" i="4"/>
  <c r="DT94" i="4"/>
  <c r="DT78" i="4"/>
  <c r="DT59" i="4"/>
  <c r="EV43" i="4"/>
  <c r="DT43" i="4"/>
  <c r="EV27" i="4"/>
  <c r="DT27" i="4"/>
  <c r="EV11" i="4"/>
  <c r="DT11" i="4"/>
  <c r="EU33" i="4"/>
  <c r="EU17" i="4"/>
  <c r="DT109" i="4"/>
  <c r="DT93" i="4"/>
  <c r="DT77" i="4"/>
  <c r="DT58" i="4"/>
  <c r="DT42" i="4"/>
  <c r="EV42" i="4"/>
  <c r="DT26" i="4"/>
  <c r="EV26" i="4"/>
  <c r="EV10" i="4"/>
  <c r="DT10" i="4"/>
  <c r="EU32" i="4"/>
  <c r="EU16" i="4"/>
  <c r="DT108" i="4"/>
  <c r="DT92" i="4"/>
  <c r="DT76" i="4"/>
  <c r="DT57" i="4"/>
  <c r="DT41" i="4"/>
  <c r="EV41" i="4"/>
  <c r="DT25" i="4"/>
  <c r="EV25" i="4"/>
  <c r="DT9" i="4"/>
  <c r="EV9" i="4"/>
  <c r="EU49" i="4"/>
  <c r="EU31" i="4"/>
  <c r="EU15" i="4"/>
  <c r="DT107" i="4"/>
  <c r="DT91" i="4"/>
  <c r="DT75" i="4"/>
  <c r="DT56" i="4"/>
  <c r="EV40" i="4"/>
  <c r="DT40" i="4"/>
  <c r="DT24" i="4"/>
  <c r="EV24" i="4"/>
  <c r="DT8" i="4"/>
  <c r="EV8" i="4"/>
  <c r="EU48" i="4"/>
  <c r="EU30" i="4"/>
  <c r="EU14" i="4"/>
  <c r="DT2" i="4"/>
  <c r="EV2" i="4"/>
  <c r="DT106" i="4"/>
  <c r="DT90" i="4"/>
  <c r="DT71" i="4"/>
  <c r="DT55" i="4"/>
  <c r="EV39" i="4"/>
  <c r="DT39" i="4"/>
  <c r="EV23" i="4"/>
  <c r="DT23" i="4"/>
  <c r="EV7" i="4"/>
  <c r="DT7" i="4"/>
  <c r="EU47" i="4"/>
  <c r="EU29" i="4"/>
  <c r="EU13" i="4"/>
  <c r="DT121" i="4"/>
  <c r="DT105" i="4"/>
  <c r="DT89" i="4"/>
  <c r="DT70" i="4"/>
  <c r="DT54" i="4"/>
  <c r="EV38" i="4"/>
  <c r="DT38" i="4"/>
  <c r="EV22" i="4"/>
  <c r="DT22" i="4"/>
  <c r="EV6" i="4"/>
  <c r="DT6" i="4"/>
  <c r="EU28" i="4"/>
  <c r="EU12" i="4"/>
  <c r="DT120" i="4"/>
  <c r="DT104" i="4"/>
  <c r="DT88" i="4"/>
  <c r="DT69" i="4"/>
  <c r="DT53" i="4"/>
  <c r="EV37" i="4"/>
  <c r="DT37" i="4"/>
  <c r="EV21" i="4"/>
  <c r="DT21" i="4"/>
  <c r="EV5" i="4"/>
  <c r="DT5" i="4"/>
  <c r="EU45" i="4"/>
  <c r="EU27" i="4"/>
  <c r="EU11" i="4"/>
  <c r="DT119" i="4"/>
  <c r="DT103" i="4"/>
  <c r="DT87" i="4"/>
  <c r="DT68" i="4"/>
  <c r="DT52" i="4"/>
  <c r="EV36" i="4"/>
  <c r="DT36" i="4"/>
  <c r="EV20" i="4"/>
  <c r="DT20" i="4"/>
  <c r="EV4" i="4"/>
  <c r="DT4" i="4"/>
  <c r="EU46" i="4"/>
  <c r="EU44" i="4"/>
  <c r="EU26" i="4"/>
  <c r="EU10" i="4"/>
  <c r="DT118" i="4"/>
  <c r="DT102" i="4"/>
  <c r="DT86" i="4"/>
  <c r="DT67" i="4"/>
  <c r="DT51" i="4"/>
  <c r="EV35" i="4"/>
  <c r="DT35" i="4"/>
  <c r="EV19" i="4"/>
  <c r="DT19" i="4"/>
  <c r="EV3" i="4"/>
  <c r="DT3" i="4"/>
  <c r="EU43" i="4"/>
  <c r="EU25" i="4"/>
  <c r="EU9" i="4"/>
  <c r="DT117" i="4"/>
  <c r="DT101" i="4"/>
  <c r="DT85" i="4"/>
  <c r="DT66" i="4"/>
  <c r="DT50" i="4"/>
  <c r="DT34" i="4"/>
  <c r="EV34" i="4"/>
  <c r="DT18" i="4"/>
  <c r="EV18" i="4"/>
  <c r="EU42" i="4"/>
  <c r="EU24" i="4"/>
  <c r="EU8" i="4"/>
  <c r="DT116" i="4"/>
  <c r="DT100" i="4"/>
  <c r="DT84" i="4"/>
  <c r="DT65" i="4"/>
  <c r="DT49" i="4"/>
  <c r="EV49" i="4"/>
  <c r="DT33" i="4"/>
  <c r="EV33" i="4"/>
  <c r="DT17" i="4"/>
  <c r="EV17" i="4"/>
  <c r="T27" i="23" l="1"/>
  <c r="AB32" i="23"/>
  <c r="T28" i="23"/>
  <c r="T25" i="23"/>
  <c r="T31" i="23"/>
  <c r="AB26" i="23"/>
  <c r="T30" i="23"/>
  <c r="AB30" i="23"/>
  <c r="AB29" i="23"/>
  <c r="S17" i="23"/>
  <c r="AA17" i="23"/>
  <c r="T33" i="23"/>
  <c r="T32" i="23"/>
  <c r="AB28" i="23"/>
  <c r="AB27" i="23"/>
  <c r="AB31" i="23"/>
  <c r="AB34" i="23"/>
  <c r="AB33" i="23"/>
  <c r="AB24" i="23"/>
  <c r="AB25" i="23"/>
  <c r="T24" i="23"/>
  <c r="T26" i="23"/>
  <c r="EU35" i="4"/>
  <c r="DT73" i="4"/>
  <c r="DT74" i="4"/>
  <c r="B52" i="72" l="1"/>
  <c r="G34" i="23" l="1"/>
  <c r="H35" i="23" s="1"/>
  <c r="E62" i="148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D8" i="73" l="1"/>
  <c r="D9" i="73" s="1"/>
  <c r="D10" i="73" s="1"/>
  <c r="D11" i="73" s="1"/>
  <c r="C29" i="23"/>
  <c r="G29" i="23"/>
  <c r="K29" i="23"/>
  <c r="W29" i="23"/>
  <c r="AE29" i="23"/>
  <c r="C30" i="23"/>
  <c r="G30" i="23"/>
  <c r="K30" i="23"/>
  <c r="W30" i="23"/>
  <c r="AE30" i="23"/>
  <c r="C31" i="23"/>
  <c r="G31" i="23"/>
  <c r="K31" i="23"/>
  <c r="W31" i="23"/>
  <c r="AE31" i="23"/>
  <c r="C32" i="23"/>
  <c r="G32" i="23"/>
  <c r="K32" i="23"/>
  <c r="W32" i="23"/>
  <c r="AE32" i="23"/>
  <c r="C33" i="23"/>
  <c r="G33" i="23"/>
  <c r="K33" i="23"/>
  <c r="W33" i="23"/>
  <c r="AE33" i="23"/>
  <c r="C34" i="23"/>
  <c r="D35" i="23" s="1"/>
  <c r="K34" i="23"/>
  <c r="L35" i="23" s="1"/>
  <c r="W34" i="23"/>
  <c r="X35" i="23" s="1"/>
  <c r="AE34" i="23"/>
  <c r="K115" i="36"/>
  <c r="K116" i="36"/>
  <c r="K117" i="36"/>
  <c r="K118" i="36"/>
  <c r="K119" i="36"/>
  <c r="K120" i="36"/>
  <c r="K121" i="36"/>
  <c r="K116" i="34"/>
  <c r="K117" i="34"/>
  <c r="K118" i="34"/>
  <c r="K119" i="34"/>
  <c r="K120" i="34"/>
  <c r="K121" i="34"/>
  <c r="J116" i="38"/>
  <c r="J117" i="38"/>
  <c r="J118" i="38"/>
  <c r="J119" i="38"/>
  <c r="J120" i="38"/>
  <c r="J121" i="38"/>
  <c r="A116" i="32"/>
  <c r="B116" i="32" s="1"/>
  <c r="K116" i="32"/>
  <c r="A117" i="32"/>
  <c r="B117" i="32" s="1"/>
  <c r="K117" i="32"/>
  <c r="A118" i="32"/>
  <c r="C118" i="32" s="1"/>
  <c r="K118" i="32"/>
  <c r="A119" i="32"/>
  <c r="B119" i="32" s="1"/>
  <c r="K119" i="32"/>
  <c r="A120" i="32"/>
  <c r="B120" i="32" s="1"/>
  <c r="K120" i="32"/>
  <c r="A121" i="32"/>
  <c r="B121" i="32" s="1"/>
  <c r="K121" i="32"/>
  <c r="A116" i="30"/>
  <c r="B116" i="30" s="1"/>
  <c r="K116" i="30"/>
  <c r="A117" i="30"/>
  <c r="C117" i="30" s="1"/>
  <c r="K117" i="30"/>
  <c r="A118" i="30"/>
  <c r="C118" i="30" s="1"/>
  <c r="K118" i="30"/>
  <c r="A119" i="30"/>
  <c r="C119" i="30" s="1"/>
  <c r="K119" i="30"/>
  <c r="A120" i="30"/>
  <c r="B120" i="30" s="1"/>
  <c r="K120" i="30"/>
  <c r="A121" i="30"/>
  <c r="B121" i="30" s="1"/>
  <c r="K121" i="30"/>
  <c r="A116" i="28"/>
  <c r="B116" i="28" s="1"/>
  <c r="J116" i="28"/>
  <c r="A117" i="28"/>
  <c r="C117" i="28" s="1"/>
  <c r="J117" i="28"/>
  <c r="A118" i="28"/>
  <c r="B118" i="28" s="1"/>
  <c r="J118" i="28"/>
  <c r="A119" i="28"/>
  <c r="B119" i="28" s="1"/>
  <c r="J119" i="28"/>
  <c r="A120" i="28"/>
  <c r="B120" i="28" s="1"/>
  <c r="J120" i="28"/>
  <c r="A121" i="28"/>
  <c r="B121" i="28" s="1"/>
  <c r="J121" i="28"/>
  <c r="M119" i="69"/>
  <c r="Q82" i="69"/>
  <c r="R8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35" i="68"/>
  <c r="AD36" i="68"/>
  <c r="AD37" i="68"/>
  <c r="AD6" i="68"/>
  <c r="AE37" i="68"/>
  <c r="M97" i="68"/>
  <c r="M98" i="68"/>
  <c r="M99" i="68"/>
  <c r="C35" i="68"/>
  <c r="D35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4" i="68"/>
  <c r="AE36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D34" i="68"/>
  <c r="AY116" i="67"/>
  <c r="AZ116" i="67"/>
  <c r="BA116" i="67"/>
  <c r="BB116" i="67"/>
  <c r="BC116" i="67"/>
  <c r="BD116" i="67"/>
  <c r="G116" i="76" s="1"/>
  <c r="BE116" i="67"/>
  <c r="F116" i="155" s="1"/>
  <c r="BF116" i="67"/>
  <c r="BG116" i="67"/>
  <c r="H116" i="156" s="1"/>
  <c r="BH116" i="67"/>
  <c r="BI116" i="67"/>
  <c r="H116" i="77" s="1"/>
  <c r="BJ116" i="67"/>
  <c r="BK116" i="67"/>
  <c r="BL116" i="67"/>
  <c r="G116" i="156" s="1"/>
  <c r="BM116" i="67"/>
  <c r="AY117" i="67"/>
  <c r="AZ117" i="67"/>
  <c r="BA117" i="67"/>
  <c r="BB117" i="67"/>
  <c r="BC117" i="67"/>
  <c r="BD117" i="67"/>
  <c r="G117" i="76" s="1"/>
  <c r="BE117" i="67"/>
  <c r="F117" i="155" s="1"/>
  <c r="BF117" i="67"/>
  <c r="BG117" i="67"/>
  <c r="H117" i="156" s="1"/>
  <c r="BH117" i="67"/>
  <c r="BI117" i="67"/>
  <c r="H117" i="77" s="1"/>
  <c r="BJ117" i="67"/>
  <c r="BK117" i="67"/>
  <c r="BL117" i="67"/>
  <c r="G117" i="156" s="1"/>
  <c r="BM117" i="67"/>
  <c r="AY118" i="67"/>
  <c r="AZ118" i="67"/>
  <c r="BA118" i="67"/>
  <c r="BB118" i="67"/>
  <c r="BC118" i="67"/>
  <c r="BD118" i="67"/>
  <c r="G118" i="76" s="1"/>
  <c r="BE118" i="67"/>
  <c r="F118" i="155" s="1"/>
  <c r="BF118" i="67"/>
  <c r="BG118" i="67"/>
  <c r="H118" i="156" s="1"/>
  <c r="BH118" i="67"/>
  <c r="BI118" i="67"/>
  <c r="H118" i="77" s="1"/>
  <c r="BJ118" i="67"/>
  <c r="BK118" i="67"/>
  <c r="BL118" i="67"/>
  <c r="G118" i="156" s="1"/>
  <c r="BM118" i="67"/>
  <c r="AY119" i="67"/>
  <c r="AZ119" i="67"/>
  <c r="BA119" i="67"/>
  <c r="BB119" i="67"/>
  <c r="BC119" i="67"/>
  <c r="BD119" i="67"/>
  <c r="G119" i="76" s="1"/>
  <c r="BE119" i="67"/>
  <c r="F119" i="155" s="1"/>
  <c r="BF119" i="67"/>
  <c r="BG119" i="67"/>
  <c r="H119" i="156" s="1"/>
  <c r="BH119" i="67"/>
  <c r="BI119" i="67"/>
  <c r="H119" i="77" s="1"/>
  <c r="BJ119" i="67"/>
  <c r="BK119" i="67"/>
  <c r="BL119" i="67"/>
  <c r="G119" i="156" s="1"/>
  <c r="BM119" i="67"/>
  <c r="AY120" i="67"/>
  <c r="AZ120" i="67"/>
  <c r="BA120" i="67"/>
  <c r="BB120" i="67"/>
  <c r="BC120" i="67"/>
  <c r="BD120" i="67"/>
  <c r="G120" i="76" s="1"/>
  <c r="BE120" i="67"/>
  <c r="F120" i="155" s="1"/>
  <c r="BF120" i="67"/>
  <c r="BG120" i="67"/>
  <c r="H120" i="156" s="1"/>
  <c r="BH120" i="67"/>
  <c r="BI120" i="67"/>
  <c r="H120" i="77" s="1"/>
  <c r="BJ120" i="67"/>
  <c r="BK120" i="67"/>
  <c r="BL120" i="67"/>
  <c r="G120" i="156" s="1"/>
  <c r="BM120" i="67"/>
  <c r="AY121" i="67"/>
  <c r="AZ121" i="67"/>
  <c r="CX121" i="67" s="1"/>
  <c r="BA121" i="67"/>
  <c r="CY121" i="67" s="1"/>
  <c r="BB121" i="67"/>
  <c r="BC121" i="67"/>
  <c r="CM121" i="67" s="1"/>
  <c r="BD121" i="67"/>
  <c r="G121" i="76" s="1"/>
  <c r="BE121" i="67"/>
  <c r="F121" i="155" s="1"/>
  <c r="BF121" i="67"/>
  <c r="G121" i="75" s="1"/>
  <c r="BG121" i="67"/>
  <c r="H121" i="156" s="1"/>
  <c r="BH121" i="67"/>
  <c r="CR121" i="67" s="1"/>
  <c r="BI121" i="67"/>
  <c r="BJ121" i="67"/>
  <c r="DH121" i="67" s="1"/>
  <c r="BK121" i="67"/>
  <c r="BL121" i="67"/>
  <c r="G121" i="156" s="1"/>
  <c r="BM121" i="67"/>
  <c r="DK121" i="67" s="1"/>
  <c r="G120" i="77" l="1"/>
  <c r="E120" i="32"/>
  <c r="CL121" i="67"/>
  <c r="G121" i="77"/>
  <c r="E121" i="32"/>
  <c r="L31" i="23"/>
  <c r="F121" i="32"/>
  <c r="M121" i="32" s="1"/>
  <c r="H121" i="77"/>
  <c r="G116" i="77"/>
  <c r="E116" i="32"/>
  <c r="G117" i="77"/>
  <c r="E117" i="32"/>
  <c r="L117" i="32" s="1"/>
  <c r="G118" i="77"/>
  <c r="E118" i="32"/>
  <c r="L118" i="32" s="1"/>
  <c r="G119" i="77"/>
  <c r="E119" i="32"/>
  <c r="L119" i="32" s="1"/>
  <c r="F121" i="30"/>
  <c r="M121" i="30" s="1"/>
  <c r="F121" i="153"/>
  <c r="O121" i="153" s="1"/>
  <c r="CV120" i="67"/>
  <c r="E120" i="153"/>
  <c r="N120" i="153" s="1"/>
  <c r="CS118" i="67"/>
  <c r="F118" i="32"/>
  <c r="M118" i="32" s="1"/>
  <c r="CV119" i="67"/>
  <c r="E119" i="153"/>
  <c r="N119" i="153" s="1"/>
  <c r="DI118" i="67"/>
  <c r="H118" i="75"/>
  <c r="F118" i="28"/>
  <c r="L118" i="28" s="1"/>
  <c r="DF117" i="67"/>
  <c r="CU121" i="67"/>
  <c r="H121" i="75"/>
  <c r="F121" i="28"/>
  <c r="L121" i="28" s="1"/>
  <c r="DH120" i="67"/>
  <c r="CS119" i="67"/>
  <c r="F119" i="32"/>
  <c r="DF118" i="67"/>
  <c r="F117" i="153"/>
  <c r="O117" i="153" s="1"/>
  <c r="DD116" i="67"/>
  <c r="G116" i="75"/>
  <c r="DG120" i="67"/>
  <c r="F120" i="32"/>
  <c r="M120" i="32" s="1"/>
  <c r="CR119" i="67"/>
  <c r="DE118" i="67"/>
  <c r="F118" i="153"/>
  <c r="O118" i="153" s="1"/>
  <c r="G117" i="75"/>
  <c r="DC116" i="67"/>
  <c r="E116" i="151"/>
  <c r="K116" i="151" s="1"/>
  <c r="DF120" i="67"/>
  <c r="F119" i="153"/>
  <c r="O119" i="153" s="1"/>
  <c r="DD118" i="67"/>
  <c r="G118" i="75"/>
  <c r="E117" i="151"/>
  <c r="K117" i="151" s="1"/>
  <c r="DB116" i="67"/>
  <c r="E116" i="30"/>
  <c r="L116" i="30" s="1"/>
  <c r="CO119" i="67"/>
  <c r="E119" i="151"/>
  <c r="K119" i="151" s="1"/>
  <c r="CN118" i="67"/>
  <c r="E118" i="30"/>
  <c r="L118" i="30" s="1"/>
  <c r="CM117" i="67"/>
  <c r="CL116" i="67"/>
  <c r="CO121" i="67"/>
  <c r="E121" i="151"/>
  <c r="K121" i="151" s="1"/>
  <c r="CM119" i="67"/>
  <c r="DE120" i="67"/>
  <c r="F120" i="153"/>
  <c r="O120" i="153" s="1"/>
  <c r="G119" i="75"/>
  <c r="DC118" i="67"/>
  <c r="E118" i="151"/>
  <c r="K118" i="151" s="1"/>
  <c r="CN117" i="67"/>
  <c r="E117" i="30"/>
  <c r="L117" i="30" s="1"/>
  <c r="DA116" i="67"/>
  <c r="CP120" i="67"/>
  <c r="G120" i="75"/>
  <c r="E120" i="151"/>
  <c r="K120" i="151" s="1"/>
  <c r="DB119" i="67"/>
  <c r="E119" i="30"/>
  <c r="L119" i="30" s="1"/>
  <c r="CM118" i="67"/>
  <c r="CL117" i="67"/>
  <c r="CK116" i="67"/>
  <c r="CZ118" i="67"/>
  <c r="CY117" i="67"/>
  <c r="DB121" i="67"/>
  <c r="E121" i="30"/>
  <c r="L121" i="30" s="1"/>
  <c r="DA120" i="67"/>
  <c r="CL119" i="67"/>
  <c r="CY118" i="67"/>
  <c r="CJ117" i="67"/>
  <c r="CL120" i="67"/>
  <c r="CY119" i="67"/>
  <c r="CJ118" i="67"/>
  <c r="CY120" i="67"/>
  <c r="CJ119" i="67"/>
  <c r="DK116" i="67"/>
  <c r="DB120" i="67"/>
  <c r="E120" i="30"/>
  <c r="L120" i="30" s="1"/>
  <c r="DJ116" i="67"/>
  <c r="E116" i="153"/>
  <c r="N116" i="153" s="1"/>
  <c r="CW118" i="67"/>
  <c r="DJ117" i="67"/>
  <c r="E117" i="153"/>
  <c r="N117" i="153" s="1"/>
  <c r="CU116" i="67"/>
  <c r="H116" i="75"/>
  <c r="F116" i="28"/>
  <c r="L116" i="28" s="1"/>
  <c r="CX116" i="67"/>
  <c r="DJ118" i="67"/>
  <c r="E118" i="153"/>
  <c r="N118" i="153" s="1"/>
  <c r="CS116" i="67"/>
  <c r="F116" i="32"/>
  <c r="M116" i="32" s="1"/>
  <c r="DK117" i="67"/>
  <c r="DF116" i="67"/>
  <c r="CX120" i="67"/>
  <c r="CW119" i="67"/>
  <c r="CU117" i="67"/>
  <c r="H117" i="75"/>
  <c r="F117" i="28"/>
  <c r="CW120" i="67"/>
  <c r="DI119" i="67"/>
  <c r="F119" i="28"/>
  <c r="L119" i="28" s="1"/>
  <c r="H119" i="75"/>
  <c r="F117" i="32"/>
  <c r="M117" i="32" s="1"/>
  <c r="DJ121" i="67"/>
  <c r="E121" i="153"/>
  <c r="N121" i="153" s="1"/>
  <c r="CQ116" i="67"/>
  <c r="F116" i="153"/>
  <c r="O116" i="153" s="1"/>
  <c r="DI120" i="67"/>
  <c r="H120" i="75"/>
  <c r="F120" i="28"/>
  <c r="L120" i="28" s="1"/>
  <c r="AF34" i="23"/>
  <c r="C120" i="28"/>
  <c r="L34" i="23"/>
  <c r="B118" i="32"/>
  <c r="DH117" i="67"/>
  <c r="CV116" i="67"/>
  <c r="CT116" i="67"/>
  <c r="C121" i="32"/>
  <c r="CN120" i="67"/>
  <c r="DG119" i="67"/>
  <c r="DE117" i="67"/>
  <c r="CZ117" i="67"/>
  <c r="AF32" i="23"/>
  <c r="H120" i="76"/>
  <c r="CP121" i="67"/>
  <c r="CZ120" i="67"/>
  <c r="DJ119" i="67"/>
  <c r="DH116" i="67"/>
  <c r="CN119" i="67"/>
  <c r="CL118" i="67"/>
  <c r="E120" i="28"/>
  <c r="K120" i="28" s="1"/>
  <c r="DA117" i="67"/>
  <c r="DG116" i="67"/>
  <c r="H118" i="76"/>
  <c r="F116" i="30"/>
  <c r="M116" i="30" s="1"/>
  <c r="F120" i="30"/>
  <c r="M120" i="30" s="1"/>
  <c r="H116" i="76"/>
  <c r="E118" i="28"/>
  <c r="K118" i="28" s="1"/>
  <c r="L121" i="32"/>
  <c r="L116" i="32"/>
  <c r="DI121" i="67"/>
  <c r="DK120" i="67"/>
  <c r="D30" i="23"/>
  <c r="L33" i="23"/>
  <c r="D31" i="23"/>
  <c r="H32" i="23"/>
  <c r="AF31" i="23"/>
  <c r="X31" i="23"/>
  <c r="AF33" i="23"/>
  <c r="X32" i="23"/>
  <c r="C121" i="30"/>
  <c r="B117" i="30"/>
  <c r="C120" i="30"/>
  <c r="B119" i="30"/>
  <c r="CQ121" i="67"/>
  <c r="DD121" i="67"/>
  <c r="DG121" i="67"/>
  <c r="CS121" i="67"/>
  <c r="CJ120" i="67"/>
  <c r="E117" i="28"/>
  <c r="K117" i="28" s="1"/>
  <c r="CP117" i="67"/>
  <c r="CO120" i="67"/>
  <c r="DC120" i="67"/>
  <c r="H33" i="23"/>
  <c r="H34" i="23"/>
  <c r="DE119" i="67"/>
  <c r="H119" i="76"/>
  <c r="F119" i="30"/>
  <c r="M119" i="30" s="1"/>
  <c r="M119" i="32"/>
  <c r="CQ119" i="67"/>
  <c r="DF119" i="67"/>
  <c r="CV118" i="67"/>
  <c r="DH118" i="67"/>
  <c r="CT117" i="67"/>
  <c r="CP119" i="67"/>
  <c r="E119" i="28"/>
  <c r="K119" i="28" s="1"/>
  <c r="E121" i="28"/>
  <c r="K121" i="28" s="1"/>
  <c r="DK118" i="67"/>
  <c r="DD117" i="67"/>
  <c r="CW116" i="67"/>
  <c r="CX118" i="67"/>
  <c r="DB117" i="67"/>
  <c r="DD119" i="67"/>
  <c r="DC117" i="67"/>
  <c r="CO117" i="67"/>
  <c r="CU118" i="67"/>
  <c r="DG117" i="67"/>
  <c r="CS117" i="67"/>
  <c r="DF121" i="67"/>
  <c r="DC119" i="67"/>
  <c r="DH119" i="67"/>
  <c r="CJ116" i="67"/>
  <c r="L120" i="32"/>
  <c r="DE121" i="67"/>
  <c r="CT121" i="67"/>
  <c r="CK120" i="67"/>
  <c r="CQ117" i="67"/>
  <c r="L117" i="28"/>
  <c r="H117" i="76"/>
  <c r="F117" i="30"/>
  <c r="M117" i="30" s="1"/>
  <c r="B118" i="30"/>
  <c r="H121" i="76"/>
  <c r="C116" i="30"/>
  <c r="C117" i="32"/>
  <c r="X34" i="23"/>
  <c r="X30" i="23"/>
  <c r="F118" i="30"/>
  <c r="M118" i="30" s="1"/>
  <c r="DA118" i="67"/>
  <c r="DI116" i="67"/>
  <c r="H30" i="23"/>
  <c r="H31" i="23"/>
  <c r="D33" i="23"/>
  <c r="CW121" i="67"/>
  <c r="CU119" i="67"/>
  <c r="E116" i="28"/>
  <c r="K116" i="28" s="1"/>
  <c r="L32" i="23"/>
  <c r="X33" i="23"/>
  <c r="D32" i="23"/>
  <c r="L30" i="23"/>
  <c r="AF30" i="23"/>
  <c r="D34" i="23"/>
  <c r="C119" i="32"/>
  <c r="C120" i="32"/>
  <c r="C116" i="32"/>
  <c r="B117" i="28"/>
  <c r="C121" i="28"/>
  <c r="C116" i="28"/>
  <c r="C119" i="28"/>
  <c r="C118" i="28"/>
  <c r="CK117" i="67"/>
  <c r="CN121" i="67"/>
  <c r="CU120" i="67"/>
  <c r="DJ120" i="67"/>
  <c r="DA119" i="67"/>
  <c r="CR118" i="67"/>
  <c r="CP116" i="67"/>
  <c r="CS120" i="67"/>
  <c r="CO116" i="67"/>
  <c r="DA121" i="67"/>
  <c r="CR120" i="67"/>
  <c r="CP118" i="67"/>
  <c r="CW117" i="67"/>
  <c r="CO118" i="67"/>
  <c r="DD120" i="67"/>
  <c r="CM120" i="67"/>
  <c r="CT119" i="67"/>
  <c r="CK118" i="67"/>
  <c r="CR117" i="67"/>
  <c r="CY116" i="67"/>
  <c r="DC121" i="67"/>
  <c r="CK119" i="67"/>
  <c r="CZ119" i="67"/>
  <c r="DG118" i="67"/>
  <c r="DE116" i="67"/>
  <c r="CZ121" i="67"/>
  <c r="CX119" i="67"/>
  <c r="DB118" i="67"/>
  <c r="DI117" i="67"/>
  <c r="CZ116" i="67"/>
  <c r="CV121" i="67"/>
  <c r="CT118" i="67"/>
  <c r="CR116" i="67"/>
  <c r="CT120" i="67"/>
  <c r="CV117" i="67"/>
  <c r="CQ118" i="67"/>
  <c r="CX117" i="67"/>
  <c r="CK121" i="67"/>
  <c r="CN116" i="67"/>
  <c r="CJ121" i="67"/>
  <c r="CQ120" i="67"/>
  <c r="DK119" i="67"/>
  <c r="CM116" i="67"/>
  <c r="J116" i="75" l="1"/>
  <c r="G116" i="38"/>
  <c r="M116" i="38" s="1"/>
  <c r="G116" i="28"/>
  <c r="M116" i="28" s="1"/>
  <c r="G121" i="38"/>
  <c r="M121" i="38" s="1"/>
  <c r="G121" i="28"/>
  <c r="M121" i="28" s="1"/>
  <c r="J121" i="75"/>
  <c r="G117" i="38"/>
  <c r="M117" i="38" s="1"/>
  <c r="G117" i="28"/>
  <c r="M117" i="28" s="1"/>
  <c r="J117" i="75"/>
  <c r="G119" i="38"/>
  <c r="M119" i="38" s="1"/>
  <c r="J119" i="75"/>
  <c r="G119" i="28"/>
  <c r="M119" i="28" s="1"/>
  <c r="J118" i="75"/>
  <c r="G118" i="28"/>
  <c r="M118" i="28" s="1"/>
  <c r="G118" i="38"/>
  <c r="M118" i="38" s="1"/>
  <c r="G120" i="38"/>
  <c r="M120" i="38" s="1"/>
  <c r="G120" i="28"/>
  <c r="M120" i="28" s="1"/>
  <c r="J120" i="75"/>
  <c r="R98" i="68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DR1" i="4" l="1"/>
  <c r="DQ1" i="4"/>
  <c r="DP1" i="4"/>
  <c r="ET1" i="4"/>
  <c r="ES1" i="4"/>
  <c r="ER1" i="4"/>
  <c r="AE23" i="23"/>
  <c r="AE24" i="23"/>
  <c r="AE25" i="23"/>
  <c r="AE26" i="23"/>
  <c r="AE27" i="23"/>
  <c r="AE28" i="23"/>
  <c r="AF29" i="23" s="1"/>
  <c r="W23" i="23"/>
  <c r="W24" i="23"/>
  <c r="W25" i="23"/>
  <c r="W26" i="23"/>
  <c r="W27" i="23"/>
  <c r="W28" i="23"/>
  <c r="X29" i="23" s="1"/>
  <c r="K23" i="23"/>
  <c r="K24" i="23"/>
  <c r="K25" i="23"/>
  <c r="K26" i="23"/>
  <c r="K27" i="23"/>
  <c r="K28" i="23"/>
  <c r="L29" i="23" s="1"/>
  <c r="G23" i="23"/>
  <c r="G24" i="23"/>
  <c r="G25" i="23"/>
  <c r="G26" i="23"/>
  <c r="G27" i="23"/>
  <c r="G28" i="23"/>
  <c r="H29" i="23" s="1"/>
  <c r="C23" i="23"/>
  <c r="C24" i="23"/>
  <c r="C25" i="23"/>
  <c r="C26" i="23"/>
  <c r="C27" i="23"/>
  <c r="C28" i="23"/>
  <c r="D29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K2" i="77"/>
  <c r="K3" i="77"/>
  <c r="K4" i="77"/>
  <c r="K5" i="77"/>
  <c r="K6" i="77"/>
  <c r="K7" i="77"/>
  <c r="K8" i="77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1" i="77"/>
  <c r="F1" i="77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H1" i="76"/>
  <c r="F1" i="76" s="1"/>
  <c r="E1" i="76"/>
  <c r="D1" i="76"/>
  <c r="A1" i="76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F1" i="75"/>
  <c r="G1" i="75"/>
  <c r="E1" i="75" s="1"/>
  <c r="D1" i="75"/>
  <c r="A1" i="75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F1" i="34"/>
  <c r="D1" i="34"/>
  <c r="A1" i="34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E1" i="38"/>
  <c r="D1" i="38"/>
  <c r="A1" i="38"/>
  <c r="A2" i="32"/>
  <c r="C2" i="32" s="1"/>
  <c r="A3" i="32"/>
  <c r="C3" i="32" s="1"/>
  <c r="A4" i="32"/>
  <c r="C4" i="32" s="1"/>
  <c r="A5" i="32"/>
  <c r="B5" i="32" s="1"/>
  <c r="A6" i="32"/>
  <c r="A7" i="32"/>
  <c r="B7" i="32" s="1"/>
  <c r="A8" i="32"/>
  <c r="B8" i="32" s="1"/>
  <c r="A9" i="32"/>
  <c r="B9" i="32" s="1"/>
  <c r="A10" i="32"/>
  <c r="C10" i="32" s="1"/>
  <c r="A11" i="32"/>
  <c r="B11" i="32" s="1"/>
  <c r="A12" i="32"/>
  <c r="B12" i="32" s="1"/>
  <c r="A13" i="32"/>
  <c r="B13" i="32" s="1"/>
  <c r="A14" i="32"/>
  <c r="A15" i="32"/>
  <c r="C15" i="32" s="1"/>
  <c r="A16" i="32"/>
  <c r="B16" i="32" s="1"/>
  <c r="A17" i="32"/>
  <c r="A18" i="32"/>
  <c r="C18" i="32" s="1"/>
  <c r="A19" i="32"/>
  <c r="A20" i="32"/>
  <c r="B20" i="32" s="1"/>
  <c r="A21" i="32"/>
  <c r="C21" i="32" s="1"/>
  <c r="A22" i="32"/>
  <c r="B22" i="32" s="1"/>
  <c r="A23" i="32"/>
  <c r="B23" i="32" s="1"/>
  <c r="A24" i="32"/>
  <c r="B24" i="32" s="1"/>
  <c r="A25" i="32"/>
  <c r="C25" i="32" s="1"/>
  <c r="A26" i="32"/>
  <c r="C26" i="32" s="1"/>
  <c r="A27" i="32"/>
  <c r="C27" i="32" s="1"/>
  <c r="A28" i="32"/>
  <c r="B28" i="32" s="1"/>
  <c r="A29" i="32"/>
  <c r="B29" i="32" s="1"/>
  <c r="A30" i="32"/>
  <c r="B30" i="32" s="1"/>
  <c r="A31" i="32"/>
  <c r="A32" i="32"/>
  <c r="B32" i="32" s="1"/>
  <c r="A33" i="32"/>
  <c r="B33" i="32" s="1"/>
  <c r="A34" i="32"/>
  <c r="C34" i="32" s="1"/>
  <c r="A35" i="32"/>
  <c r="B35" i="32" s="1"/>
  <c r="A36" i="32"/>
  <c r="B36" i="32" s="1"/>
  <c r="A37" i="32"/>
  <c r="B37" i="32" s="1"/>
  <c r="A38" i="32"/>
  <c r="B38" i="32" s="1"/>
  <c r="A39" i="32"/>
  <c r="B39" i="32" s="1"/>
  <c r="A40" i="32"/>
  <c r="C40" i="32" s="1"/>
  <c r="A41" i="32"/>
  <c r="C41" i="32" s="1"/>
  <c r="A42" i="32"/>
  <c r="C42" i="32" s="1"/>
  <c r="A43" i="32"/>
  <c r="C43" i="32" s="1"/>
  <c r="A44" i="32"/>
  <c r="B44" i="32" s="1"/>
  <c r="A45" i="32"/>
  <c r="C45" i="32" s="1"/>
  <c r="A46" i="32"/>
  <c r="C46" i="32" s="1"/>
  <c r="A47" i="32"/>
  <c r="B47" i="32" s="1"/>
  <c r="A48" i="32"/>
  <c r="B48" i="32" s="1"/>
  <c r="A49" i="32"/>
  <c r="A50" i="32"/>
  <c r="C50" i="32" s="1"/>
  <c r="A51" i="32"/>
  <c r="C51" i="32" s="1"/>
  <c r="A52" i="32"/>
  <c r="B52" i="32" s="1"/>
  <c r="A53" i="32"/>
  <c r="B53" i="32" s="1"/>
  <c r="A54" i="32"/>
  <c r="C54" i="32" s="1"/>
  <c r="A55" i="32"/>
  <c r="A56" i="32"/>
  <c r="B56" i="32" s="1"/>
  <c r="A57" i="32"/>
  <c r="B57" i="32" s="1"/>
  <c r="A58" i="32"/>
  <c r="A59" i="32"/>
  <c r="A60" i="32"/>
  <c r="B60" i="32" s="1"/>
  <c r="A61" i="32"/>
  <c r="B61" i="32" s="1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D1" i="32"/>
  <c r="A1" i="32"/>
  <c r="A2" i="30"/>
  <c r="C2" i="30" s="1"/>
  <c r="A3" i="30"/>
  <c r="B3" i="30" s="1"/>
  <c r="A4" i="30"/>
  <c r="B4" i="30" s="1"/>
  <c r="A5" i="30"/>
  <c r="B5" i="30" s="1"/>
  <c r="A6" i="30"/>
  <c r="B6" i="30" s="1"/>
  <c r="A7" i="30"/>
  <c r="A8" i="30"/>
  <c r="C8" i="30" s="1"/>
  <c r="A9" i="30"/>
  <c r="B9" i="30" s="1"/>
  <c r="A10" i="30"/>
  <c r="B10" i="30" s="1"/>
  <c r="A11" i="30"/>
  <c r="B11" i="30" s="1"/>
  <c r="A12" i="30"/>
  <c r="A13" i="30"/>
  <c r="A14" i="30"/>
  <c r="B14" i="30" s="1"/>
  <c r="A15" i="30"/>
  <c r="C15" i="30" s="1"/>
  <c r="A16" i="30"/>
  <c r="B16" i="30" s="1"/>
  <c r="A17" i="30"/>
  <c r="B17" i="30" s="1"/>
  <c r="A18" i="30"/>
  <c r="A19" i="30"/>
  <c r="C19" i="30" s="1"/>
  <c r="A20" i="30"/>
  <c r="C20" i="30" s="1"/>
  <c r="A21" i="30"/>
  <c r="B21" i="30" s="1"/>
  <c r="A22" i="30"/>
  <c r="C22" i="30" s="1"/>
  <c r="A23" i="30"/>
  <c r="C23" i="30" s="1"/>
  <c r="A24" i="30"/>
  <c r="B24" i="30" s="1"/>
  <c r="A25" i="30"/>
  <c r="B25" i="30" s="1"/>
  <c r="A26" i="30"/>
  <c r="B26" i="30" s="1"/>
  <c r="A27" i="30"/>
  <c r="B27" i="30" s="1"/>
  <c r="A28" i="30"/>
  <c r="B28" i="30" s="1"/>
  <c r="A29" i="30"/>
  <c r="B29" i="30" s="1"/>
  <c r="A30" i="30"/>
  <c r="A31" i="30"/>
  <c r="A32" i="30"/>
  <c r="C32" i="30" s="1"/>
  <c r="A33" i="30"/>
  <c r="B33" i="30" s="1"/>
  <c r="A34" i="30"/>
  <c r="B34" i="30" s="1"/>
  <c r="A35" i="30"/>
  <c r="A36" i="30"/>
  <c r="A37" i="30"/>
  <c r="B37" i="30" s="1"/>
  <c r="A38" i="30"/>
  <c r="B38" i="30" s="1"/>
  <c r="A39" i="30"/>
  <c r="C39" i="30" s="1"/>
  <c r="A40" i="30"/>
  <c r="B40" i="30" s="1"/>
  <c r="A41" i="30"/>
  <c r="B41" i="30" s="1"/>
  <c r="A42" i="30"/>
  <c r="B42" i="30" s="1"/>
  <c r="A43" i="30"/>
  <c r="B43" i="30" s="1"/>
  <c r="A44" i="30"/>
  <c r="B44" i="30" s="1"/>
  <c r="A45" i="30"/>
  <c r="C45" i="30" s="1"/>
  <c r="A46" i="30"/>
  <c r="B46" i="30" s="1"/>
  <c r="A47" i="30"/>
  <c r="C47" i="30" s="1"/>
  <c r="A48" i="30"/>
  <c r="B48" i="30" s="1"/>
  <c r="A49" i="30"/>
  <c r="B49" i="30" s="1"/>
  <c r="A50" i="30"/>
  <c r="B50" i="30" s="1"/>
  <c r="A51" i="30"/>
  <c r="B51" i="30" s="1"/>
  <c r="A52" i="30"/>
  <c r="C52" i="30" s="1"/>
  <c r="A53" i="30"/>
  <c r="A54" i="30"/>
  <c r="A55" i="30"/>
  <c r="C55" i="30" s="1"/>
  <c r="A56" i="30"/>
  <c r="B56" i="30" s="1"/>
  <c r="A57" i="30"/>
  <c r="B57" i="30" s="1"/>
  <c r="A58" i="30"/>
  <c r="A59" i="30"/>
  <c r="A60" i="30"/>
  <c r="B60" i="30" s="1"/>
  <c r="A61" i="30"/>
  <c r="B61" i="30" s="1"/>
  <c r="A62" i="30"/>
  <c r="C62" i="30" s="1"/>
  <c r="A63" i="30"/>
  <c r="C63" i="30" s="1"/>
  <c r="A64" i="30"/>
  <c r="C64" i="30" s="1"/>
  <c r="A65" i="30"/>
  <c r="B65" i="30" s="1"/>
  <c r="A66" i="30"/>
  <c r="B66" i="30" s="1"/>
  <c r="A67" i="30"/>
  <c r="B67" i="30" s="1"/>
  <c r="A68" i="30"/>
  <c r="C68" i="30" s="1"/>
  <c r="A69" i="30"/>
  <c r="B69" i="30" s="1"/>
  <c r="A70" i="30"/>
  <c r="B70" i="30" s="1"/>
  <c r="A71" i="30"/>
  <c r="A72" i="30"/>
  <c r="C72" i="30" s="1"/>
  <c r="A73" i="30"/>
  <c r="B73" i="30" s="1"/>
  <c r="A74" i="30"/>
  <c r="B74" i="30" s="1"/>
  <c r="A75" i="30"/>
  <c r="B75" i="30" s="1"/>
  <c r="A76" i="30"/>
  <c r="A77" i="30"/>
  <c r="A78" i="30"/>
  <c r="B78" i="30" s="1"/>
  <c r="A79" i="30"/>
  <c r="C79" i="30" s="1"/>
  <c r="A80" i="30"/>
  <c r="C80" i="30" s="1"/>
  <c r="A81" i="30"/>
  <c r="B81" i="30" s="1"/>
  <c r="A82" i="30"/>
  <c r="A83" i="30"/>
  <c r="B83" i="30" s="1"/>
  <c r="A84" i="30"/>
  <c r="C84" i="30" s="1"/>
  <c r="A85" i="30"/>
  <c r="B85" i="30" s="1"/>
  <c r="A86" i="30"/>
  <c r="B86" i="30" s="1"/>
  <c r="A87" i="30"/>
  <c r="C87" i="30" s="1"/>
  <c r="A88" i="30"/>
  <c r="B88" i="30" s="1"/>
  <c r="A89" i="30"/>
  <c r="B89" i="30" s="1"/>
  <c r="A90" i="30"/>
  <c r="B90" i="30" s="1"/>
  <c r="A91" i="30"/>
  <c r="B91" i="30" s="1"/>
  <c r="A92" i="30"/>
  <c r="B92" i="30" s="1"/>
  <c r="A93" i="30"/>
  <c r="C93" i="30" s="1"/>
  <c r="A94" i="30"/>
  <c r="A95" i="30"/>
  <c r="A96" i="30"/>
  <c r="B96" i="30" s="1"/>
  <c r="A97" i="30"/>
  <c r="B97" i="30" s="1"/>
  <c r="A98" i="30"/>
  <c r="B98" i="30" s="1"/>
  <c r="A99" i="30"/>
  <c r="C99" i="30" s="1"/>
  <c r="A100" i="30"/>
  <c r="C100" i="30" s="1"/>
  <c r="A101" i="30"/>
  <c r="C101" i="30" s="1"/>
  <c r="A102" i="30"/>
  <c r="C102" i="30" s="1"/>
  <c r="A103" i="30"/>
  <c r="C103" i="30" s="1"/>
  <c r="A104" i="30"/>
  <c r="B104" i="30" s="1"/>
  <c r="A105" i="30"/>
  <c r="A106" i="30"/>
  <c r="B106" i="30" s="1"/>
  <c r="A107" i="30"/>
  <c r="B107" i="30" s="1"/>
  <c r="A108" i="30"/>
  <c r="C108" i="30" s="1"/>
  <c r="A109" i="30"/>
  <c r="C109" i="30" s="1"/>
  <c r="A110" i="30"/>
  <c r="B110" i="30" s="1"/>
  <c r="A111" i="30"/>
  <c r="C111" i="30" s="1"/>
  <c r="A112" i="30"/>
  <c r="B112" i="30" s="1"/>
  <c r="A113" i="30"/>
  <c r="B113" i="30" s="1"/>
  <c r="A114" i="30"/>
  <c r="B114" i="30" s="1"/>
  <c r="A115" i="30"/>
  <c r="B115" i="30" s="1"/>
  <c r="F1" i="30"/>
  <c r="D1" i="30"/>
  <c r="A1" i="30"/>
  <c r="A2" i="28"/>
  <c r="B2" i="28" s="1"/>
  <c r="A3" i="28"/>
  <c r="C3" i="28" s="1"/>
  <c r="A4" i="28"/>
  <c r="A5" i="28"/>
  <c r="C5" i="28" s="1"/>
  <c r="A6" i="28"/>
  <c r="A7" i="28"/>
  <c r="C7" i="28" s="1"/>
  <c r="A8" i="28"/>
  <c r="C8" i="28" s="1"/>
  <c r="A9" i="28"/>
  <c r="B9" i="28" s="1"/>
  <c r="A10" i="28"/>
  <c r="A11" i="28"/>
  <c r="B11" i="28" s="1"/>
  <c r="A12" i="28"/>
  <c r="B12" i="28" s="1"/>
  <c r="A13" i="28"/>
  <c r="B13" i="28" s="1"/>
  <c r="A14" i="28"/>
  <c r="B14" i="28" s="1"/>
  <c r="A15" i="28"/>
  <c r="B15" i="28" s="1"/>
  <c r="A16" i="28"/>
  <c r="B16" i="28" s="1"/>
  <c r="A17" i="28"/>
  <c r="B17" i="28" s="1"/>
  <c r="A18" i="28"/>
  <c r="B18" i="28" s="1"/>
  <c r="A19" i="28"/>
  <c r="B19" i="28" s="1"/>
  <c r="A20" i="28"/>
  <c r="B20" i="28" s="1"/>
  <c r="A21" i="28"/>
  <c r="C21" i="28" s="1"/>
  <c r="A22" i="28"/>
  <c r="C22" i="28" s="1"/>
  <c r="A23" i="28"/>
  <c r="C23" i="28" s="1"/>
  <c r="A24" i="28"/>
  <c r="C24" i="28" s="1"/>
  <c r="A25" i="28"/>
  <c r="B25" i="28" s="1"/>
  <c r="A26" i="28"/>
  <c r="C26" i="28" s="1"/>
  <c r="A27" i="28"/>
  <c r="C27" i="28" s="1"/>
  <c r="A28" i="28"/>
  <c r="B28" i="28" s="1"/>
  <c r="A29" i="28"/>
  <c r="C29" i="28" s="1"/>
  <c r="A30" i="28"/>
  <c r="B30" i="28" s="1"/>
  <c r="A31" i="28"/>
  <c r="C31" i="28" s="1"/>
  <c r="A32" i="28"/>
  <c r="B32" i="28" s="1"/>
  <c r="A33" i="28"/>
  <c r="B33" i="28" s="1"/>
  <c r="A34" i="28"/>
  <c r="B34" i="28" s="1"/>
  <c r="A35" i="28"/>
  <c r="A36" i="28"/>
  <c r="C36" i="28" s="1"/>
  <c r="A37" i="28"/>
  <c r="C37" i="28" s="1"/>
  <c r="A38" i="28"/>
  <c r="A39" i="28"/>
  <c r="A40" i="28"/>
  <c r="C40" i="28" s="1"/>
  <c r="A41" i="28"/>
  <c r="B41" i="28" s="1"/>
  <c r="A42" i="28"/>
  <c r="A43" i="28"/>
  <c r="A44" i="28"/>
  <c r="C44" i="28" s="1"/>
  <c r="A45" i="28"/>
  <c r="B45" i="28" s="1"/>
  <c r="A46" i="28"/>
  <c r="B46" i="28" s="1"/>
  <c r="A47" i="28"/>
  <c r="B47" i="28" s="1"/>
  <c r="A48" i="28"/>
  <c r="B48" i="28" s="1"/>
  <c r="A49" i="28"/>
  <c r="B49" i="28" s="1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E1" i="28"/>
  <c r="D1" i="28"/>
  <c r="A1" i="28"/>
  <c r="B43" i="75" l="1"/>
  <c r="G17" i="23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N122" i="65"/>
  <c r="AS120" i="67" s="1"/>
  <c r="R1" i="76"/>
  <c r="Q1" i="76"/>
  <c r="P1" i="76"/>
  <c r="T2" i="65"/>
  <c r="U2" i="65"/>
  <c r="N16" i="65"/>
  <c r="O16" i="65"/>
  <c r="P16" i="65"/>
  <c r="Q16" i="65"/>
  <c r="N17" i="65"/>
  <c r="O17" i="65"/>
  <c r="P17" i="65"/>
  <c r="Q17" i="65"/>
  <c r="N18" i="65"/>
  <c r="O18" i="65"/>
  <c r="P18" i="65"/>
  <c r="Q18" i="65"/>
  <c r="N19" i="65"/>
  <c r="O19" i="65"/>
  <c r="P19" i="65"/>
  <c r="Q19" i="65"/>
  <c r="N20" i="65"/>
  <c r="O20" i="65"/>
  <c r="P20" i="65"/>
  <c r="Q20" i="65"/>
  <c r="N21" i="65"/>
  <c r="O21" i="65"/>
  <c r="P21" i="65"/>
  <c r="Q21" i="65"/>
  <c r="N22" i="65"/>
  <c r="O22" i="65"/>
  <c r="P22" i="65"/>
  <c r="Q22" i="65"/>
  <c r="N23" i="65"/>
  <c r="O23" i="65"/>
  <c r="P23" i="65"/>
  <c r="Q23" i="65"/>
  <c r="N24" i="65"/>
  <c r="O24" i="65"/>
  <c r="P24" i="65"/>
  <c r="Q24" i="65"/>
  <c r="N25" i="65"/>
  <c r="O25" i="65"/>
  <c r="P25" i="65"/>
  <c r="Q25" i="65"/>
  <c r="N26" i="65"/>
  <c r="O26" i="65"/>
  <c r="P26" i="65"/>
  <c r="Q26" i="65"/>
  <c r="N27" i="65"/>
  <c r="O27" i="65"/>
  <c r="P27" i="65"/>
  <c r="Q27" i="65"/>
  <c r="N28" i="65"/>
  <c r="O28" i="65"/>
  <c r="P28" i="65"/>
  <c r="Q28" i="65"/>
  <c r="N29" i="65"/>
  <c r="O29" i="65"/>
  <c r="P29" i="65"/>
  <c r="Q29" i="65"/>
  <c r="N30" i="65"/>
  <c r="O30" i="65"/>
  <c r="P30" i="65"/>
  <c r="Q30" i="65"/>
  <c r="N31" i="65"/>
  <c r="O31" i="65"/>
  <c r="P31" i="65"/>
  <c r="Q31" i="65"/>
  <c r="N32" i="65"/>
  <c r="O32" i="65"/>
  <c r="P32" i="65"/>
  <c r="Q32" i="65"/>
  <c r="N33" i="65"/>
  <c r="O33" i="65"/>
  <c r="P33" i="65"/>
  <c r="Q33" i="65"/>
  <c r="N34" i="65"/>
  <c r="O34" i="65"/>
  <c r="P34" i="65"/>
  <c r="Q34" i="65"/>
  <c r="N35" i="65"/>
  <c r="O35" i="65"/>
  <c r="P35" i="65"/>
  <c r="Q35" i="65"/>
  <c r="N36" i="65"/>
  <c r="O36" i="65"/>
  <c r="P36" i="65"/>
  <c r="Q36" i="65"/>
  <c r="N37" i="65"/>
  <c r="O37" i="65"/>
  <c r="P37" i="65"/>
  <c r="Q37" i="65"/>
  <c r="N38" i="65"/>
  <c r="O38" i="65"/>
  <c r="P38" i="65"/>
  <c r="Q38" i="65"/>
  <c r="N39" i="65"/>
  <c r="O39" i="65"/>
  <c r="P39" i="65"/>
  <c r="Q39" i="65"/>
  <c r="N40" i="65"/>
  <c r="O40" i="65"/>
  <c r="P40" i="65"/>
  <c r="Q40" i="65"/>
  <c r="N41" i="65"/>
  <c r="O41" i="65"/>
  <c r="P41" i="65"/>
  <c r="Q41" i="65"/>
  <c r="N42" i="65"/>
  <c r="O42" i="65"/>
  <c r="P42" i="65"/>
  <c r="Q42" i="65"/>
  <c r="N43" i="65"/>
  <c r="O43" i="65"/>
  <c r="P43" i="65"/>
  <c r="Q43" i="65"/>
  <c r="N44" i="65"/>
  <c r="O44" i="65"/>
  <c r="P44" i="65"/>
  <c r="Q44" i="65"/>
  <c r="N45" i="65"/>
  <c r="O45" i="65"/>
  <c r="P45" i="65"/>
  <c r="Q45" i="65"/>
  <c r="N46" i="65"/>
  <c r="O46" i="65"/>
  <c r="P46" i="65"/>
  <c r="Q46" i="65"/>
  <c r="N47" i="65"/>
  <c r="O47" i="65"/>
  <c r="P47" i="65"/>
  <c r="Q47" i="65"/>
  <c r="N48" i="65"/>
  <c r="O48" i="65"/>
  <c r="P48" i="65"/>
  <c r="Q48" i="65"/>
  <c r="N49" i="65"/>
  <c r="O49" i="65"/>
  <c r="P49" i="65"/>
  <c r="Q49" i="65"/>
  <c r="N50" i="65"/>
  <c r="O50" i="65"/>
  <c r="P50" i="65"/>
  <c r="Q50" i="65"/>
  <c r="N51" i="65"/>
  <c r="O51" i="65"/>
  <c r="P51" i="65"/>
  <c r="Q51" i="65"/>
  <c r="N52" i="65"/>
  <c r="O52" i="65"/>
  <c r="P52" i="65"/>
  <c r="Q52" i="65"/>
  <c r="N53" i="65"/>
  <c r="O53" i="65"/>
  <c r="P53" i="65"/>
  <c r="Q53" i="65"/>
  <c r="N54" i="65"/>
  <c r="O54" i="65"/>
  <c r="P54" i="65"/>
  <c r="Q54" i="65"/>
  <c r="N55" i="65"/>
  <c r="O55" i="65"/>
  <c r="P55" i="65"/>
  <c r="Q55" i="65"/>
  <c r="N56" i="65"/>
  <c r="O56" i="65"/>
  <c r="P56" i="65"/>
  <c r="Q56" i="65"/>
  <c r="N57" i="65"/>
  <c r="O57" i="65"/>
  <c r="P57" i="65"/>
  <c r="Q57" i="65"/>
  <c r="N58" i="65"/>
  <c r="O58" i="65"/>
  <c r="P58" i="65"/>
  <c r="Q58" i="65"/>
  <c r="N59" i="65"/>
  <c r="O59" i="65"/>
  <c r="P59" i="65"/>
  <c r="Q59" i="65"/>
  <c r="N60" i="65"/>
  <c r="O60" i="65"/>
  <c r="P60" i="65"/>
  <c r="Q60" i="65"/>
  <c r="N61" i="65"/>
  <c r="O61" i="65"/>
  <c r="P61" i="65"/>
  <c r="Q61" i="65"/>
  <c r="N62" i="65"/>
  <c r="O62" i="65"/>
  <c r="P62" i="65"/>
  <c r="Q62" i="65"/>
  <c r="N63" i="65"/>
  <c r="O63" i="65"/>
  <c r="P63" i="65"/>
  <c r="Q63" i="65"/>
  <c r="N64" i="65"/>
  <c r="O64" i="65"/>
  <c r="P64" i="65"/>
  <c r="Q64" i="65"/>
  <c r="N65" i="65"/>
  <c r="O65" i="65"/>
  <c r="P65" i="65"/>
  <c r="Q65" i="65"/>
  <c r="N66" i="65"/>
  <c r="O66" i="65"/>
  <c r="P66" i="65"/>
  <c r="Q66" i="65"/>
  <c r="N67" i="65"/>
  <c r="O67" i="65"/>
  <c r="P67" i="65"/>
  <c r="Q67" i="65"/>
  <c r="N68" i="65"/>
  <c r="O68" i="65"/>
  <c r="P68" i="65"/>
  <c r="Q68" i="65"/>
  <c r="N69" i="65"/>
  <c r="O69" i="65"/>
  <c r="P69" i="65"/>
  <c r="Q69" i="65"/>
  <c r="N70" i="65"/>
  <c r="O70" i="65"/>
  <c r="P70" i="65"/>
  <c r="Q70" i="65"/>
  <c r="N71" i="65"/>
  <c r="O71" i="65"/>
  <c r="P71" i="65"/>
  <c r="Q71" i="65"/>
  <c r="N72" i="65"/>
  <c r="O72" i="65"/>
  <c r="P72" i="65"/>
  <c r="Q72" i="65"/>
  <c r="N73" i="65"/>
  <c r="O73" i="65"/>
  <c r="P73" i="65"/>
  <c r="Q73" i="65"/>
  <c r="N74" i="65"/>
  <c r="O74" i="65"/>
  <c r="P74" i="65"/>
  <c r="Q74" i="65"/>
  <c r="N75" i="65"/>
  <c r="O75" i="65"/>
  <c r="P75" i="65"/>
  <c r="Q75" i="65"/>
  <c r="N76" i="65"/>
  <c r="O76" i="65"/>
  <c r="P76" i="65"/>
  <c r="Q76" i="65"/>
  <c r="N77" i="65"/>
  <c r="O77" i="65"/>
  <c r="P77" i="65"/>
  <c r="Q77" i="65"/>
  <c r="N78" i="65"/>
  <c r="O78" i="65"/>
  <c r="P78" i="65"/>
  <c r="Q78" i="65"/>
  <c r="N79" i="65"/>
  <c r="O79" i="65"/>
  <c r="P79" i="65"/>
  <c r="Q79" i="65"/>
  <c r="N80" i="65"/>
  <c r="O80" i="65"/>
  <c r="P80" i="65"/>
  <c r="Q80" i="65"/>
  <c r="N81" i="65"/>
  <c r="O81" i="65"/>
  <c r="P81" i="65"/>
  <c r="Q81" i="65"/>
  <c r="N82" i="65"/>
  <c r="O82" i="65"/>
  <c r="P82" i="65"/>
  <c r="Q82" i="65"/>
  <c r="N83" i="65"/>
  <c r="O83" i="65"/>
  <c r="P83" i="65"/>
  <c r="Q83" i="65"/>
  <c r="N84" i="65"/>
  <c r="O84" i="65"/>
  <c r="P84" i="65"/>
  <c r="Q84" i="65"/>
  <c r="N85" i="65"/>
  <c r="O85" i="65"/>
  <c r="P85" i="65"/>
  <c r="Q85" i="65"/>
  <c r="N86" i="65"/>
  <c r="O86" i="65"/>
  <c r="P86" i="65"/>
  <c r="Q86" i="65"/>
  <c r="N87" i="65"/>
  <c r="O87" i="65"/>
  <c r="P87" i="65"/>
  <c r="Q87" i="65"/>
  <c r="N88" i="65"/>
  <c r="O88" i="65"/>
  <c r="P88" i="65"/>
  <c r="Q88" i="65"/>
  <c r="N89" i="65"/>
  <c r="O89" i="65"/>
  <c r="P89" i="65"/>
  <c r="Q89" i="65"/>
  <c r="N90" i="65"/>
  <c r="O90" i="65"/>
  <c r="P90" i="65"/>
  <c r="Q90" i="65"/>
  <c r="N91" i="65"/>
  <c r="O91" i="65"/>
  <c r="P91" i="65"/>
  <c r="Q91" i="65"/>
  <c r="N92" i="65"/>
  <c r="O92" i="65"/>
  <c r="P92" i="65"/>
  <c r="Q92" i="65"/>
  <c r="N93" i="65"/>
  <c r="O93" i="65"/>
  <c r="P93" i="65"/>
  <c r="Q93" i="65"/>
  <c r="N94" i="65"/>
  <c r="O94" i="65"/>
  <c r="P94" i="65"/>
  <c r="Q94" i="65"/>
  <c r="N95" i="65"/>
  <c r="O95" i="65"/>
  <c r="P95" i="65"/>
  <c r="Q95" i="65"/>
  <c r="N96" i="65"/>
  <c r="O96" i="65"/>
  <c r="P96" i="65"/>
  <c r="Q96" i="65"/>
  <c r="N97" i="65"/>
  <c r="O97" i="65"/>
  <c r="P97" i="65"/>
  <c r="Q97" i="65"/>
  <c r="N98" i="65"/>
  <c r="O98" i="65"/>
  <c r="P98" i="65"/>
  <c r="Q98" i="65"/>
  <c r="N99" i="65"/>
  <c r="O99" i="65"/>
  <c r="P99" i="65"/>
  <c r="Q99" i="65"/>
  <c r="N100" i="65"/>
  <c r="O100" i="65"/>
  <c r="P100" i="65"/>
  <c r="Q100" i="65"/>
  <c r="N101" i="65"/>
  <c r="O101" i="65"/>
  <c r="P101" i="65"/>
  <c r="Q101" i="65"/>
  <c r="N102" i="65"/>
  <c r="O102" i="65"/>
  <c r="P102" i="65"/>
  <c r="Q102" i="65"/>
  <c r="N103" i="65"/>
  <c r="O103" i="65"/>
  <c r="P103" i="65"/>
  <c r="Q103" i="65"/>
  <c r="N104" i="65"/>
  <c r="O104" i="65"/>
  <c r="P104" i="65"/>
  <c r="Q104" i="65"/>
  <c r="N105" i="65"/>
  <c r="O105" i="65"/>
  <c r="P105" i="65"/>
  <c r="Q105" i="65"/>
  <c r="N106" i="65"/>
  <c r="O106" i="65"/>
  <c r="P106" i="65"/>
  <c r="Q106" i="65"/>
  <c r="N107" i="65"/>
  <c r="O107" i="65"/>
  <c r="P107" i="65"/>
  <c r="Q107" i="65"/>
  <c r="N108" i="65"/>
  <c r="O108" i="65"/>
  <c r="P108" i="65"/>
  <c r="Q108" i="65"/>
  <c r="N109" i="65"/>
  <c r="O109" i="65"/>
  <c r="P109" i="65"/>
  <c r="Q109" i="65"/>
  <c r="N110" i="65"/>
  <c r="O110" i="65"/>
  <c r="P110" i="65"/>
  <c r="Q110" i="65"/>
  <c r="N111" i="65"/>
  <c r="O111" i="65"/>
  <c r="P111" i="65"/>
  <c r="Q111" i="65"/>
  <c r="N112" i="65"/>
  <c r="O112" i="65"/>
  <c r="P112" i="65"/>
  <c r="Q112" i="65"/>
  <c r="N113" i="65"/>
  <c r="O113" i="65"/>
  <c r="P113" i="65"/>
  <c r="Q113" i="65"/>
  <c r="N114" i="65"/>
  <c r="O114" i="65"/>
  <c r="P114" i="65"/>
  <c r="Q114" i="65"/>
  <c r="N115" i="65"/>
  <c r="O115" i="65"/>
  <c r="P115" i="65"/>
  <c r="Q115" i="65"/>
  <c r="N116" i="65"/>
  <c r="O116" i="65"/>
  <c r="P116" i="65"/>
  <c r="Q116" i="65"/>
  <c r="N117" i="65"/>
  <c r="O117" i="65"/>
  <c r="P117" i="65"/>
  <c r="Q117" i="65"/>
  <c r="N118" i="65"/>
  <c r="AS116" i="67" s="1"/>
  <c r="O118" i="65"/>
  <c r="AT116" i="67" s="1"/>
  <c r="P118" i="65"/>
  <c r="AU116" i="67" s="1"/>
  <c r="Q118" i="65"/>
  <c r="AV116" i="67" s="1"/>
  <c r="N119" i="65"/>
  <c r="AS117" i="67" s="1"/>
  <c r="O119" i="65"/>
  <c r="AT117" i="67" s="1"/>
  <c r="P119" i="65"/>
  <c r="AU117" i="67" s="1"/>
  <c r="Q119" i="65"/>
  <c r="AV117" i="67" s="1"/>
  <c r="N120" i="65"/>
  <c r="AS118" i="67" s="1"/>
  <c r="O120" i="65"/>
  <c r="AT118" i="67" s="1"/>
  <c r="P120" i="65"/>
  <c r="AU118" i="67" s="1"/>
  <c r="Q120" i="65"/>
  <c r="AV118" i="67" s="1"/>
  <c r="N121" i="65"/>
  <c r="AS119" i="67" s="1"/>
  <c r="O121" i="65"/>
  <c r="AT119" i="67" s="1"/>
  <c r="P121" i="65"/>
  <c r="Q121" i="65"/>
  <c r="AV119" i="67" s="1"/>
  <c r="O122" i="65"/>
  <c r="AT120" i="67" s="1"/>
  <c r="P122" i="65"/>
  <c r="Q122" i="65"/>
  <c r="AV120" i="67" s="1"/>
  <c r="O123" i="65"/>
  <c r="AT121" i="67" s="1"/>
  <c r="P123" i="65"/>
  <c r="Q123" i="65"/>
  <c r="AV121" i="67" s="1"/>
  <c r="B110" i="38"/>
  <c r="C110" i="38"/>
  <c r="J110" i="38"/>
  <c r="B111" i="38"/>
  <c r="C111" i="38"/>
  <c r="J111" i="38"/>
  <c r="B112" i="38"/>
  <c r="C112" i="38"/>
  <c r="J112" i="38"/>
  <c r="B113" i="38"/>
  <c r="C113" i="38"/>
  <c r="J113" i="38"/>
  <c r="B114" i="38"/>
  <c r="C114" i="38"/>
  <c r="J114" i="38"/>
  <c r="B115" i="38"/>
  <c r="C115" i="38"/>
  <c r="J115" i="38"/>
  <c r="K110" i="32"/>
  <c r="K111" i="32"/>
  <c r="K112" i="32"/>
  <c r="K113" i="32"/>
  <c r="K114" i="32"/>
  <c r="K115" i="32"/>
  <c r="K110" i="30"/>
  <c r="K111" i="30"/>
  <c r="K112" i="30"/>
  <c r="K113" i="30"/>
  <c r="K114" i="30"/>
  <c r="K115" i="30"/>
  <c r="K2" i="30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108" i="30"/>
  <c r="K109" i="30"/>
  <c r="J110" i="28"/>
  <c r="J111" i="28"/>
  <c r="J112" i="28"/>
  <c r="J113" i="28"/>
  <c r="J114" i="28"/>
  <c r="J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AU119" i="67"/>
  <c r="AU121" i="67"/>
  <c r="AU120" i="67"/>
  <c r="N123" i="65"/>
  <c r="AS121" i="67" s="1"/>
  <c r="I119" i="69" l="1"/>
  <c r="I104" i="69" s="1"/>
  <c r="AE35" i="68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F56" i="69" s="1"/>
  <c r="G56" i="69" s="1"/>
  <c r="H56" i="69" s="1"/>
  <c r="I56" i="69" s="1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U114" i="65"/>
  <c r="S115" i="65"/>
  <c r="T115" i="65"/>
  <c r="U115" i="65"/>
  <c r="S116" i="65"/>
  <c r="T116" i="65"/>
  <c r="U116" i="65"/>
  <c r="S117" i="65"/>
  <c r="U30" i="65"/>
  <c r="S31" i="65"/>
  <c r="T31" i="65"/>
  <c r="S32" i="65"/>
  <c r="T32" i="65"/>
  <c r="U32" i="65"/>
  <c r="S33" i="65"/>
  <c r="T33" i="65"/>
  <c r="U34" i="65"/>
  <c r="S35" i="65"/>
  <c r="T35" i="65"/>
  <c r="U35" i="65"/>
  <c r="S36" i="65"/>
  <c r="T36" i="65"/>
  <c r="U36" i="65"/>
  <c r="S37" i="65"/>
  <c r="T37" i="65"/>
  <c r="U37" i="65"/>
  <c r="S38" i="65"/>
  <c r="T38" i="65"/>
  <c r="U38" i="65"/>
  <c r="S40" i="65"/>
  <c r="T40" i="65"/>
  <c r="U40" i="65"/>
  <c r="S41" i="65"/>
  <c r="T41" i="65"/>
  <c r="U41" i="65"/>
  <c r="S42" i="65"/>
  <c r="T42" i="65"/>
  <c r="U42" i="65"/>
  <c r="S43" i="65"/>
  <c r="T43" i="65"/>
  <c r="U43" i="65"/>
  <c r="S44" i="65"/>
  <c r="T45" i="65"/>
  <c r="U45" i="65"/>
  <c r="S46" i="65"/>
  <c r="T46" i="65"/>
  <c r="U46" i="65"/>
  <c r="S47" i="65"/>
  <c r="T47" i="65"/>
  <c r="U47" i="65"/>
  <c r="S48" i="65"/>
  <c r="T48" i="65"/>
  <c r="U48" i="65"/>
  <c r="S49" i="65"/>
  <c r="T49" i="65"/>
  <c r="U50" i="65"/>
  <c r="S51" i="65"/>
  <c r="T51" i="65"/>
  <c r="U51" i="65"/>
  <c r="S52" i="65"/>
  <c r="T52" i="65"/>
  <c r="U52" i="65"/>
  <c r="S53" i="65"/>
  <c r="T53" i="65"/>
  <c r="U53" i="65"/>
  <c r="S54" i="65"/>
  <c r="T54" i="65"/>
  <c r="U54" i="65"/>
  <c r="S56" i="65"/>
  <c r="T56" i="65"/>
  <c r="U56" i="65"/>
  <c r="S57" i="65"/>
  <c r="T57" i="65"/>
  <c r="U57" i="65"/>
  <c r="S58" i="65"/>
  <c r="T58" i="65"/>
  <c r="U58" i="65"/>
  <c r="S59" i="65"/>
  <c r="T59" i="65"/>
  <c r="U59" i="65"/>
  <c r="S60" i="65"/>
  <c r="T61" i="65"/>
  <c r="U61" i="65"/>
  <c r="S62" i="65"/>
  <c r="T62" i="65"/>
  <c r="U62" i="65"/>
  <c r="S63" i="65"/>
  <c r="T63" i="65"/>
  <c r="U63" i="65"/>
  <c r="S64" i="65"/>
  <c r="T64" i="65"/>
  <c r="U64" i="65"/>
  <c r="S65" i="65"/>
  <c r="T65" i="65"/>
  <c r="U66" i="65"/>
  <c r="S67" i="65"/>
  <c r="T67" i="65"/>
  <c r="S68" i="65"/>
  <c r="T68" i="65"/>
  <c r="S69" i="65"/>
  <c r="T69" i="65"/>
  <c r="U69" i="65"/>
  <c r="S70" i="65"/>
  <c r="T70" i="65"/>
  <c r="U70" i="65"/>
  <c r="S72" i="65"/>
  <c r="T72" i="65"/>
  <c r="U72" i="65"/>
  <c r="T73" i="65"/>
  <c r="U73" i="65"/>
  <c r="T74" i="65"/>
  <c r="S75" i="65"/>
  <c r="T75" i="65"/>
  <c r="U75" i="65"/>
  <c r="S76" i="65"/>
  <c r="T77" i="65"/>
  <c r="U77" i="65"/>
  <c r="S78" i="65"/>
  <c r="U78" i="65"/>
  <c r="S79" i="65"/>
  <c r="T79" i="65"/>
  <c r="U79" i="65"/>
  <c r="S80" i="65"/>
  <c r="T80" i="65"/>
  <c r="U80" i="65"/>
  <c r="S81" i="65"/>
  <c r="T81" i="65"/>
  <c r="U82" i="65"/>
  <c r="S83" i="65"/>
  <c r="T83" i="65"/>
  <c r="S84" i="65"/>
  <c r="T84" i="65"/>
  <c r="U84" i="65"/>
  <c r="S85" i="65"/>
  <c r="U85" i="65"/>
  <c r="S86" i="65"/>
  <c r="T86" i="65"/>
  <c r="U86" i="65"/>
  <c r="S88" i="65"/>
  <c r="T88" i="65"/>
  <c r="S91" i="65"/>
  <c r="T91" i="65"/>
  <c r="U91" i="65"/>
  <c r="S92" i="65"/>
  <c r="T93" i="65"/>
  <c r="S95" i="65"/>
  <c r="U95" i="65"/>
  <c r="S96" i="65"/>
  <c r="T96" i="65"/>
  <c r="U96" i="65"/>
  <c r="S97" i="65"/>
  <c r="T97" i="65"/>
  <c r="U98" i="65"/>
  <c r="S99" i="65"/>
  <c r="S100" i="65"/>
  <c r="U100" i="65"/>
  <c r="S101" i="65"/>
  <c r="T101" i="65"/>
  <c r="U101" i="65"/>
  <c r="S102" i="65"/>
  <c r="U102" i="65"/>
  <c r="S104" i="65"/>
  <c r="T104" i="65"/>
  <c r="U105" i="65"/>
  <c r="S106" i="65"/>
  <c r="T106" i="65"/>
  <c r="U106" i="65"/>
  <c r="S107" i="65"/>
  <c r="T107" i="65"/>
  <c r="S108" i="65"/>
  <c r="T109" i="65"/>
  <c r="U109" i="65"/>
  <c r="S110" i="65"/>
  <c r="U110" i="65"/>
  <c r="S111" i="65"/>
  <c r="T111" i="65"/>
  <c r="S7" i="65"/>
  <c r="S9" i="65"/>
  <c r="U9" i="65"/>
  <c r="S10" i="65"/>
  <c r="T10" i="65"/>
  <c r="U10" i="65"/>
  <c r="S11" i="65"/>
  <c r="T12" i="65"/>
  <c r="T14" i="65"/>
  <c r="S15" i="65"/>
  <c r="T15" i="65"/>
  <c r="U15" i="65"/>
  <c r="S16" i="65"/>
  <c r="T16" i="65"/>
  <c r="U17" i="65"/>
  <c r="U19" i="65"/>
  <c r="T20" i="65"/>
  <c r="U20" i="65"/>
  <c r="S21" i="65"/>
  <c r="T21" i="65"/>
  <c r="U21" i="65"/>
  <c r="S23" i="65"/>
  <c r="S25" i="65"/>
  <c r="U25" i="65"/>
  <c r="S26" i="65"/>
  <c r="T26" i="65"/>
  <c r="U26" i="65"/>
  <c r="S27" i="65"/>
  <c r="T28" i="65"/>
  <c r="I101" i="65"/>
  <c r="H112" i="65"/>
  <c r="AI110" i="67" s="1"/>
  <c r="BM115" i="67"/>
  <c r="BL115" i="67"/>
  <c r="G115" i="156" s="1"/>
  <c r="BK115" i="67"/>
  <c r="BJ115" i="67"/>
  <c r="BI115" i="67"/>
  <c r="H115" i="77" s="1"/>
  <c r="BH115" i="67"/>
  <c r="BG115" i="67"/>
  <c r="H115" i="156" s="1"/>
  <c r="BF115" i="67"/>
  <c r="BE115" i="67"/>
  <c r="F115" i="155" s="1"/>
  <c r="BD115" i="67"/>
  <c r="G115" i="76" s="1"/>
  <c r="BC115" i="67"/>
  <c r="BB115" i="67"/>
  <c r="BA115" i="67"/>
  <c r="AZ115" i="67"/>
  <c r="AY115" i="67"/>
  <c r="C115" i="67"/>
  <c r="B115" i="67"/>
  <c r="BM114" i="67"/>
  <c r="BL114" i="67"/>
  <c r="G114" i="156" s="1"/>
  <c r="BK114" i="67"/>
  <c r="BJ114" i="67"/>
  <c r="BI114" i="67"/>
  <c r="H114" i="77" s="1"/>
  <c r="BH114" i="67"/>
  <c r="BG114" i="67"/>
  <c r="H114" i="156" s="1"/>
  <c r="BF114" i="67"/>
  <c r="BE114" i="67"/>
  <c r="F114" i="155" s="1"/>
  <c r="BD114" i="67"/>
  <c r="G114" i="76" s="1"/>
  <c r="BC114" i="67"/>
  <c r="BB114" i="67"/>
  <c r="BA114" i="67"/>
  <c r="AZ114" i="67"/>
  <c r="AY114" i="67"/>
  <c r="C114" i="67"/>
  <c r="B114" i="67"/>
  <c r="BM113" i="67"/>
  <c r="BL113" i="67"/>
  <c r="G113" i="156" s="1"/>
  <c r="BK113" i="67"/>
  <c r="BJ113" i="67"/>
  <c r="BI113" i="67"/>
  <c r="H113" i="77" s="1"/>
  <c r="BH113" i="67"/>
  <c r="BG113" i="67"/>
  <c r="H113" i="156" s="1"/>
  <c r="BF113" i="67"/>
  <c r="BE113" i="67"/>
  <c r="F113" i="155" s="1"/>
  <c r="BD113" i="67"/>
  <c r="G113" i="76" s="1"/>
  <c r="BC113" i="67"/>
  <c r="BB113" i="67"/>
  <c r="BA113" i="67"/>
  <c r="AZ113" i="67"/>
  <c r="AY113" i="67"/>
  <c r="C113" i="67"/>
  <c r="B113" i="67"/>
  <c r="BM112" i="67"/>
  <c r="BL112" i="67"/>
  <c r="G112" i="156" s="1"/>
  <c r="BK112" i="67"/>
  <c r="BJ112" i="67"/>
  <c r="BI112" i="67"/>
  <c r="H112" i="77" s="1"/>
  <c r="BH112" i="67"/>
  <c r="BG112" i="67"/>
  <c r="H112" i="156" s="1"/>
  <c r="BF112" i="67"/>
  <c r="BE112" i="67"/>
  <c r="F112" i="155" s="1"/>
  <c r="BD112" i="67"/>
  <c r="G112" i="76" s="1"/>
  <c r="BC112" i="67"/>
  <c r="BB112" i="67"/>
  <c r="BA112" i="67"/>
  <c r="AZ112" i="67"/>
  <c r="AY112" i="67"/>
  <c r="C112" i="67"/>
  <c r="B112" i="67"/>
  <c r="BM111" i="67"/>
  <c r="BL111" i="67"/>
  <c r="G111" i="156" s="1"/>
  <c r="BK111" i="67"/>
  <c r="BJ111" i="67"/>
  <c r="BI111" i="67"/>
  <c r="H111" i="77" s="1"/>
  <c r="BH111" i="67"/>
  <c r="BG111" i="67"/>
  <c r="H111" i="156" s="1"/>
  <c r="BF111" i="67"/>
  <c r="BE111" i="67"/>
  <c r="F111" i="155" s="1"/>
  <c r="BD111" i="67"/>
  <c r="G111" i="76" s="1"/>
  <c r="BC111" i="67"/>
  <c r="BB111" i="67"/>
  <c r="BA111" i="67"/>
  <c r="AZ111" i="67"/>
  <c r="AY111" i="67"/>
  <c r="C111" i="67"/>
  <c r="B111" i="67"/>
  <c r="BM110" i="67"/>
  <c r="BL110" i="67"/>
  <c r="G110" i="156" s="1"/>
  <c r="BK110" i="67"/>
  <c r="BJ110" i="67"/>
  <c r="BI110" i="67"/>
  <c r="H110" i="77" s="1"/>
  <c r="BH110" i="67"/>
  <c r="BG110" i="67"/>
  <c r="H110" i="156" s="1"/>
  <c r="BF110" i="67"/>
  <c r="BE110" i="67"/>
  <c r="F110" i="155" s="1"/>
  <c r="BD110" i="67"/>
  <c r="G110" i="76" s="1"/>
  <c r="BC110" i="67"/>
  <c r="BB110" i="67"/>
  <c r="BA110" i="67"/>
  <c r="AZ110" i="67"/>
  <c r="AY110" i="67"/>
  <c r="C110" i="67"/>
  <c r="B110" i="67"/>
  <c r="BM109" i="67"/>
  <c r="BL109" i="67"/>
  <c r="G109" i="156" s="1"/>
  <c r="BK109" i="67"/>
  <c r="BJ109" i="67"/>
  <c r="BI109" i="67"/>
  <c r="H109" i="77" s="1"/>
  <c r="BH109" i="67"/>
  <c r="BG109" i="67"/>
  <c r="H109" i="156" s="1"/>
  <c r="BF109" i="67"/>
  <c r="BE109" i="67"/>
  <c r="F109" i="155" s="1"/>
  <c r="BD109" i="67"/>
  <c r="G109" i="76" s="1"/>
  <c r="BC109" i="67"/>
  <c r="BB109" i="67"/>
  <c r="BA109" i="67"/>
  <c r="AZ109" i="67"/>
  <c r="AY109" i="67"/>
  <c r="C109" i="67"/>
  <c r="B109" i="67"/>
  <c r="BM108" i="67"/>
  <c r="BL108" i="67"/>
  <c r="G108" i="156" s="1"/>
  <c r="BK108" i="67"/>
  <c r="BJ108" i="67"/>
  <c r="BI108" i="67"/>
  <c r="H108" i="77" s="1"/>
  <c r="BH108" i="67"/>
  <c r="BG108" i="67"/>
  <c r="H108" i="156" s="1"/>
  <c r="BF108" i="67"/>
  <c r="BE108" i="67"/>
  <c r="F108" i="155" s="1"/>
  <c r="BD108" i="67"/>
  <c r="G108" i="76" s="1"/>
  <c r="BC108" i="67"/>
  <c r="BB108" i="67"/>
  <c r="BA108" i="67"/>
  <c r="AZ108" i="67"/>
  <c r="AY108" i="67"/>
  <c r="C108" i="67"/>
  <c r="B108" i="67"/>
  <c r="BM107" i="67"/>
  <c r="BL107" i="67"/>
  <c r="G107" i="156" s="1"/>
  <c r="BK107" i="67"/>
  <c r="BJ107" i="67"/>
  <c r="BI107" i="67"/>
  <c r="H107" i="77" s="1"/>
  <c r="BH107" i="67"/>
  <c r="BG107" i="67"/>
  <c r="H107" i="156" s="1"/>
  <c r="BF107" i="67"/>
  <c r="BE107" i="67"/>
  <c r="F107" i="155" s="1"/>
  <c r="BD107" i="67"/>
  <c r="G107" i="76" s="1"/>
  <c r="BC107" i="67"/>
  <c r="BB107" i="67"/>
  <c r="BA107" i="67"/>
  <c r="AZ107" i="67"/>
  <c r="AY107" i="67"/>
  <c r="C107" i="67"/>
  <c r="B107" i="67"/>
  <c r="BM106" i="67"/>
  <c r="BL106" i="67"/>
  <c r="G106" i="156" s="1"/>
  <c r="BK106" i="67"/>
  <c r="BJ106" i="67"/>
  <c r="BI106" i="67"/>
  <c r="H106" i="77" s="1"/>
  <c r="BH106" i="67"/>
  <c r="BG106" i="67"/>
  <c r="H106" i="156" s="1"/>
  <c r="BF106" i="67"/>
  <c r="BE106" i="67"/>
  <c r="F106" i="155" s="1"/>
  <c r="BD106" i="67"/>
  <c r="G106" i="76" s="1"/>
  <c r="BC106" i="67"/>
  <c r="BB106" i="67"/>
  <c r="BA106" i="67"/>
  <c r="AZ106" i="67"/>
  <c r="AY106" i="67"/>
  <c r="C106" i="67"/>
  <c r="B106" i="67"/>
  <c r="BM105" i="67"/>
  <c r="BL105" i="67"/>
  <c r="G105" i="156" s="1"/>
  <c r="BK105" i="67"/>
  <c r="BJ105" i="67"/>
  <c r="BI105" i="67"/>
  <c r="H105" i="77" s="1"/>
  <c r="BH105" i="67"/>
  <c r="BG105" i="67"/>
  <c r="H105" i="156" s="1"/>
  <c r="BF105" i="67"/>
  <c r="BE105" i="67"/>
  <c r="F105" i="155" s="1"/>
  <c r="BD105" i="67"/>
  <c r="G105" i="76" s="1"/>
  <c r="BC105" i="67"/>
  <c r="BB105" i="67"/>
  <c r="BA105" i="67"/>
  <c r="AZ105" i="67"/>
  <c r="AY105" i="67"/>
  <c r="C105" i="67"/>
  <c r="B105" i="67"/>
  <c r="BM104" i="67"/>
  <c r="BL104" i="67"/>
  <c r="G104" i="156" s="1"/>
  <c r="BK104" i="67"/>
  <c r="BJ104" i="67"/>
  <c r="BI104" i="67"/>
  <c r="H104" i="77" s="1"/>
  <c r="BH104" i="67"/>
  <c r="BG104" i="67"/>
  <c r="H104" i="156" s="1"/>
  <c r="BF104" i="67"/>
  <c r="BE104" i="67"/>
  <c r="F104" i="155" s="1"/>
  <c r="BD104" i="67"/>
  <c r="G104" i="76" s="1"/>
  <c r="BC104" i="67"/>
  <c r="BB104" i="67"/>
  <c r="BA104" i="67"/>
  <c r="AZ104" i="67"/>
  <c r="AY104" i="67"/>
  <c r="C104" i="67"/>
  <c r="B104" i="67"/>
  <c r="BM103" i="67"/>
  <c r="BL103" i="67"/>
  <c r="G103" i="156" s="1"/>
  <c r="BK103" i="67"/>
  <c r="BJ103" i="67"/>
  <c r="BI103" i="67"/>
  <c r="H103" i="77" s="1"/>
  <c r="BH103" i="67"/>
  <c r="BG103" i="67"/>
  <c r="H103" i="156" s="1"/>
  <c r="BF103" i="67"/>
  <c r="BE103" i="67"/>
  <c r="F103" i="155" s="1"/>
  <c r="BD103" i="67"/>
  <c r="G103" i="76" s="1"/>
  <c r="BC103" i="67"/>
  <c r="BB103" i="67"/>
  <c r="BA103" i="67"/>
  <c r="AZ103" i="67"/>
  <c r="AY103" i="67"/>
  <c r="C103" i="67"/>
  <c r="B103" i="67"/>
  <c r="BM102" i="67"/>
  <c r="BL102" i="67"/>
  <c r="G102" i="156" s="1"/>
  <c r="BK102" i="67"/>
  <c r="BJ102" i="67"/>
  <c r="BI102" i="67"/>
  <c r="H102" i="77" s="1"/>
  <c r="BH102" i="67"/>
  <c r="BG102" i="67"/>
  <c r="H102" i="156" s="1"/>
  <c r="BF102" i="67"/>
  <c r="BE102" i="67"/>
  <c r="F102" i="155" s="1"/>
  <c r="BD102" i="67"/>
  <c r="G102" i="76" s="1"/>
  <c r="BC102" i="67"/>
  <c r="BB102" i="67"/>
  <c r="BA102" i="67"/>
  <c r="AZ102" i="67"/>
  <c r="AY102" i="67"/>
  <c r="C102" i="67"/>
  <c r="B102" i="67"/>
  <c r="BM101" i="67"/>
  <c r="BL101" i="67"/>
  <c r="G101" i="156" s="1"/>
  <c r="BK101" i="67"/>
  <c r="BJ101" i="67"/>
  <c r="BI101" i="67"/>
  <c r="H101" i="77" s="1"/>
  <c r="BH101" i="67"/>
  <c r="BG101" i="67"/>
  <c r="H101" i="156" s="1"/>
  <c r="BF101" i="67"/>
  <c r="BE101" i="67"/>
  <c r="F101" i="155" s="1"/>
  <c r="BD101" i="67"/>
  <c r="G101" i="76" s="1"/>
  <c r="BC101" i="67"/>
  <c r="BB101" i="67"/>
  <c r="BA101" i="67"/>
  <c r="AZ101" i="67"/>
  <c r="AY101" i="67"/>
  <c r="C101" i="67"/>
  <c r="B101" i="67"/>
  <c r="BM100" i="67"/>
  <c r="BL100" i="67"/>
  <c r="G100" i="156" s="1"/>
  <c r="BK100" i="67"/>
  <c r="BJ100" i="67"/>
  <c r="BI100" i="67"/>
  <c r="H100" i="77" s="1"/>
  <c r="BH100" i="67"/>
  <c r="BG100" i="67"/>
  <c r="H100" i="156" s="1"/>
  <c r="BF100" i="67"/>
  <c r="BE100" i="67"/>
  <c r="F100" i="155" s="1"/>
  <c r="BD100" i="67"/>
  <c r="G100" i="76" s="1"/>
  <c r="BC100" i="67"/>
  <c r="BB100" i="67"/>
  <c r="BA100" i="67"/>
  <c r="AZ100" i="67"/>
  <c r="AY100" i="67"/>
  <c r="C100" i="67"/>
  <c r="B100" i="67"/>
  <c r="BM99" i="67"/>
  <c r="BL99" i="67"/>
  <c r="G99" i="156" s="1"/>
  <c r="BK99" i="67"/>
  <c r="BJ99" i="67"/>
  <c r="BI99" i="67"/>
  <c r="H99" i="77" s="1"/>
  <c r="BH99" i="67"/>
  <c r="BG99" i="67"/>
  <c r="H99" i="156" s="1"/>
  <c r="BF99" i="67"/>
  <c r="BE99" i="67"/>
  <c r="F99" i="155" s="1"/>
  <c r="BD99" i="67"/>
  <c r="G99" i="76" s="1"/>
  <c r="BC99" i="67"/>
  <c r="BB99" i="67"/>
  <c r="BA99" i="67"/>
  <c r="AZ99" i="67"/>
  <c r="AY99" i="67"/>
  <c r="C99" i="67"/>
  <c r="B99" i="67"/>
  <c r="BM98" i="67"/>
  <c r="BL98" i="67"/>
  <c r="G98" i="156" s="1"/>
  <c r="BK98" i="67"/>
  <c r="BJ98" i="67"/>
  <c r="BI98" i="67"/>
  <c r="H98" i="77" s="1"/>
  <c r="BH98" i="67"/>
  <c r="BG98" i="67"/>
  <c r="H98" i="156" s="1"/>
  <c r="BF98" i="67"/>
  <c r="BE98" i="67"/>
  <c r="F98" i="155" s="1"/>
  <c r="BD98" i="67"/>
  <c r="G98" i="76" s="1"/>
  <c r="BC98" i="67"/>
  <c r="BB98" i="67"/>
  <c r="BA98" i="67"/>
  <c r="AZ98" i="67"/>
  <c r="AY98" i="67"/>
  <c r="C98" i="67"/>
  <c r="B98" i="67"/>
  <c r="CD97" i="67"/>
  <c r="BM97" i="67"/>
  <c r="BL97" i="67"/>
  <c r="G97" i="156" s="1"/>
  <c r="BK97" i="67"/>
  <c r="BJ97" i="67"/>
  <c r="BI97" i="67"/>
  <c r="H97" i="77" s="1"/>
  <c r="BH97" i="67"/>
  <c r="BG97" i="67"/>
  <c r="H97" i="156" s="1"/>
  <c r="BF97" i="67"/>
  <c r="BE97" i="67"/>
  <c r="F97" i="155" s="1"/>
  <c r="BD97" i="67"/>
  <c r="G97" i="76" s="1"/>
  <c r="BC97" i="67"/>
  <c r="BB97" i="67"/>
  <c r="BA97" i="67"/>
  <c r="AZ97" i="67"/>
  <c r="AY97" i="67"/>
  <c r="C97" i="67"/>
  <c r="B97" i="67"/>
  <c r="CD96" i="67"/>
  <c r="BM96" i="67"/>
  <c r="BL96" i="67"/>
  <c r="G96" i="156" s="1"/>
  <c r="BK96" i="67"/>
  <c r="BJ96" i="67"/>
  <c r="BI96" i="67"/>
  <c r="H96" i="77" s="1"/>
  <c r="BH96" i="67"/>
  <c r="BG96" i="67"/>
  <c r="H96" i="156" s="1"/>
  <c r="BF96" i="67"/>
  <c r="BE96" i="67"/>
  <c r="F96" i="155" s="1"/>
  <c r="BD96" i="67"/>
  <c r="G96" i="76" s="1"/>
  <c r="BC96" i="67"/>
  <c r="BB96" i="67"/>
  <c r="BA96" i="67"/>
  <c r="AZ96" i="67"/>
  <c r="AY96" i="67"/>
  <c r="C96" i="67"/>
  <c r="B96" i="67"/>
  <c r="CD95" i="67"/>
  <c r="BM95" i="67"/>
  <c r="BL95" i="67"/>
  <c r="G95" i="156" s="1"/>
  <c r="BK95" i="67"/>
  <c r="BJ95" i="67"/>
  <c r="BI95" i="67"/>
  <c r="H95" i="77" s="1"/>
  <c r="BH95" i="67"/>
  <c r="BG95" i="67"/>
  <c r="H95" i="156" s="1"/>
  <c r="BF95" i="67"/>
  <c r="BE95" i="67"/>
  <c r="F95" i="155" s="1"/>
  <c r="BD95" i="67"/>
  <c r="G95" i="76" s="1"/>
  <c r="BC95" i="67"/>
  <c r="BB95" i="67"/>
  <c r="BA95" i="67"/>
  <c r="AZ95" i="67"/>
  <c r="AY95" i="67"/>
  <c r="C95" i="67"/>
  <c r="B95" i="67"/>
  <c r="CD94" i="67"/>
  <c r="BM94" i="67"/>
  <c r="BL94" i="67"/>
  <c r="G94" i="156" s="1"/>
  <c r="BK94" i="67"/>
  <c r="BJ94" i="67"/>
  <c r="BI94" i="67"/>
  <c r="H94" i="77" s="1"/>
  <c r="BH94" i="67"/>
  <c r="BG94" i="67"/>
  <c r="H94" i="156" s="1"/>
  <c r="BF94" i="67"/>
  <c r="BE94" i="67"/>
  <c r="F94" i="155" s="1"/>
  <c r="BD94" i="67"/>
  <c r="G94" i="76" s="1"/>
  <c r="BC94" i="67"/>
  <c r="BB94" i="67"/>
  <c r="BA94" i="67"/>
  <c r="AZ94" i="67"/>
  <c r="AY94" i="67"/>
  <c r="C94" i="67"/>
  <c r="B94" i="67"/>
  <c r="CD93" i="67"/>
  <c r="BM93" i="67"/>
  <c r="BL93" i="67"/>
  <c r="G93" i="156" s="1"/>
  <c r="BK93" i="67"/>
  <c r="BJ93" i="67"/>
  <c r="BI93" i="67"/>
  <c r="H93" i="77" s="1"/>
  <c r="BH93" i="67"/>
  <c r="BG93" i="67"/>
  <c r="H93" i="156" s="1"/>
  <c r="BF93" i="67"/>
  <c r="BE93" i="67"/>
  <c r="F93" i="155" s="1"/>
  <c r="BD93" i="67"/>
  <c r="G93" i="76" s="1"/>
  <c r="BC93" i="67"/>
  <c r="BB93" i="67"/>
  <c r="BA93" i="67"/>
  <c r="AZ93" i="67"/>
  <c r="AY93" i="67"/>
  <c r="C93" i="67"/>
  <c r="B93" i="67"/>
  <c r="CD92" i="67"/>
  <c r="BM92" i="67"/>
  <c r="BL92" i="67"/>
  <c r="G92" i="156" s="1"/>
  <c r="BK92" i="67"/>
  <c r="BJ92" i="67"/>
  <c r="BI92" i="67"/>
  <c r="H92" i="77" s="1"/>
  <c r="BH92" i="67"/>
  <c r="BG92" i="67"/>
  <c r="H92" i="156" s="1"/>
  <c r="BF92" i="67"/>
  <c r="BE92" i="67"/>
  <c r="F92" i="155" s="1"/>
  <c r="BD92" i="67"/>
  <c r="G92" i="76" s="1"/>
  <c r="BC92" i="67"/>
  <c r="BB92" i="67"/>
  <c r="BA92" i="67"/>
  <c r="AZ92" i="67"/>
  <c r="AY92" i="67"/>
  <c r="C92" i="67"/>
  <c r="B92" i="67"/>
  <c r="CD91" i="67"/>
  <c r="BM91" i="67"/>
  <c r="BL91" i="67"/>
  <c r="G91" i="156" s="1"/>
  <c r="BK91" i="67"/>
  <c r="BJ91" i="67"/>
  <c r="BI91" i="67"/>
  <c r="H91" i="77" s="1"/>
  <c r="BH91" i="67"/>
  <c r="BG91" i="67"/>
  <c r="H91" i="156" s="1"/>
  <c r="BF91" i="67"/>
  <c r="BE91" i="67"/>
  <c r="F91" i="155" s="1"/>
  <c r="BD91" i="67"/>
  <c r="G91" i="76" s="1"/>
  <c r="BC91" i="67"/>
  <c r="BB91" i="67"/>
  <c r="BA91" i="67"/>
  <c r="AZ91" i="67"/>
  <c r="AY91" i="67"/>
  <c r="C91" i="67"/>
  <c r="B91" i="67"/>
  <c r="CD90" i="67"/>
  <c r="BM90" i="67"/>
  <c r="BL90" i="67"/>
  <c r="G90" i="156" s="1"/>
  <c r="BK90" i="67"/>
  <c r="BJ90" i="67"/>
  <c r="BI90" i="67"/>
  <c r="H90" i="77" s="1"/>
  <c r="BH90" i="67"/>
  <c r="BG90" i="67"/>
  <c r="H90" i="156" s="1"/>
  <c r="BF90" i="67"/>
  <c r="BE90" i="67"/>
  <c r="F90" i="155" s="1"/>
  <c r="BD90" i="67"/>
  <c r="G90" i="76" s="1"/>
  <c r="BC90" i="67"/>
  <c r="BB90" i="67"/>
  <c r="BA90" i="67"/>
  <c r="AZ90" i="67"/>
  <c r="AY90" i="67"/>
  <c r="C90" i="67"/>
  <c r="B90" i="67"/>
  <c r="CD89" i="67"/>
  <c r="BM89" i="67"/>
  <c r="BL89" i="67"/>
  <c r="G89" i="156" s="1"/>
  <c r="BK89" i="67"/>
  <c r="BJ89" i="67"/>
  <c r="BI89" i="67"/>
  <c r="H89" i="77" s="1"/>
  <c r="BH89" i="67"/>
  <c r="BG89" i="67"/>
  <c r="H89" i="156" s="1"/>
  <c r="BF89" i="67"/>
  <c r="BE89" i="67"/>
  <c r="F89" i="155" s="1"/>
  <c r="BD89" i="67"/>
  <c r="G89" i="76" s="1"/>
  <c r="BC89" i="67"/>
  <c r="BB89" i="67"/>
  <c r="BA89" i="67"/>
  <c r="AZ89" i="67"/>
  <c r="AY89" i="67"/>
  <c r="AV89" i="67"/>
  <c r="AU89" i="67"/>
  <c r="AT89" i="67"/>
  <c r="AS89" i="67"/>
  <c r="C89" i="67"/>
  <c r="B89" i="67"/>
  <c r="CD88" i="67"/>
  <c r="BM88" i="67"/>
  <c r="BL88" i="67"/>
  <c r="G88" i="156" s="1"/>
  <c r="BK88" i="67"/>
  <c r="BJ88" i="67"/>
  <c r="BI88" i="67"/>
  <c r="H88" i="77" s="1"/>
  <c r="BH88" i="67"/>
  <c r="BG88" i="67"/>
  <c r="H88" i="156" s="1"/>
  <c r="BF88" i="67"/>
  <c r="BE88" i="67"/>
  <c r="F88" i="155" s="1"/>
  <c r="BD88" i="67"/>
  <c r="G88" i="76" s="1"/>
  <c r="BC88" i="67"/>
  <c r="BB88" i="67"/>
  <c r="BA88" i="67"/>
  <c r="AZ88" i="67"/>
  <c r="AY88" i="67"/>
  <c r="AV88" i="67"/>
  <c r="AU88" i="67"/>
  <c r="AT88" i="67"/>
  <c r="AS88" i="67"/>
  <c r="C88" i="67"/>
  <c r="B88" i="67"/>
  <c r="CD87" i="67"/>
  <c r="BM87" i="67"/>
  <c r="BL87" i="67"/>
  <c r="G87" i="156" s="1"/>
  <c r="BK87" i="67"/>
  <c r="BJ87" i="67"/>
  <c r="BI87" i="67"/>
  <c r="H87" i="77" s="1"/>
  <c r="BH87" i="67"/>
  <c r="BG87" i="67"/>
  <c r="H87" i="156" s="1"/>
  <c r="BF87" i="67"/>
  <c r="BE87" i="67"/>
  <c r="F87" i="155" s="1"/>
  <c r="BD87" i="67"/>
  <c r="G87" i="76" s="1"/>
  <c r="BC87" i="67"/>
  <c r="BB87" i="67"/>
  <c r="BA87" i="67"/>
  <c r="AZ87" i="67"/>
  <c r="AY87" i="67"/>
  <c r="AV87" i="67"/>
  <c r="AU87" i="67"/>
  <c r="AT87" i="67"/>
  <c r="AS87" i="67"/>
  <c r="C87" i="67"/>
  <c r="B87" i="67"/>
  <c r="CD86" i="67"/>
  <c r="BM86" i="67"/>
  <c r="BL86" i="67"/>
  <c r="G86" i="156" s="1"/>
  <c r="BK86" i="67"/>
  <c r="BJ86" i="67"/>
  <c r="BI86" i="67"/>
  <c r="H86" i="77" s="1"/>
  <c r="BH86" i="67"/>
  <c r="BG86" i="67"/>
  <c r="H86" i="156" s="1"/>
  <c r="BF86" i="67"/>
  <c r="BE86" i="67"/>
  <c r="F86" i="155" s="1"/>
  <c r="BD86" i="67"/>
  <c r="G86" i="76" s="1"/>
  <c r="BC86" i="67"/>
  <c r="BB86" i="67"/>
  <c r="BA86" i="67"/>
  <c r="AZ86" i="67"/>
  <c r="AY86" i="67"/>
  <c r="AV86" i="67"/>
  <c r="AU86" i="67"/>
  <c r="AT86" i="67"/>
  <c r="AS86" i="67"/>
  <c r="C86" i="67"/>
  <c r="B86" i="67"/>
  <c r="CD85" i="67"/>
  <c r="BM85" i="67"/>
  <c r="BL85" i="67"/>
  <c r="G85" i="156" s="1"/>
  <c r="BK85" i="67"/>
  <c r="BJ85" i="67"/>
  <c r="BI85" i="67"/>
  <c r="H85" i="77" s="1"/>
  <c r="BH85" i="67"/>
  <c r="BG85" i="67"/>
  <c r="H85" i="156" s="1"/>
  <c r="BF85" i="67"/>
  <c r="BE85" i="67"/>
  <c r="F85" i="155" s="1"/>
  <c r="BD85" i="67"/>
  <c r="G85" i="76" s="1"/>
  <c r="BC85" i="67"/>
  <c r="BB85" i="67"/>
  <c r="BA85" i="67"/>
  <c r="AZ85" i="67"/>
  <c r="AY85" i="67"/>
  <c r="AV85" i="67"/>
  <c r="AU85" i="67"/>
  <c r="AT85" i="67"/>
  <c r="AS85" i="67"/>
  <c r="C85" i="67"/>
  <c r="B85" i="67"/>
  <c r="CD84" i="67"/>
  <c r="BM84" i="67"/>
  <c r="BL84" i="67"/>
  <c r="G84" i="156" s="1"/>
  <c r="BK84" i="67"/>
  <c r="BJ84" i="67"/>
  <c r="BI84" i="67"/>
  <c r="H84" i="77" s="1"/>
  <c r="BH84" i="67"/>
  <c r="BG84" i="67"/>
  <c r="H84" i="156" s="1"/>
  <c r="BF84" i="67"/>
  <c r="BE84" i="67"/>
  <c r="F84" i="155" s="1"/>
  <c r="BD84" i="67"/>
  <c r="G84" i="76" s="1"/>
  <c r="BC84" i="67"/>
  <c r="BB84" i="67"/>
  <c r="BA84" i="67"/>
  <c r="AZ84" i="67"/>
  <c r="AY84" i="67"/>
  <c r="AV84" i="67"/>
  <c r="AU84" i="67"/>
  <c r="AT84" i="67"/>
  <c r="AS84" i="67"/>
  <c r="C84" i="67"/>
  <c r="B84" i="67"/>
  <c r="CD83" i="67"/>
  <c r="BM83" i="67"/>
  <c r="BL83" i="67"/>
  <c r="G83" i="156" s="1"/>
  <c r="BK83" i="67"/>
  <c r="BJ83" i="67"/>
  <c r="BI83" i="67"/>
  <c r="H83" i="77" s="1"/>
  <c r="BH83" i="67"/>
  <c r="BG83" i="67"/>
  <c r="H83" i="156" s="1"/>
  <c r="BF83" i="67"/>
  <c r="BE83" i="67"/>
  <c r="F83" i="155" s="1"/>
  <c r="BD83" i="67"/>
  <c r="G83" i="76" s="1"/>
  <c r="BC83" i="67"/>
  <c r="BB83" i="67"/>
  <c r="BA83" i="67"/>
  <c r="AZ83" i="67"/>
  <c r="AY83" i="67"/>
  <c r="AV83" i="67"/>
  <c r="AU83" i="67"/>
  <c r="AT83" i="67"/>
  <c r="AS83" i="67"/>
  <c r="C83" i="67"/>
  <c r="B83" i="67"/>
  <c r="CD82" i="67"/>
  <c r="BM82" i="67"/>
  <c r="BL82" i="67"/>
  <c r="G82" i="156" s="1"/>
  <c r="BK82" i="67"/>
  <c r="BJ82" i="67"/>
  <c r="BI82" i="67"/>
  <c r="H82" i="77" s="1"/>
  <c r="BH82" i="67"/>
  <c r="BG82" i="67"/>
  <c r="H82" i="156" s="1"/>
  <c r="BF82" i="67"/>
  <c r="BE82" i="67"/>
  <c r="F82" i="155" s="1"/>
  <c r="BD82" i="67"/>
  <c r="G82" i="76" s="1"/>
  <c r="BC82" i="67"/>
  <c r="BB82" i="67"/>
  <c r="BA82" i="67"/>
  <c r="AZ82" i="67"/>
  <c r="AY82" i="67"/>
  <c r="AV82" i="67"/>
  <c r="AU82" i="67"/>
  <c r="AT82" i="67"/>
  <c r="AS82" i="67"/>
  <c r="C82" i="67"/>
  <c r="B82" i="67"/>
  <c r="CD81" i="67"/>
  <c r="BM81" i="67"/>
  <c r="BL81" i="67"/>
  <c r="G81" i="156" s="1"/>
  <c r="BK81" i="67"/>
  <c r="BJ81" i="67"/>
  <c r="BI81" i="67"/>
  <c r="H81" i="77" s="1"/>
  <c r="BH81" i="67"/>
  <c r="BG81" i="67"/>
  <c r="H81" i="156" s="1"/>
  <c r="BF81" i="67"/>
  <c r="BE81" i="67"/>
  <c r="F81" i="155" s="1"/>
  <c r="BD81" i="67"/>
  <c r="G81" i="76" s="1"/>
  <c r="BC81" i="67"/>
  <c r="BB81" i="67"/>
  <c r="BA81" i="67"/>
  <c r="AZ81" i="67"/>
  <c r="AY81" i="67"/>
  <c r="AV81" i="67"/>
  <c r="AU81" i="67"/>
  <c r="AT81" i="67"/>
  <c r="AS81" i="67"/>
  <c r="C81" i="67"/>
  <c r="B81" i="67"/>
  <c r="CD80" i="67"/>
  <c r="BM80" i="67"/>
  <c r="BL80" i="67"/>
  <c r="G80" i="156" s="1"/>
  <c r="BK80" i="67"/>
  <c r="BJ80" i="67"/>
  <c r="BI80" i="67"/>
  <c r="H80" i="77" s="1"/>
  <c r="BH80" i="67"/>
  <c r="BG80" i="67"/>
  <c r="H80" i="156" s="1"/>
  <c r="BF80" i="67"/>
  <c r="BE80" i="67"/>
  <c r="F80" i="155" s="1"/>
  <c r="BD80" i="67"/>
  <c r="G80" i="76" s="1"/>
  <c r="BC80" i="67"/>
  <c r="BB80" i="67"/>
  <c r="BA80" i="67"/>
  <c r="AZ80" i="67"/>
  <c r="AY80" i="67"/>
  <c r="AV80" i="67"/>
  <c r="AU80" i="67"/>
  <c r="AT80" i="67"/>
  <c r="AS80" i="67"/>
  <c r="C80" i="67"/>
  <c r="B80" i="67"/>
  <c r="CD79" i="67"/>
  <c r="BM79" i="67"/>
  <c r="BL79" i="67"/>
  <c r="G79" i="156" s="1"/>
  <c r="BK79" i="67"/>
  <c r="BJ79" i="67"/>
  <c r="BI79" i="67"/>
  <c r="H79" i="77" s="1"/>
  <c r="BH79" i="67"/>
  <c r="BG79" i="67"/>
  <c r="H79" i="156" s="1"/>
  <c r="BF79" i="67"/>
  <c r="BE79" i="67"/>
  <c r="F79" i="155" s="1"/>
  <c r="BD79" i="67"/>
  <c r="G79" i="76" s="1"/>
  <c r="BC79" i="67"/>
  <c r="BB79" i="67"/>
  <c r="BA79" i="67"/>
  <c r="AZ79" i="67"/>
  <c r="AY79" i="67"/>
  <c r="AV79" i="67"/>
  <c r="AU79" i="67"/>
  <c r="AT79" i="67"/>
  <c r="AS79" i="67"/>
  <c r="C79" i="67"/>
  <c r="B79" i="67"/>
  <c r="CD78" i="67"/>
  <c r="BM78" i="67"/>
  <c r="BL78" i="67"/>
  <c r="G78" i="156" s="1"/>
  <c r="BK78" i="67"/>
  <c r="BJ78" i="67"/>
  <c r="BI78" i="67"/>
  <c r="H78" i="77" s="1"/>
  <c r="BH78" i="67"/>
  <c r="BG78" i="67"/>
  <c r="H78" i="156" s="1"/>
  <c r="BF78" i="67"/>
  <c r="BE78" i="67"/>
  <c r="F78" i="155" s="1"/>
  <c r="BD78" i="67"/>
  <c r="G78" i="76" s="1"/>
  <c r="BC78" i="67"/>
  <c r="BB78" i="67"/>
  <c r="BA78" i="67"/>
  <c r="AZ78" i="67"/>
  <c r="AY78" i="67"/>
  <c r="AV78" i="67"/>
  <c r="AU78" i="67"/>
  <c r="AT78" i="67"/>
  <c r="AS78" i="67"/>
  <c r="C78" i="67"/>
  <c r="B78" i="67"/>
  <c r="CD77" i="67"/>
  <c r="BM77" i="67"/>
  <c r="BL77" i="67"/>
  <c r="G77" i="156" s="1"/>
  <c r="BK77" i="67"/>
  <c r="BJ77" i="67"/>
  <c r="BI77" i="67"/>
  <c r="H77" i="77" s="1"/>
  <c r="BH77" i="67"/>
  <c r="BG77" i="67"/>
  <c r="H77" i="156" s="1"/>
  <c r="BF77" i="67"/>
  <c r="BE77" i="67"/>
  <c r="F77" i="155" s="1"/>
  <c r="BD77" i="67"/>
  <c r="G77" i="76" s="1"/>
  <c r="BC77" i="67"/>
  <c r="BB77" i="67"/>
  <c r="BA77" i="67"/>
  <c r="AZ77" i="67"/>
  <c r="AY77" i="67"/>
  <c r="AV77" i="67"/>
  <c r="AU77" i="67"/>
  <c r="AT77" i="67"/>
  <c r="AS77" i="67"/>
  <c r="C77" i="67"/>
  <c r="B77" i="67"/>
  <c r="CD76" i="67"/>
  <c r="BM76" i="67"/>
  <c r="BL76" i="67"/>
  <c r="G76" i="156" s="1"/>
  <c r="BK76" i="67"/>
  <c r="BJ76" i="67"/>
  <c r="BI76" i="67"/>
  <c r="H76" i="77" s="1"/>
  <c r="BH76" i="67"/>
  <c r="BG76" i="67"/>
  <c r="H76" i="156" s="1"/>
  <c r="BF76" i="67"/>
  <c r="BE76" i="67"/>
  <c r="F76" i="155" s="1"/>
  <c r="BD76" i="67"/>
  <c r="G76" i="76" s="1"/>
  <c r="BC76" i="67"/>
  <c r="BB76" i="67"/>
  <c r="BA76" i="67"/>
  <c r="AZ76" i="67"/>
  <c r="AY76" i="67"/>
  <c r="AV76" i="67"/>
  <c r="AU76" i="67"/>
  <c r="AT76" i="67"/>
  <c r="AS76" i="67"/>
  <c r="C76" i="67"/>
  <c r="B76" i="67"/>
  <c r="CD75" i="67"/>
  <c r="BM75" i="67"/>
  <c r="BL75" i="67"/>
  <c r="G75" i="156" s="1"/>
  <c r="BK75" i="67"/>
  <c r="BJ75" i="67"/>
  <c r="BI75" i="67"/>
  <c r="H75" i="77" s="1"/>
  <c r="BH75" i="67"/>
  <c r="BG75" i="67"/>
  <c r="H75" i="156" s="1"/>
  <c r="BF75" i="67"/>
  <c r="BE75" i="67"/>
  <c r="F75" i="155" s="1"/>
  <c r="BD75" i="67"/>
  <c r="G75" i="76" s="1"/>
  <c r="BC75" i="67"/>
  <c r="BB75" i="67"/>
  <c r="BA75" i="67"/>
  <c r="AZ75" i="67"/>
  <c r="AY75" i="67"/>
  <c r="AV75" i="67"/>
  <c r="AU75" i="67"/>
  <c r="AT75" i="67"/>
  <c r="AS75" i="67"/>
  <c r="C75" i="67"/>
  <c r="B75" i="67"/>
  <c r="CD74" i="67"/>
  <c r="BM74" i="67"/>
  <c r="BL74" i="67"/>
  <c r="G74" i="156" s="1"/>
  <c r="BK74" i="67"/>
  <c r="BJ74" i="67"/>
  <c r="BI74" i="67"/>
  <c r="H74" i="77" s="1"/>
  <c r="BH74" i="67"/>
  <c r="BG74" i="67"/>
  <c r="H74" i="156" s="1"/>
  <c r="BF74" i="67"/>
  <c r="BE74" i="67"/>
  <c r="F74" i="155" s="1"/>
  <c r="BD74" i="67"/>
  <c r="G74" i="76" s="1"/>
  <c r="BC74" i="67"/>
  <c r="BB74" i="67"/>
  <c r="BA74" i="67"/>
  <c r="AZ74" i="67"/>
  <c r="AY74" i="67"/>
  <c r="AV74" i="67"/>
  <c r="AU74" i="67"/>
  <c r="AT74" i="67"/>
  <c r="AS74" i="67"/>
  <c r="C74" i="67"/>
  <c r="B74" i="67"/>
  <c r="CD73" i="67"/>
  <c r="BY73" i="67"/>
  <c r="BX73" i="67"/>
  <c r="BW73" i="67"/>
  <c r="BV73" i="67"/>
  <c r="BU73" i="67"/>
  <c r="BT73" i="67"/>
  <c r="BS73" i="67"/>
  <c r="BR73" i="67"/>
  <c r="BQ73" i="67"/>
  <c r="BP73" i="67"/>
  <c r="BO73" i="67"/>
  <c r="BN73" i="67"/>
  <c r="BM73" i="67"/>
  <c r="BL73" i="67"/>
  <c r="G73" i="156" s="1"/>
  <c r="BK73" i="67"/>
  <c r="BJ73" i="67"/>
  <c r="BI73" i="67"/>
  <c r="H73" i="77" s="1"/>
  <c r="BH73" i="67"/>
  <c r="BG73" i="67"/>
  <c r="H73" i="156" s="1"/>
  <c r="BF73" i="67"/>
  <c r="BE73" i="67"/>
  <c r="F73" i="155" s="1"/>
  <c r="BD73" i="67"/>
  <c r="G73" i="76" s="1"/>
  <c r="BC73" i="67"/>
  <c r="BB73" i="67"/>
  <c r="BA73" i="67"/>
  <c r="AZ73" i="67"/>
  <c r="AY73" i="67"/>
  <c r="AV73" i="67"/>
  <c r="AU73" i="67"/>
  <c r="AT73" i="67"/>
  <c r="AS73" i="67"/>
  <c r="C73" i="67"/>
  <c r="B73" i="67"/>
  <c r="CD72" i="67"/>
  <c r="BY72" i="67"/>
  <c r="BX72" i="67"/>
  <c r="BW72" i="67"/>
  <c r="BV72" i="67"/>
  <c r="BU72" i="67"/>
  <c r="BT72" i="67"/>
  <c r="BS72" i="67"/>
  <c r="BR72" i="67"/>
  <c r="BQ72" i="67"/>
  <c r="BP72" i="67"/>
  <c r="BO72" i="67"/>
  <c r="BN72" i="67"/>
  <c r="BM72" i="67"/>
  <c r="BL72" i="67"/>
  <c r="G72" i="156" s="1"/>
  <c r="BK72" i="67"/>
  <c r="BJ72" i="67"/>
  <c r="BI72" i="67"/>
  <c r="H72" i="77" s="1"/>
  <c r="BH72" i="67"/>
  <c r="BG72" i="67"/>
  <c r="H72" i="156" s="1"/>
  <c r="BF72" i="67"/>
  <c r="BE72" i="67"/>
  <c r="F72" i="155" s="1"/>
  <c r="BD72" i="67"/>
  <c r="G72" i="76" s="1"/>
  <c r="BC72" i="67"/>
  <c r="BB72" i="67"/>
  <c r="BA72" i="67"/>
  <c r="AZ72" i="67"/>
  <c r="AY72" i="67"/>
  <c r="AV72" i="67"/>
  <c r="AU72" i="67"/>
  <c r="AT72" i="67"/>
  <c r="AS72" i="67"/>
  <c r="C72" i="67"/>
  <c r="B72" i="67"/>
  <c r="CD71" i="67"/>
  <c r="BY71" i="67"/>
  <c r="BX71" i="67"/>
  <c r="BW71" i="67"/>
  <c r="BV71" i="67"/>
  <c r="BU71" i="67"/>
  <c r="BT71" i="67"/>
  <c r="BS71" i="67"/>
  <c r="BR71" i="67"/>
  <c r="BQ71" i="67"/>
  <c r="BP71" i="67"/>
  <c r="BO71" i="67"/>
  <c r="BN71" i="67"/>
  <c r="BM71" i="67"/>
  <c r="BL71" i="67"/>
  <c r="G71" i="156" s="1"/>
  <c r="BK71" i="67"/>
  <c r="BJ71" i="67"/>
  <c r="BI71" i="67"/>
  <c r="H71" i="77" s="1"/>
  <c r="BH71" i="67"/>
  <c r="BG71" i="67"/>
  <c r="H71" i="156" s="1"/>
  <c r="BF71" i="67"/>
  <c r="BE71" i="67"/>
  <c r="F71" i="155" s="1"/>
  <c r="BD71" i="67"/>
  <c r="G71" i="76" s="1"/>
  <c r="BC71" i="67"/>
  <c r="BB71" i="67"/>
  <c r="BA71" i="67"/>
  <c r="AZ71" i="67"/>
  <c r="AY71" i="67"/>
  <c r="AV71" i="67"/>
  <c r="AU71" i="67"/>
  <c r="AT71" i="67"/>
  <c r="AS71" i="67"/>
  <c r="C71" i="67"/>
  <c r="B71" i="67"/>
  <c r="CD70" i="67"/>
  <c r="BY70" i="67"/>
  <c r="BX70" i="67"/>
  <c r="BW70" i="67"/>
  <c r="BV70" i="67"/>
  <c r="BU70" i="67"/>
  <c r="BT70" i="67"/>
  <c r="BS70" i="67"/>
  <c r="BR70" i="67"/>
  <c r="BQ70" i="67"/>
  <c r="BP70" i="67"/>
  <c r="BO70" i="67"/>
  <c r="BN70" i="67"/>
  <c r="BM70" i="67"/>
  <c r="BL70" i="67"/>
  <c r="G70" i="156" s="1"/>
  <c r="BK70" i="67"/>
  <c r="BJ70" i="67"/>
  <c r="BI70" i="67"/>
  <c r="H70" i="77" s="1"/>
  <c r="BH70" i="67"/>
  <c r="BG70" i="67"/>
  <c r="H70" i="156" s="1"/>
  <c r="BF70" i="67"/>
  <c r="BE70" i="67"/>
  <c r="F70" i="155" s="1"/>
  <c r="BD70" i="67"/>
  <c r="G70" i="76" s="1"/>
  <c r="BC70" i="67"/>
  <c r="BB70" i="67"/>
  <c r="BA70" i="67"/>
  <c r="AZ70" i="67"/>
  <c r="AY70" i="67"/>
  <c r="AV70" i="67"/>
  <c r="AU70" i="67"/>
  <c r="AT70" i="67"/>
  <c r="AS70" i="67"/>
  <c r="C70" i="67"/>
  <c r="B70" i="67"/>
  <c r="CD69" i="67"/>
  <c r="BY69" i="67"/>
  <c r="BX69" i="67"/>
  <c r="BW69" i="67"/>
  <c r="BV69" i="67"/>
  <c r="BU69" i="67"/>
  <c r="BT69" i="67"/>
  <c r="BS69" i="67"/>
  <c r="BR69" i="67"/>
  <c r="BQ69" i="67"/>
  <c r="BP69" i="67"/>
  <c r="BO69" i="67"/>
  <c r="BN69" i="67"/>
  <c r="BM69" i="67"/>
  <c r="BL69" i="67"/>
  <c r="G69" i="156" s="1"/>
  <c r="BK69" i="67"/>
  <c r="BJ69" i="67"/>
  <c r="BI69" i="67"/>
  <c r="H69" i="77" s="1"/>
  <c r="BH69" i="67"/>
  <c r="BG69" i="67"/>
  <c r="H69" i="156" s="1"/>
  <c r="BF69" i="67"/>
  <c r="BE69" i="67"/>
  <c r="F69" i="155" s="1"/>
  <c r="BD69" i="67"/>
  <c r="G69" i="76" s="1"/>
  <c r="BC69" i="67"/>
  <c r="BB69" i="67"/>
  <c r="BA69" i="67"/>
  <c r="AZ69" i="67"/>
  <c r="AY69" i="67"/>
  <c r="AV69" i="67"/>
  <c r="AU69" i="67"/>
  <c r="AT69" i="67"/>
  <c r="AS69" i="67"/>
  <c r="C69" i="67"/>
  <c r="B69" i="67"/>
  <c r="CD68" i="67"/>
  <c r="BY68" i="67"/>
  <c r="BX68" i="67"/>
  <c r="BW68" i="67"/>
  <c r="BV68" i="67"/>
  <c r="BU68" i="67"/>
  <c r="BT68" i="67"/>
  <c r="BS68" i="67"/>
  <c r="BR68" i="67"/>
  <c r="BQ68" i="67"/>
  <c r="BP68" i="67"/>
  <c r="BO68" i="67"/>
  <c r="BN68" i="67"/>
  <c r="BM68" i="67"/>
  <c r="BL68" i="67"/>
  <c r="G68" i="156" s="1"/>
  <c r="BK68" i="67"/>
  <c r="BJ68" i="67"/>
  <c r="BI68" i="67"/>
  <c r="H68" i="77" s="1"/>
  <c r="BH68" i="67"/>
  <c r="BG68" i="67"/>
  <c r="H68" i="156" s="1"/>
  <c r="BF68" i="67"/>
  <c r="BE68" i="67"/>
  <c r="F68" i="155" s="1"/>
  <c r="BD68" i="67"/>
  <c r="G68" i="76" s="1"/>
  <c r="BC68" i="67"/>
  <c r="BB68" i="67"/>
  <c r="BA68" i="67"/>
  <c r="AZ68" i="67"/>
  <c r="AY68" i="67"/>
  <c r="AV68" i="67"/>
  <c r="AU68" i="67"/>
  <c r="AT68" i="67"/>
  <c r="AS68" i="67"/>
  <c r="C68" i="67"/>
  <c r="B68" i="67"/>
  <c r="CD67" i="67"/>
  <c r="BY67" i="67"/>
  <c r="BX67" i="67"/>
  <c r="BW67" i="67"/>
  <c r="BV67" i="67"/>
  <c r="BU67" i="67"/>
  <c r="BT67" i="67"/>
  <c r="BS67" i="67"/>
  <c r="BR67" i="67"/>
  <c r="BQ67" i="67"/>
  <c r="BP67" i="67"/>
  <c r="BO67" i="67"/>
  <c r="BN67" i="67"/>
  <c r="BM67" i="67"/>
  <c r="BL67" i="67"/>
  <c r="G67" i="156" s="1"/>
  <c r="BK67" i="67"/>
  <c r="BJ67" i="67"/>
  <c r="BI67" i="67"/>
  <c r="H67" i="77" s="1"/>
  <c r="BH67" i="67"/>
  <c r="BG67" i="67"/>
  <c r="H67" i="156" s="1"/>
  <c r="BF67" i="67"/>
  <c r="BE67" i="67"/>
  <c r="F67" i="155" s="1"/>
  <c r="BD67" i="67"/>
  <c r="G67" i="76" s="1"/>
  <c r="BC67" i="67"/>
  <c r="BB67" i="67"/>
  <c r="BA67" i="67"/>
  <c r="AZ67" i="67"/>
  <c r="AY67" i="67"/>
  <c r="AV67" i="67"/>
  <c r="AU67" i="67"/>
  <c r="AT67" i="67"/>
  <c r="AS67" i="67"/>
  <c r="C67" i="67"/>
  <c r="B67" i="67"/>
  <c r="CD66" i="67"/>
  <c r="BY66" i="67"/>
  <c r="BX66" i="67"/>
  <c r="BW66" i="67"/>
  <c r="BV66" i="67"/>
  <c r="BU66" i="67"/>
  <c r="BT66" i="67"/>
  <c r="BS66" i="67"/>
  <c r="BR66" i="67"/>
  <c r="BQ66" i="67"/>
  <c r="BP66" i="67"/>
  <c r="BO66" i="67"/>
  <c r="BN66" i="67"/>
  <c r="BM66" i="67"/>
  <c r="BL66" i="67"/>
  <c r="G66" i="156" s="1"/>
  <c r="BK66" i="67"/>
  <c r="BJ66" i="67"/>
  <c r="BI66" i="67"/>
  <c r="H66" i="77" s="1"/>
  <c r="BH66" i="67"/>
  <c r="BG66" i="67"/>
  <c r="H66" i="156" s="1"/>
  <c r="BF66" i="67"/>
  <c r="BE66" i="67"/>
  <c r="F66" i="155" s="1"/>
  <c r="BD66" i="67"/>
  <c r="G66" i="76" s="1"/>
  <c r="BC66" i="67"/>
  <c r="BB66" i="67"/>
  <c r="BA66" i="67"/>
  <c r="AZ66" i="67"/>
  <c r="AY66" i="67"/>
  <c r="AV66" i="67"/>
  <c r="AU66" i="67"/>
  <c r="AT66" i="67"/>
  <c r="AS66" i="67"/>
  <c r="C66" i="67"/>
  <c r="B66" i="67"/>
  <c r="CD65" i="67"/>
  <c r="BY65" i="67"/>
  <c r="BX65" i="67"/>
  <c r="BW65" i="67"/>
  <c r="BV65" i="67"/>
  <c r="BU65" i="67"/>
  <c r="BT65" i="67"/>
  <c r="BS65" i="67"/>
  <c r="BR65" i="67"/>
  <c r="BQ65" i="67"/>
  <c r="BP65" i="67"/>
  <c r="BO65" i="67"/>
  <c r="BN65" i="67"/>
  <c r="BM65" i="67"/>
  <c r="BL65" i="67"/>
  <c r="G65" i="156" s="1"/>
  <c r="BK65" i="67"/>
  <c r="BJ65" i="67"/>
  <c r="BI65" i="67"/>
  <c r="H65" i="77" s="1"/>
  <c r="BH65" i="67"/>
  <c r="BG65" i="67"/>
  <c r="H65" i="156" s="1"/>
  <c r="BF65" i="67"/>
  <c r="BE65" i="67"/>
  <c r="F65" i="155" s="1"/>
  <c r="BD65" i="67"/>
  <c r="G65" i="76" s="1"/>
  <c r="BC65" i="67"/>
  <c r="BB65" i="67"/>
  <c r="BA65" i="67"/>
  <c r="AZ65" i="67"/>
  <c r="AY65" i="67"/>
  <c r="AV65" i="67"/>
  <c r="AU65" i="67"/>
  <c r="AT65" i="67"/>
  <c r="AS65" i="67"/>
  <c r="C65" i="67"/>
  <c r="B65" i="67"/>
  <c r="CD64" i="67"/>
  <c r="BY64" i="67"/>
  <c r="BX64" i="67"/>
  <c r="BW64" i="67"/>
  <c r="BV64" i="67"/>
  <c r="BU64" i="67"/>
  <c r="BT64" i="67"/>
  <c r="BS64" i="67"/>
  <c r="BR64" i="67"/>
  <c r="BQ64" i="67"/>
  <c r="BP64" i="67"/>
  <c r="BO64" i="67"/>
  <c r="BN64" i="67"/>
  <c r="BM64" i="67"/>
  <c r="BL64" i="67"/>
  <c r="G64" i="156" s="1"/>
  <c r="BK64" i="67"/>
  <c r="BJ64" i="67"/>
  <c r="BI64" i="67"/>
  <c r="H64" i="77" s="1"/>
  <c r="BH64" i="67"/>
  <c r="BG64" i="67"/>
  <c r="H64" i="156" s="1"/>
  <c r="BF64" i="67"/>
  <c r="BE64" i="67"/>
  <c r="F64" i="155" s="1"/>
  <c r="BD64" i="67"/>
  <c r="G64" i="76" s="1"/>
  <c r="BC64" i="67"/>
  <c r="BB64" i="67"/>
  <c r="BA64" i="67"/>
  <c r="AZ64" i="67"/>
  <c r="AY64" i="67"/>
  <c r="AV64" i="67"/>
  <c r="AU64" i="67"/>
  <c r="AT64" i="67"/>
  <c r="AS64" i="67"/>
  <c r="C64" i="67"/>
  <c r="B64" i="67"/>
  <c r="CD63" i="67"/>
  <c r="BY63" i="67"/>
  <c r="BX63" i="67"/>
  <c r="BW63" i="67"/>
  <c r="BV63" i="67"/>
  <c r="BU63" i="67"/>
  <c r="BT63" i="67"/>
  <c r="BS63" i="67"/>
  <c r="BR63" i="67"/>
  <c r="BQ63" i="67"/>
  <c r="BP63" i="67"/>
  <c r="BO63" i="67"/>
  <c r="BN63" i="67"/>
  <c r="BM63" i="67"/>
  <c r="BL63" i="67"/>
  <c r="G63" i="156" s="1"/>
  <c r="BK63" i="67"/>
  <c r="BJ63" i="67"/>
  <c r="BI63" i="67"/>
  <c r="H63" i="77" s="1"/>
  <c r="BH63" i="67"/>
  <c r="BG63" i="67"/>
  <c r="H63" i="156" s="1"/>
  <c r="BF63" i="67"/>
  <c r="BE63" i="67"/>
  <c r="F63" i="155" s="1"/>
  <c r="BD63" i="67"/>
  <c r="G63" i="76" s="1"/>
  <c r="BC63" i="67"/>
  <c r="BB63" i="67"/>
  <c r="BA63" i="67"/>
  <c r="AZ63" i="67"/>
  <c r="AY63" i="67"/>
  <c r="AV63" i="67"/>
  <c r="AU63" i="67"/>
  <c r="AT63" i="67"/>
  <c r="AS63" i="67"/>
  <c r="C63" i="67"/>
  <c r="B63" i="67"/>
  <c r="CD62" i="67"/>
  <c r="BY62" i="67"/>
  <c r="BX62" i="67"/>
  <c r="BW62" i="67"/>
  <c r="BV62" i="67"/>
  <c r="BU62" i="67"/>
  <c r="BT62" i="67"/>
  <c r="BS62" i="67"/>
  <c r="BR62" i="67"/>
  <c r="BQ62" i="67"/>
  <c r="BP62" i="67"/>
  <c r="BO62" i="67"/>
  <c r="BN62" i="67"/>
  <c r="BM62" i="67"/>
  <c r="BL62" i="67"/>
  <c r="G62" i="156" s="1"/>
  <c r="BK62" i="67"/>
  <c r="BJ62" i="67"/>
  <c r="BI62" i="67"/>
  <c r="H62" i="77" s="1"/>
  <c r="BH62" i="67"/>
  <c r="BG62" i="67"/>
  <c r="H62" i="156" s="1"/>
  <c r="BF62" i="67"/>
  <c r="BE62" i="67"/>
  <c r="F62" i="155" s="1"/>
  <c r="BD62" i="67"/>
  <c r="G62" i="76" s="1"/>
  <c r="BC62" i="67"/>
  <c r="BB62" i="67"/>
  <c r="BA62" i="67"/>
  <c r="AZ62" i="67"/>
  <c r="AY62" i="67"/>
  <c r="AV62" i="67"/>
  <c r="AU62" i="67"/>
  <c r="AT62" i="67"/>
  <c r="AS62" i="67"/>
  <c r="C62" i="67"/>
  <c r="B62" i="67"/>
  <c r="CD61" i="67"/>
  <c r="CB61" i="67"/>
  <c r="L61" i="156" s="1"/>
  <c r="CA61" i="67"/>
  <c r="BZ61" i="67"/>
  <c r="BM61" i="67"/>
  <c r="BL61" i="67"/>
  <c r="G61" i="156" s="1"/>
  <c r="BK61" i="67"/>
  <c r="BJ61" i="67"/>
  <c r="BI61" i="67"/>
  <c r="H61" i="77" s="1"/>
  <c r="BH61" i="67"/>
  <c r="BG61" i="67"/>
  <c r="H61" i="156" s="1"/>
  <c r="BF61" i="67"/>
  <c r="BE61" i="67"/>
  <c r="F61" i="155" s="1"/>
  <c r="BD61" i="67"/>
  <c r="G61" i="76" s="1"/>
  <c r="BC61" i="67"/>
  <c r="BB61" i="67"/>
  <c r="BA61" i="67"/>
  <c r="AZ61" i="67"/>
  <c r="AY61" i="67"/>
  <c r="AV61" i="67"/>
  <c r="AU61" i="67"/>
  <c r="AT61" i="67"/>
  <c r="AS61" i="67"/>
  <c r="C61" i="67"/>
  <c r="B61" i="67"/>
  <c r="CD60" i="67"/>
  <c r="CB60" i="67"/>
  <c r="L60" i="156" s="1"/>
  <c r="CA60" i="67"/>
  <c r="BZ60" i="67"/>
  <c r="BM60" i="67"/>
  <c r="BL60" i="67"/>
  <c r="G60" i="156" s="1"/>
  <c r="BK60" i="67"/>
  <c r="BJ60" i="67"/>
  <c r="BI60" i="67"/>
  <c r="H60" i="77" s="1"/>
  <c r="BH60" i="67"/>
  <c r="BG60" i="67"/>
  <c r="H60" i="156" s="1"/>
  <c r="BF60" i="67"/>
  <c r="BE60" i="67"/>
  <c r="F60" i="155" s="1"/>
  <c r="BD60" i="67"/>
  <c r="G60" i="76" s="1"/>
  <c r="BC60" i="67"/>
  <c r="BB60" i="67"/>
  <c r="BA60" i="67"/>
  <c r="AZ60" i="67"/>
  <c r="AY60" i="67"/>
  <c r="AV60" i="67"/>
  <c r="AU60" i="67"/>
  <c r="AT60" i="67"/>
  <c r="AS60" i="67"/>
  <c r="C60" i="67"/>
  <c r="B60" i="67"/>
  <c r="CD59" i="67"/>
  <c r="CB59" i="67"/>
  <c r="L59" i="156" s="1"/>
  <c r="CA59" i="67"/>
  <c r="BZ59" i="67"/>
  <c r="BM59" i="67"/>
  <c r="BL59" i="67"/>
  <c r="G59" i="156" s="1"/>
  <c r="BK59" i="67"/>
  <c r="BJ59" i="67"/>
  <c r="BI59" i="67"/>
  <c r="H59" i="77" s="1"/>
  <c r="BH59" i="67"/>
  <c r="BG59" i="67"/>
  <c r="H59" i="156" s="1"/>
  <c r="BF59" i="67"/>
  <c r="BE59" i="67"/>
  <c r="F59" i="155" s="1"/>
  <c r="BD59" i="67"/>
  <c r="G59" i="76" s="1"/>
  <c r="BC59" i="67"/>
  <c r="BB59" i="67"/>
  <c r="BA59" i="67"/>
  <c r="AZ59" i="67"/>
  <c r="AY59" i="67"/>
  <c r="AV59" i="67"/>
  <c r="AU59" i="67"/>
  <c r="AT59" i="67"/>
  <c r="AS59" i="67"/>
  <c r="C59" i="67"/>
  <c r="B59" i="67"/>
  <c r="CD58" i="67"/>
  <c r="CB58" i="67"/>
  <c r="L58" i="156" s="1"/>
  <c r="CA58" i="67"/>
  <c r="BZ58" i="67"/>
  <c r="BM58" i="67"/>
  <c r="BL58" i="67"/>
  <c r="G58" i="156" s="1"/>
  <c r="BK58" i="67"/>
  <c r="BJ58" i="67"/>
  <c r="BI58" i="67"/>
  <c r="H58" i="77" s="1"/>
  <c r="BH58" i="67"/>
  <c r="BG58" i="67"/>
  <c r="H58" i="156" s="1"/>
  <c r="BF58" i="67"/>
  <c r="BE58" i="67"/>
  <c r="F58" i="155" s="1"/>
  <c r="BD58" i="67"/>
  <c r="G58" i="76" s="1"/>
  <c r="BC58" i="67"/>
  <c r="BB58" i="67"/>
  <c r="BA58" i="67"/>
  <c r="AZ58" i="67"/>
  <c r="AY58" i="67"/>
  <c r="AV58" i="67"/>
  <c r="AU58" i="67"/>
  <c r="AT58" i="67"/>
  <c r="AS58" i="67"/>
  <c r="C58" i="67"/>
  <c r="B58" i="67"/>
  <c r="CD57" i="67"/>
  <c r="CB57" i="67"/>
  <c r="L57" i="156" s="1"/>
  <c r="CA57" i="67"/>
  <c r="BZ57" i="67"/>
  <c r="BM57" i="67"/>
  <c r="BL57" i="67"/>
  <c r="G57" i="156" s="1"/>
  <c r="BK57" i="67"/>
  <c r="BJ57" i="67"/>
  <c r="BI57" i="67"/>
  <c r="H57" i="77" s="1"/>
  <c r="BH57" i="67"/>
  <c r="BG57" i="67"/>
  <c r="H57" i="156" s="1"/>
  <c r="BF57" i="67"/>
  <c r="BE57" i="67"/>
  <c r="F57" i="155" s="1"/>
  <c r="BD57" i="67"/>
  <c r="G57" i="76" s="1"/>
  <c r="BC57" i="67"/>
  <c r="BB57" i="67"/>
  <c r="BA57" i="67"/>
  <c r="AZ57" i="67"/>
  <c r="AY57" i="67"/>
  <c r="AV57" i="67"/>
  <c r="AU57" i="67"/>
  <c r="AT57" i="67"/>
  <c r="AS57" i="67"/>
  <c r="C57" i="67"/>
  <c r="B57" i="67"/>
  <c r="CD56" i="67"/>
  <c r="CB56" i="67"/>
  <c r="L56" i="156" s="1"/>
  <c r="CA56" i="67"/>
  <c r="BZ56" i="67"/>
  <c r="BM56" i="67"/>
  <c r="BL56" i="67"/>
  <c r="G56" i="156" s="1"/>
  <c r="BK56" i="67"/>
  <c r="BJ56" i="67"/>
  <c r="BI56" i="67"/>
  <c r="H56" i="77" s="1"/>
  <c r="BH56" i="67"/>
  <c r="BG56" i="67"/>
  <c r="H56" i="156" s="1"/>
  <c r="BF56" i="67"/>
  <c r="BE56" i="67"/>
  <c r="F56" i="155" s="1"/>
  <c r="BD56" i="67"/>
  <c r="G56" i="76" s="1"/>
  <c r="BC56" i="67"/>
  <c r="BB56" i="67"/>
  <c r="BA56" i="67"/>
  <c r="AZ56" i="67"/>
  <c r="AY56" i="67"/>
  <c r="AV56" i="67"/>
  <c r="AU56" i="67"/>
  <c r="AT56" i="67"/>
  <c r="AS56" i="67"/>
  <c r="C56" i="67"/>
  <c r="B56" i="67"/>
  <c r="CD55" i="67"/>
  <c r="CB55" i="67"/>
  <c r="L55" i="156" s="1"/>
  <c r="CA55" i="67"/>
  <c r="BZ55" i="67"/>
  <c r="BM55" i="67"/>
  <c r="BL55" i="67"/>
  <c r="G55" i="156" s="1"/>
  <c r="BK55" i="67"/>
  <c r="BJ55" i="67"/>
  <c r="BI55" i="67"/>
  <c r="H55" i="77" s="1"/>
  <c r="BH55" i="67"/>
  <c r="BG55" i="67"/>
  <c r="H55" i="156" s="1"/>
  <c r="BF55" i="67"/>
  <c r="BE55" i="67"/>
  <c r="F55" i="155" s="1"/>
  <c r="BD55" i="67"/>
  <c r="G55" i="76" s="1"/>
  <c r="BC55" i="67"/>
  <c r="BB55" i="67"/>
  <c r="BA55" i="67"/>
  <c r="AZ55" i="67"/>
  <c r="AY55" i="67"/>
  <c r="AV55" i="67"/>
  <c r="AU55" i="67"/>
  <c r="AT55" i="67"/>
  <c r="AS55" i="67"/>
  <c r="C55" i="67"/>
  <c r="B55" i="67"/>
  <c r="CD54" i="67"/>
  <c r="CB54" i="67"/>
  <c r="L54" i="156" s="1"/>
  <c r="CA54" i="67"/>
  <c r="BZ54" i="67"/>
  <c r="BM54" i="67"/>
  <c r="BL54" i="67"/>
  <c r="G54" i="156" s="1"/>
  <c r="BK54" i="67"/>
  <c r="BJ54" i="67"/>
  <c r="BI54" i="67"/>
  <c r="H54" i="77" s="1"/>
  <c r="BH54" i="67"/>
  <c r="BG54" i="67"/>
  <c r="H54" i="156" s="1"/>
  <c r="BF54" i="67"/>
  <c r="BE54" i="67"/>
  <c r="F54" i="155" s="1"/>
  <c r="BD54" i="67"/>
  <c r="G54" i="76" s="1"/>
  <c r="BC54" i="67"/>
  <c r="BB54" i="67"/>
  <c r="BA54" i="67"/>
  <c r="AZ54" i="67"/>
  <c r="AY54" i="67"/>
  <c r="AV54" i="67"/>
  <c r="AU54" i="67"/>
  <c r="AT54" i="67"/>
  <c r="AS54" i="67"/>
  <c r="C54" i="67"/>
  <c r="B54" i="67"/>
  <c r="CD53" i="67"/>
  <c r="CB53" i="67"/>
  <c r="L53" i="156" s="1"/>
  <c r="CA53" i="67"/>
  <c r="BZ53" i="67"/>
  <c r="BM53" i="67"/>
  <c r="BL53" i="67"/>
  <c r="G53" i="156" s="1"/>
  <c r="BK53" i="67"/>
  <c r="BJ53" i="67"/>
  <c r="BI53" i="67"/>
  <c r="H53" i="77" s="1"/>
  <c r="BH53" i="67"/>
  <c r="BG53" i="67"/>
  <c r="H53" i="156" s="1"/>
  <c r="BF53" i="67"/>
  <c r="BE53" i="67"/>
  <c r="F53" i="155" s="1"/>
  <c r="BD53" i="67"/>
  <c r="G53" i="76" s="1"/>
  <c r="BC53" i="67"/>
  <c r="BB53" i="67"/>
  <c r="BA53" i="67"/>
  <c r="AZ53" i="67"/>
  <c r="AY53" i="67"/>
  <c r="AV53" i="67"/>
  <c r="AU53" i="67"/>
  <c r="AT53" i="67"/>
  <c r="AS53" i="67"/>
  <c r="C53" i="67"/>
  <c r="B53" i="67"/>
  <c r="CD52" i="67"/>
  <c r="CB52" i="67"/>
  <c r="L52" i="156" s="1"/>
  <c r="CA52" i="67"/>
  <c r="BZ52" i="67"/>
  <c r="BM52" i="67"/>
  <c r="BL52" i="67"/>
  <c r="G52" i="156" s="1"/>
  <c r="BK52" i="67"/>
  <c r="BJ52" i="67"/>
  <c r="BI52" i="67"/>
  <c r="H52" i="77" s="1"/>
  <c r="BH52" i="67"/>
  <c r="BG52" i="67"/>
  <c r="H52" i="156" s="1"/>
  <c r="BF52" i="67"/>
  <c r="BE52" i="67"/>
  <c r="F52" i="155" s="1"/>
  <c r="BD52" i="67"/>
  <c r="G52" i="76" s="1"/>
  <c r="BC52" i="67"/>
  <c r="BB52" i="67"/>
  <c r="BA52" i="67"/>
  <c r="AZ52" i="67"/>
  <c r="AY52" i="67"/>
  <c r="AV52" i="67"/>
  <c r="AU52" i="67"/>
  <c r="AT52" i="67"/>
  <c r="AS52" i="67"/>
  <c r="C52" i="67"/>
  <c r="B52" i="67"/>
  <c r="CD51" i="67"/>
  <c r="CB51" i="67"/>
  <c r="L51" i="156" s="1"/>
  <c r="CA51" i="67"/>
  <c r="BZ51" i="67"/>
  <c r="BM51" i="67"/>
  <c r="BL51" i="67"/>
  <c r="G51" i="156" s="1"/>
  <c r="BK51" i="67"/>
  <c r="BJ51" i="67"/>
  <c r="BI51" i="67"/>
  <c r="H51" i="77" s="1"/>
  <c r="BH51" i="67"/>
  <c r="BG51" i="67"/>
  <c r="H51" i="156" s="1"/>
  <c r="BF51" i="67"/>
  <c r="BE51" i="67"/>
  <c r="F51" i="155" s="1"/>
  <c r="BD51" i="67"/>
  <c r="G51" i="76" s="1"/>
  <c r="BC51" i="67"/>
  <c r="BB51" i="67"/>
  <c r="BA51" i="67"/>
  <c r="AZ51" i="67"/>
  <c r="AY51" i="67"/>
  <c r="AV51" i="67"/>
  <c r="AU51" i="67"/>
  <c r="AT51" i="67"/>
  <c r="AS51" i="67"/>
  <c r="C51" i="67"/>
  <c r="B51" i="67"/>
  <c r="CD50" i="67"/>
  <c r="CB50" i="67"/>
  <c r="L50" i="156" s="1"/>
  <c r="CA50" i="67"/>
  <c r="BZ50" i="67"/>
  <c r="BM50" i="67"/>
  <c r="BL50" i="67"/>
  <c r="G50" i="156" s="1"/>
  <c r="BK50" i="67"/>
  <c r="BJ50" i="67"/>
  <c r="BI50" i="67"/>
  <c r="H50" i="77" s="1"/>
  <c r="BH50" i="67"/>
  <c r="BG50" i="67"/>
  <c r="H50" i="156" s="1"/>
  <c r="BF50" i="67"/>
  <c r="BE50" i="67"/>
  <c r="F50" i="155" s="1"/>
  <c r="BD50" i="67"/>
  <c r="G50" i="76" s="1"/>
  <c r="BC50" i="67"/>
  <c r="BB50" i="67"/>
  <c r="BA50" i="67"/>
  <c r="AZ50" i="67"/>
  <c r="AY50" i="67"/>
  <c r="AV50" i="67"/>
  <c r="AU50" i="67"/>
  <c r="AT50" i="67"/>
  <c r="AS50" i="67"/>
  <c r="C50" i="67"/>
  <c r="B50" i="67"/>
  <c r="BM49" i="67"/>
  <c r="BL49" i="67"/>
  <c r="G49" i="156" s="1"/>
  <c r="BK49" i="67"/>
  <c r="BJ49" i="67"/>
  <c r="BI49" i="67"/>
  <c r="H49" i="77" s="1"/>
  <c r="BH49" i="67"/>
  <c r="BG49" i="67"/>
  <c r="H49" i="156" s="1"/>
  <c r="BF49" i="67"/>
  <c r="BE49" i="67"/>
  <c r="F49" i="155" s="1"/>
  <c r="BD49" i="67"/>
  <c r="G49" i="76" s="1"/>
  <c r="BC49" i="67"/>
  <c r="BB49" i="67"/>
  <c r="BA49" i="67"/>
  <c r="AZ49" i="67"/>
  <c r="AY49" i="67"/>
  <c r="AV49" i="67"/>
  <c r="AU49" i="67"/>
  <c r="AT49" i="67"/>
  <c r="AS49" i="67"/>
  <c r="C49" i="67"/>
  <c r="B49" i="67"/>
  <c r="BM48" i="67"/>
  <c r="BL48" i="67"/>
  <c r="G48" i="156" s="1"/>
  <c r="BK48" i="67"/>
  <c r="BJ48" i="67"/>
  <c r="BI48" i="67"/>
  <c r="H48" i="77" s="1"/>
  <c r="BH48" i="67"/>
  <c r="BG48" i="67"/>
  <c r="H48" i="156" s="1"/>
  <c r="BF48" i="67"/>
  <c r="BE48" i="67"/>
  <c r="F48" i="155" s="1"/>
  <c r="BD48" i="67"/>
  <c r="G48" i="76" s="1"/>
  <c r="BC48" i="67"/>
  <c r="BB48" i="67"/>
  <c r="BA48" i="67"/>
  <c r="AZ48" i="67"/>
  <c r="AY48" i="67"/>
  <c r="AV48" i="67"/>
  <c r="AU48" i="67"/>
  <c r="AT48" i="67"/>
  <c r="AS48" i="67"/>
  <c r="C48" i="67"/>
  <c r="B48" i="67"/>
  <c r="BM47" i="67"/>
  <c r="BL47" i="67"/>
  <c r="G47" i="156" s="1"/>
  <c r="BK47" i="67"/>
  <c r="BJ47" i="67"/>
  <c r="BI47" i="67"/>
  <c r="H47" i="77" s="1"/>
  <c r="BH47" i="67"/>
  <c r="BG47" i="67"/>
  <c r="H47" i="156" s="1"/>
  <c r="BF47" i="67"/>
  <c r="BE47" i="67"/>
  <c r="F47" i="155" s="1"/>
  <c r="BD47" i="67"/>
  <c r="G47" i="76" s="1"/>
  <c r="BC47" i="67"/>
  <c r="BB47" i="67"/>
  <c r="BA47" i="67"/>
  <c r="AZ47" i="67"/>
  <c r="AY47" i="67"/>
  <c r="AV47" i="67"/>
  <c r="AU47" i="67"/>
  <c r="AT47" i="67"/>
  <c r="AS47" i="67"/>
  <c r="C47" i="67"/>
  <c r="B47" i="67"/>
  <c r="BM46" i="67"/>
  <c r="BL46" i="67"/>
  <c r="G46" i="156" s="1"/>
  <c r="BK46" i="67"/>
  <c r="BJ46" i="67"/>
  <c r="BI46" i="67"/>
  <c r="H46" i="77" s="1"/>
  <c r="BH46" i="67"/>
  <c r="BG46" i="67"/>
  <c r="H46" i="156" s="1"/>
  <c r="BF46" i="67"/>
  <c r="BE46" i="67"/>
  <c r="F46" i="155" s="1"/>
  <c r="BD46" i="67"/>
  <c r="G46" i="76" s="1"/>
  <c r="BC46" i="67"/>
  <c r="BB46" i="67"/>
  <c r="BA46" i="67"/>
  <c r="AZ46" i="67"/>
  <c r="AY46" i="67"/>
  <c r="AV46" i="67"/>
  <c r="AU46" i="67"/>
  <c r="AT46" i="67"/>
  <c r="AS46" i="67"/>
  <c r="C46" i="67"/>
  <c r="B46" i="67"/>
  <c r="BM45" i="67"/>
  <c r="BL45" i="67"/>
  <c r="G45" i="156" s="1"/>
  <c r="BK45" i="67"/>
  <c r="BJ45" i="67"/>
  <c r="BI45" i="67"/>
  <c r="H45" i="77" s="1"/>
  <c r="BH45" i="67"/>
  <c r="BG45" i="67"/>
  <c r="H45" i="156" s="1"/>
  <c r="BF45" i="67"/>
  <c r="BE45" i="67"/>
  <c r="F45" i="155" s="1"/>
  <c r="BD45" i="67"/>
  <c r="G45" i="76" s="1"/>
  <c r="BC45" i="67"/>
  <c r="BB45" i="67"/>
  <c r="BA45" i="67"/>
  <c r="AZ45" i="67"/>
  <c r="AY45" i="67"/>
  <c r="AV45" i="67"/>
  <c r="AU45" i="67"/>
  <c r="AT45" i="67"/>
  <c r="AS45" i="67"/>
  <c r="C45" i="67"/>
  <c r="B45" i="67"/>
  <c r="BM44" i="67"/>
  <c r="BL44" i="67"/>
  <c r="G44" i="156" s="1"/>
  <c r="BK44" i="67"/>
  <c r="BJ44" i="67"/>
  <c r="BI44" i="67"/>
  <c r="H44" i="77" s="1"/>
  <c r="BH44" i="67"/>
  <c r="BG44" i="67"/>
  <c r="H44" i="156" s="1"/>
  <c r="BF44" i="67"/>
  <c r="BE44" i="67"/>
  <c r="F44" i="155" s="1"/>
  <c r="BD44" i="67"/>
  <c r="G44" i="76" s="1"/>
  <c r="BC44" i="67"/>
  <c r="BB44" i="67"/>
  <c r="BA44" i="67"/>
  <c r="AZ44" i="67"/>
  <c r="AY44" i="67"/>
  <c r="AV44" i="67"/>
  <c r="AU44" i="67"/>
  <c r="AT44" i="67"/>
  <c r="AS44" i="67"/>
  <c r="C44" i="67"/>
  <c r="B44" i="67"/>
  <c r="BM43" i="67"/>
  <c r="BL43" i="67"/>
  <c r="G43" i="156" s="1"/>
  <c r="BK43" i="67"/>
  <c r="BJ43" i="67"/>
  <c r="BI43" i="67"/>
  <c r="H43" i="77" s="1"/>
  <c r="BH43" i="67"/>
  <c r="BG43" i="67"/>
  <c r="H43" i="156" s="1"/>
  <c r="BF43" i="67"/>
  <c r="BE43" i="67"/>
  <c r="F43" i="155" s="1"/>
  <c r="BD43" i="67"/>
  <c r="G43" i="76" s="1"/>
  <c r="BC43" i="67"/>
  <c r="BB43" i="67"/>
  <c r="BA43" i="67"/>
  <c r="AZ43" i="67"/>
  <c r="AY43" i="67"/>
  <c r="AV43" i="67"/>
  <c r="AU43" i="67"/>
  <c r="AT43" i="67"/>
  <c r="AS43" i="67"/>
  <c r="C43" i="67"/>
  <c r="B43" i="67"/>
  <c r="BM42" i="67"/>
  <c r="BL42" i="67"/>
  <c r="G42" i="156" s="1"/>
  <c r="BK42" i="67"/>
  <c r="BJ42" i="67"/>
  <c r="BI42" i="67"/>
  <c r="H42" i="77" s="1"/>
  <c r="BH42" i="67"/>
  <c r="BG42" i="67"/>
  <c r="H42" i="156" s="1"/>
  <c r="BF42" i="67"/>
  <c r="BE42" i="67"/>
  <c r="F42" i="155" s="1"/>
  <c r="BD42" i="67"/>
  <c r="G42" i="76" s="1"/>
  <c r="BC42" i="67"/>
  <c r="BB42" i="67"/>
  <c r="BA42" i="67"/>
  <c r="AZ42" i="67"/>
  <c r="AY42" i="67"/>
  <c r="AV42" i="67"/>
  <c r="AU42" i="67"/>
  <c r="AT42" i="67"/>
  <c r="AS42" i="67"/>
  <c r="C42" i="67"/>
  <c r="B42" i="67"/>
  <c r="BM41" i="67"/>
  <c r="BL41" i="67"/>
  <c r="G41" i="156" s="1"/>
  <c r="BK41" i="67"/>
  <c r="BJ41" i="67"/>
  <c r="BI41" i="67"/>
  <c r="H41" i="77" s="1"/>
  <c r="BH41" i="67"/>
  <c r="BG41" i="67"/>
  <c r="H41" i="156" s="1"/>
  <c r="BF41" i="67"/>
  <c r="BE41" i="67"/>
  <c r="F41" i="155" s="1"/>
  <c r="BD41" i="67"/>
  <c r="G41" i="76" s="1"/>
  <c r="BC41" i="67"/>
  <c r="BB41" i="67"/>
  <c r="BA41" i="67"/>
  <c r="AZ41" i="67"/>
  <c r="AY41" i="67"/>
  <c r="AV41" i="67"/>
  <c r="AU41" i="67"/>
  <c r="AT41" i="67"/>
  <c r="AS41" i="67"/>
  <c r="C41" i="67"/>
  <c r="B41" i="67"/>
  <c r="BM40" i="67"/>
  <c r="BL40" i="67"/>
  <c r="G40" i="156" s="1"/>
  <c r="BK40" i="67"/>
  <c r="BJ40" i="67"/>
  <c r="BI40" i="67"/>
  <c r="H40" i="77" s="1"/>
  <c r="BH40" i="67"/>
  <c r="BG40" i="67"/>
  <c r="H40" i="156" s="1"/>
  <c r="BF40" i="67"/>
  <c r="BE40" i="67"/>
  <c r="F40" i="155" s="1"/>
  <c r="BD40" i="67"/>
  <c r="G40" i="76" s="1"/>
  <c r="BC40" i="67"/>
  <c r="BB40" i="67"/>
  <c r="BA40" i="67"/>
  <c r="AZ40" i="67"/>
  <c r="AY40" i="67"/>
  <c r="AV40" i="67"/>
  <c r="AU40" i="67"/>
  <c r="AT40" i="67"/>
  <c r="AS40" i="67"/>
  <c r="C40" i="67"/>
  <c r="B40" i="67"/>
  <c r="BM39" i="67"/>
  <c r="BL39" i="67"/>
  <c r="G39" i="156" s="1"/>
  <c r="BK39" i="67"/>
  <c r="BJ39" i="67"/>
  <c r="BI39" i="67"/>
  <c r="H39" i="77" s="1"/>
  <c r="BH39" i="67"/>
  <c r="BG39" i="67"/>
  <c r="H39" i="156" s="1"/>
  <c r="BF39" i="67"/>
  <c r="BE39" i="67"/>
  <c r="F39" i="155" s="1"/>
  <c r="BD39" i="67"/>
  <c r="G39" i="76" s="1"/>
  <c r="BC39" i="67"/>
  <c r="BB39" i="67"/>
  <c r="BA39" i="67"/>
  <c r="AZ39" i="67"/>
  <c r="AY39" i="67"/>
  <c r="AV39" i="67"/>
  <c r="AU39" i="67"/>
  <c r="AT39" i="67"/>
  <c r="AS39" i="67"/>
  <c r="C39" i="67"/>
  <c r="B39" i="67"/>
  <c r="BM38" i="67"/>
  <c r="BL38" i="67"/>
  <c r="G38" i="156" s="1"/>
  <c r="BK38" i="67"/>
  <c r="BJ38" i="67"/>
  <c r="BI38" i="67"/>
  <c r="H38" i="77" s="1"/>
  <c r="BH38" i="67"/>
  <c r="BG38" i="67"/>
  <c r="H38" i="156" s="1"/>
  <c r="BF38" i="67"/>
  <c r="BE38" i="67"/>
  <c r="F38" i="155" s="1"/>
  <c r="BD38" i="67"/>
  <c r="G38" i="76" s="1"/>
  <c r="BC38" i="67"/>
  <c r="BB38" i="67"/>
  <c r="BA38" i="67"/>
  <c r="AZ38" i="67"/>
  <c r="AY38" i="67"/>
  <c r="AV38" i="67"/>
  <c r="AU38" i="67"/>
  <c r="AT38" i="67"/>
  <c r="AS38" i="67"/>
  <c r="C38" i="67"/>
  <c r="B38" i="67"/>
  <c r="BM37" i="67"/>
  <c r="BL37" i="67"/>
  <c r="G37" i="156" s="1"/>
  <c r="BK37" i="67"/>
  <c r="BJ37" i="67"/>
  <c r="BI37" i="67"/>
  <c r="H37" i="77" s="1"/>
  <c r="BH37" i="67"/>
  <c r="BG37" i="67"/>
  <c r="H37" i="156" s="1"/>
  <c r="BF37" i="67"/>
  <c r="BE37" i="67"/>
  <c r="F37" i="155" s="1"/>
  <c r="BD37" i="67"/>
  <c r="G37" i="76" s="1"/>
  <c r="BC37" i="67"/>
  <c r="BB37" i="67"/>
  <c r="BA37" i="67"/>
  <c r="AZ37" i="67"/>
  <c r="AY37" i="67"/>
  <c r="AV37" i="67"/>
  <c r="AU37" i="67"/>
  <c r="AT37" i="67"/>
  <c r="AS37" i="67"/>
  <c r="C37" i="67"/>
  <c r="B37" i="67"/>
  <c r="BM36" i="67"/>
  <c r="BL36" i="67"/>
  <c r="G36" i="156" s="1"/>
  <c r="BK36" i="67"/>
  <c r="BJ36" i="67"/>
  <c r="BI36" i="67"/>
  <c r="H36" i="77" s="1"/>
  <c r="BH36" i="67"/>
  <c r="BG36" i="67"/>
  <c r="H36" i="156" s="1"/>
  <c r="BF36" i="67"/>
  <c r="BE36" i="67"/>
  <c r="F36" i="155" s="1"/>
  <c r="BD36" i="67"/>
  <c r="G36" i="76" s="1"/>
  <c r="BC36" i="67"/>
  <c r="BB36" i="67"/>
  <c r="BA36" i="67"/>
  <c r="AZ36" i="67"/>
  <c r="AY36" i="67"/>
  <c r="AV36" i="67"/>
  <c r="AU36" i="67"/>
  <c r="AT36" i="67"/>
  <c r="AS36" i="67"/>
  <c r="C36" i="67"/>
  <c r="B36" i="67"/>
  <c r="BM35" i="67"/>
  <c r="BL35" i="67"/>
  <c r="G35" i="156" s="1"/>
  <c r="BK35" i="67"/>
  <c r="BJ35" i="67"/>
  <c r="BI35" i="67"/>
  <c r="H35" i="77" s="1"/>
  <c r="BH35" i="67"/>
  <c r="BG35" i="67"/>
  <c r="H35" i="156" s="1"/>
  <c r="BF35" i="67"/>
  <c r="BE35" i="67"/>
  <c r="F35" i="155" s="1"/>
  <c r="BD35" i="67"/>
  <c r="G35" i="76" s="1"/>
  <c r="BC35" i="67"/>
  <c r="BB35" i="67"/>
  <c r="BA35" i="67"/>
  <c r="AZ35" i="67"/>
  <c r="AY35" i="67"/>
  <c r="AV35" i="67"/>
  <c r="AU35" i="67"/>
  <c r="AT35" i="67"/>
  <c r="AS35" i="67"/>
  <c r="C35" i="67"/>
  <c r="B35" i="67"/>
  <c r="BM34" i="67"/>
  <c r="BL34" i="67"/>
  <c r="G34" i="156" s="1"/>
  <c r="BK34" i="67"/>
  <c r="BJ34" i="67"/>
  <c r="BI34" i="67"/>
  <c r="H34" i="77" s="1"/>
  <c r="BH34" i="67"/>
  <c r="BG34" i="67"/>
  <c r="H34" i="156" s="1"/>
  <c r="BF34" i="67"/>
  <c r="BE34" i="67"/>
  <c r="F34" i="155" s="1"/>
  <c r="BD34" i="67"/>
  <c r="G34" i="76" s="1"/>
  <c r="BC34" i="67"/>
  <c r="BB34" i="67"/>
  <c r="BA34" i="67"/>
  <c r="AZ34" i="67"/>
  <c r="AY34" i="67"/>
  <c r="AV34" i="67"/>
  <c r="AU34" i="67"/>
  <c r="AT34" i="67"/>
  <c r="AS34" i="67"/>
  <c r="C34" i="67"/>
  <c r="B34" i="67"/>
  <c r="BM33" i="67"/>
  <c r="BL33" i="67"/>
  <c r="G33" i="156" s="1"/>
  <c r="BK33" i="67"/>
  <c r="BJ33" i="67"/>
  <c r="BI33" i="67"/>
  <c r="H33" i="77" s="1"/>
  <c r="BH33" i="67"/>
  <c r="BG33" i="67"/>
  <c r="H33" i="156" s="1"/>
  <c r="BF33" i="67"/>
  <c r="BE33" i="67"/>
  <c r="F33" i="155" s="1"/>
  <c r="BD33" i="67"/>
  <c r="G33" i="76" s="1"/>
  <c r="BC33" i="67"/>
  <c r="BB33" i="67"/>
  <c r="BA33" i="67"/>
  <c r="AZ33" i="67"/>
  <c r="AY33" i="67"/>
  <c r="AV33" i="67"/>
  <c r="AU33" i="67"/>
  <c r="AT33" i="67"/>
  <c r="AS33" i="67"/>
  <c r="C33" i="67"/>
  <c r="B33" i="67"/>
  <c r="BM32" i="67"/>
  <c r="BL32" i="67"/>
  <c r="G32" i="156" s="1"/>
  <c r="BK32" i="67"/>
  <c r="BJ32" i="67"/>
  <c r="BI32" i="67"/>
  <c r="H32" i="77" s="1"/>
  <c r="BH32" i="67"/>
  <c r="BG32" i="67"/>
  <c r="H32" i="156" s="1"/>
  <c r="BF32" i="67"/>
  <c r="BE32" i="67"/>
  <c r="F32" i="155" s="1"/>
  <c r="BD32" i="67"/>
  <c r="G32" i="76" s="1"/>
  <c r="BC32" i="67"/>
  <c r="BB32" i="67"/>
  <c r="BA32" i="67"/>
  <c r="AZ32" i="67"/>
  <c r="AY32" i="67"/>
  <c r="AV32" i="67"/>
  <c r="AU32" i="67"/>
  <c r="AT32" i="67"/>
  <c r="AS32" i="67"/>
  <c r="C32" i="67"/>
  <c r="B32" i="67"/>
  <c r="BM31" i="67"/>
  <c r="BL31" i="67"/>
  <c r="G31" i="156" s="1"/>
  <c r="BK31" i="67"/>
  <c r="BJ31" i="67"/>
  <c r="BI31" i="67"/>
  <c r="H31" i="77" s="1"/>
  <c r="BH31" i="67"/>
  <c r="BG31" i="67"/>
  <c r="H31" i="156" s="1"/>
  <c r="BF31" i="67"/>
  <c r="BE31" i="67"/>
  <c r="F31" i="155" s="1"/>
  <c r="BD31" i="67"/>
  <c r="G31" i="76" s="1"/>
  <c r="BC31" i="67"/>
  <c r="BB31" i="67"/>
  <c r="BA31" i="67"/>
  <c r="AZ31" i="67"/>
  <c r="AY31" i="67"/>
  <c r="AV31" i="67"/>
  <c r="AU31" i="67"/>
  <c r="AT31" i="67"/>
  <c r="AS31" i="67"/>
  <c r="C31" i="67"/>
  <c r="B31" i="67"/>
  <c r="BM30" i="67"/>
  <c r="BL30" i="67"/>
  <c r="G30" i="156" s="1"/>
  <c r="BK30" i="67"/>
  <c r="BJ30" i="67"/>
  <c r="BI30" i="67"/>
  <c r="H30" i="77" s="1"/>
  <c r="BH30" i="67"/>
  <c r="BG30" i="67"/>
  <c r="H30" i="156" s="1"/>
  <c r="BF30" i="67"/>
  <c r="BE30" i="67"/>
  <c r="F30" i="155" s="1"/>
  <c r="BD30" i="67"/>
  <c r="G30" i="76" s="1"/>
  <c r="BC30" i="67"/>
  <c r="BB30" i="67"/>
  <c r="BA30" i="67"/>
  <c r="AZ30" i="67"/>
  <c r="AY30" i="67"/>
  <c r="AV30" i="67"/>
  <c r="AU30" i="67"/>
  <c r="AT30" i="67"/>
  <c r="AS30" i="67"/>
  <c r="C30" i="67"/>
  <c r="B30" i="67"/>
  <c r="BM29" i="67"/>
  <c r="BL29" i="67"/>
  <c r="G29" i="156" s="1"/>
  <c r="BK29" i="67"/>
  <c r="BJ29" i="67"/>
  <c r="BI29" i="67"/>
  <c r="H29" i="77" s="1"/>
  <c r="BH29" i="67"/>
  <c r="BG29" i="67"/>
  <c r="H29" i="156" s="1"/>
  <c r="BF29" i="67"/>
  <c r="BE29" i="67"/>
  <c r="F29" i="155" s="1"/>
  <c r="BD29" i="67"/>
  <c r="G29" i="76" s="1"/>
  <c r="BC29" i="67"/>
  <c r="BB29" i="67"/>
  <c r="BA29" i="67"/>
  <c r="AZ29" i="67"/>
  <c r="AY29" i="67"/>
  <c r="AV29" i="67"/>
  <c r="AU29" i="67"/>
  <c r="AT29" i="67"/>
  <c r="AS29" i="67"/>
  <c r="C29" i="67"/>
  <c r="B29" i="67"/>
  <c r="BM28" i="67"/>
  <c r="BL28" i="67"/>
  <c r="G28" i="156" s="1"/>
  <c r="BK28" i="67"/>
  <c r="BJ28" i="67"/>
  <c r="BI28" i="67"/>
  <c r="H28" i="77" s="1"/>
  <c r="BH28" i="67"/>
  <c r="BG28" i="67"/>
  <c r="H28" i="156" s="1"/>
  <c r="BF28" i="67"/>
  <c r="BE28" i="67"/>
  <c r="F28" i="155" s="1"/>
  <c r="BD28" i="67"/>
  <c r="G28" i="76" s="1"/>
  <c r="BC28" i="67"/>
  <c r="BB28" i="67"/>
  <c r="BA28" i="67"/>
  <c r="AZ28" i="67"/>
  <c r="AY28" i="67"/>
  <c r="AV28" i="67"/>
  <c r="AU28" i="67"/>
  <c r="AT28" i="67"/>
  <c r="AS28" i="67"/>
  <c r="C28" i="67"/>
  <c r="B28" i="67"/>
  <c r="BM27" i="67"/>
  <c r="BL27" i="67"/>
  <c r="G27" i="156" s="1"/>
  <c r="BK27" i="67"/>
  <c r="BJ27" i="67"/>
  <c r="BI27" i="67"/>
  <c r="H27" i="77" s="1"/>
  <c r="BH27" i="67"/>
  <c r="BG27" i="67"/>
  <c r="H27" i="156" s="1"/>
  <c r="BF27" i="67"/>
  <c r="BE27" i="67"/>
  <c r="F27" i="155" s="1"/>
  <c r="BD27" i="67"/>
  <c r="G27" i="76" s="1"/>
  <c r="BC27" i="67"/>
  <c r="BB27" i="67"/>
  <c r="BA27" i="67"/>
  <c r="AZ27" i="67"/>
  <c r="AY27" i="67"/>
  <c r="AV27" i="67"/>
  <c r="AU27" i="67"/>
  <c r="AT27" i="67"/>
  <c r="AS27" i="67"/>
  <c r="C27" i="67"/>
  <c r="B27" i="67"/>
  <c r="BM26" i="67"/>
  <c r="BL26" i="67"/>
  <c r="G26" i="156" s="1"/>
  <c r="BK26" i="67"/>
  <c r="BJ26" i="67"/>
  <c r="BI26" i="67"/>
  <c r="H26" i="77" s="1"/>
  <c r="BH26" i="67"/>
  <c r="BG26" i="67"/>
  <c r="H26" i="156" s="1"/>
  <c r="BF26" i="67"/>
  <c r="BE26" i="67"/>
  <c r="F26" i="155" s="1"/>
  <c r="BD26" i="67"/>
  <c r="G26" i="76" s="1"/>
  <c r="BC26" i="67"/>
  <c r="BB26" i="67"/>
  <c r="BA26" i="67"/>
  <c r="AZ26" i="67"/>
  <c r="AY26" i="67"/>
  <c r="AV26" i="67"/>
  <c r="AU26" i="67"/>
  <c r="AT26" i="67"/>
  <c r="AS26" i="67"/>
  <c r="C26" i="67"/>
  <c r="B26" i="67"/>
  <c r="BM25" i="67"/>
  <c r="BL25" i="67"/>
  <c r="G25" i="156" s="1"/>
  <c r="BK25" i="67"/>
  <c r="BJ25" i="67"/>
  <c r="BI25" i="67"/>
  <c r="H25" i="77" s="1"/>
  <c r="BH25" i="67"/>
  <c r="BG25" i="67"/>
  <c r="H25" i="156" s="1"/>
  <c r="BF25" i="67"/>
  <c r="BE25" i="67"/>
  <c r="F25" i="155" s="1"/>
  <c r="BD25" i="67"/>
  <c r="G25" i="76" s="1"/>
  <c r="BC25" i="67"/>
  <c r="BB25" i="67"/>
  <c r="BA25" i="67"/>
  <c r="AZ25" i="67"/>
  <c r="AY25" i="67"/>
  <c r="AV25" i="67"/>
  <c r="AU25" i="67"/>
  <c r="AT25" i="67"/>
  <c r="AS25" i="67"/>
  <c r="C25" i="67"/>
  <c r="B25" i="67"/>
  <c r="BM24" i="67"/>
  <c r="BL24" i="67"/>
  <c r="G24" i="156" s="1"/>
  <c r="BK24" i="67"/>
  <c r="BJ24" i="67"/>
  <c r="BI24" i="67"/>
  <c r="H24" i="77" s="1"/>
  <c r="BH24" i="67"/>
  <c r="BG24" i="67"/>
  <c r="H24" i="156" s="1"/>
  <c r="BF24" i="67"/>
  <c r="BE24" i="67"/>
  <c r="F24" i="155" s="1"/>
  <c r="BD24" i="67"/>
  <c r="G24" i="76" s="1"/>
  <c r="BC24" i="67"/>
  <c r="BB24" i="67"/>
  <c r="BA24" i="67"/>
  <c r="AZ24" i="67"/>
  <c r="AY24" i="67"/>
  <c r="AV24" i="67"/>
  <c r="AU24" i="67"/>
  <c r="AT24" i="67"/>
  <c r="AS24" i="67"/>
  <c r="C24" i="67"/>
  <c r="B24" i="67"/>
  <c r="BM23" i="67"/>
  <c r="BL23" i="67"/>
  <c r="G23" i="156" s="1"/>
  <c r="BK23" i="67"/>
  <c r="BJ23" i="67"/>
  <c r="BI23" i="67"/>
  <c r="H23" i="77" s="1"/>
  <c r="BH23" i="67"/>
  <c r="BG23" i="67"/>
  <c r="H23" i="156" s="1"/>
  <c r="BF23" i="67"/>
  <c r="BE23" i="67"/>
  <c r="F23" i="155" s="1"/>
  <c r="BD23" i="67"/>
  <c r="G23" i="76" s="1"/>
  <c r="BC23" i="67"/>
  <c r="BB23" i="67"/>
  <c r="BA23" i="67"/>
  <c r="AZ23" i="67"/>
  <c r="AY23" i="67"/>
  <c r="AV23" i="67"/>
  <c r="AU23" i="67"/>
  <c r="AT23" i="67"/>
  <c r="AS23" i="67"/>
  <c r="C23" i="67"/>
  <c r="B23" i="67"/>
  <c r="BM22" i="67"/>
  <c r="BL22" i="67"/>
  <c r="G22" i="156" s="1"/>
  <c r="BK22" i="67"/>
  <c r="BJ22" i="67"/>
  <c r="BI22" i="67"/>
  <c r="H22" i="77" s="1"/>
  <c r="BH22" i="67"/>
  <c r="BG22" i="67"/>
  <c r="H22" i="156" s="1"/>
  <c r="BF22" i="67"/>
  <c r="BE22" i="67"/>
  <c r="F22" i="155" s="1"/>
  <c r="BD22" i="67"/>
  <c r="G22" i="76" s="1"/>
  <c r="BC22" i="67"/>
  <c r="BB22" i="67"/>
  <c r="BA22" i="67"/>
  <c r="AZ22" i="67"/>
  <c r="AY22" i="67"/>
  <c r="AV22" i="67"/>
  <c r="AU22" i="67"/>
  <c r="AT22" i="67"/>
  <c r="AS22" i="67"/>
  <c r="C22" i="67"/>
  <c r="B22" i="67"/>
  <c r="BM21" i="67"/>
  <c r="BL21" i="67"/>
  <c r="G21" i="156" s="1"/>
  <c r="BK21" i="67"/>
  <c r="BJ21" i="67"/>
  <c r="BI21" i="67"/>
  <c r="H21" i="77" s="1"/>
  <c r="BH21" i="67"/>
  <c r="BG21" i="67"/>
  <c r="H21" i="156" s="1"/>
  <c r="BF21" i="67"/>
  <c r="BE21" i="67"/>
  <c r="F21" i="155" s="1"/>
  <c r="BD21" i="67"/>
  <c r="G21" i="76" s="1"/>
  <c r="BC21" i="67"/>
  <c r="BB21" i="67"/>
  <c r="BA21" i="67"/>
  <c r="AZ21" i="67"/>
  <c r="AY21" i="67"/>
  <c r="AV21" i="67"/>
  <c r="AU21" i="67"/>
  <c r="AT21" i="67"/>
  <c r="AS21" i="67"/>
  <c r="C21" i="67"/>
  <c r="B21" i="67"/>
  <c r="BM20" i="67"/>
  <c r="BL20" i="67"/>
  <c r="G20" i="156" s="1"/>
  <c r="BK20" i="67"/>
  <c r="BJ20" i="67"/>
  <c r="BI20" i="67"/>
  <c r="H20" i="77" s="1"/>
  <c r="BH20" i="67"/>
  <c r="BG20" i="67"/>
  <c r="H20" i="156" s="1"/>
  <c r="BF20" i="67"/>
  <c r="BE20" i="67"/>
  <c r="F20" i="155" s="1"/>
  <c r="BD20" i="67"/>
  <c r="G20" i="76" s="1"/>
  <c r="BC20" i="67"/>
  <c r="BB20" i="67"/>
  <c r="BA20" i="67"/>
  <c r="AZ20" i="67"/>
  <c r="AY20" i="67"/>
  <c r="AV20" i="67"/>
  <c r="AU20" i="67"/>
  <c r="AT20" i="67"/>
  <c r="AS20" i="67"/>
  <c r="C20" i="67"/>
  <c r="B20" i="67"/>
  <c r="BM19" i="67"/>
  <c r="BL19" i="67"/>
  <c r="G19" i="156" s="1"/>
  <c r="BK19" i="67"/>
  <c r="BJ19" i="67"/>
  <c r="BI19" i="67"/>
  <c r="H19" i="77" s="1"/>
  <c r="BH19" i="67"/>
  <c r="BG19" i="67"/>
  <c r="H19" i="156" s="1"/>
  <c r="BF19" i="67"/>
  <c r="BE19" i="67"/>
  <c r="F19" i="155" s="1"/>
  <c r="BD19" i="67"/>
  <c r="G19" i="76" s="1"/>
  <c r="BC19" i="67"/>
  <c r="BB19" i="67"/>
  <c r="BA19" i="67"/>
  <c r="AZ19" i="67"/>
  <c r="AY19" i="67"/>
  <c r="AV19" i="67"/>
  <c r="AU19" i="67"/>
  <c r="AT19" i="67"/>
  <c r="AS19" i="67"/>
  <c r="C19" i="67"/>
  <c r="B19" i="67"/>
  <c r="BM18" i="67"/>
  <c r="BL18" i="67"/>
  <c r="G18" i="156" s="1"/>
  <c r="BK18" i="67"/>
  <c r="BJ18" i="67"/>
  <c r="BI18" i="67"/>
  <c r="H18" i="77" s="1"/>
  <c r="BH18" i="67"/>
  <c r="BG18" i="67"/>
  <c r="H18" i="156" s="1"/>
  <c r="BF18" i="67"/>
  <c r="BE18" i="67"/>
  <c r="F18" i="155" s="1"/>
  <c r="BD18" i="67"/>
  <c r="G18" i="76" s="1"/>
  <c r="BC18" i="67"/>
  <c r="BB18" i="67"/>
  <c r="BA18" i="67"/>
  <c r="AZ18" i="67"/>
  <c r="AY18" i="67"/>
  <c r="AV18" i="67"/>
  <c r="AU18" i="67"/>
  <c r="AT18" i="67"/>
  <c r="AS18" i="67"/>
  <c r="C18" i="67"/>
  <c r="B18" i="67"/>
  <c r="BM17" i="67"/>
  <c r="BL17" i="67"/>
  <c r="G17" i="156" s="1"/>
  <c r="BK17" i="67"/>
  <c r="BJ17" i="67"/>
  <c r="BI17" i="67"/>
  <c r="H17" i="77" s="1"/>
  <c r="BH17" i="67"/>
  <c r="BG17" i="67"/>
  <c r="H17" i="156" s="1"/>
  <c r="BF17" i="67"/>
  <c r="BE17" i="67"/>
  <c r="F17" i="155" s="1"/>
  <c r="BD17" i="67"/>
  <c r="G17" i="76" s="1"/>
  <c r="BC17" i="67"/>
  <c r="BB17" i="67"/>
  <c r="BA17" i="67"/>
  <c r="AZ17" i="67"/>
  <c r="AY17" i="67"/>
  <c r="AV17" i="67"/>
  <c r="AU17" i="67"/>
  <c r="AT17" i="67"/>
  <c r="AS17" i="67"/>
  <c r="C17" i="67"/>
  <c r="B17" i="67"/>
  <c r="BM16" i="67"/>
  <c r="BL16" i="67"/>
  <c r="G16" i="156" s="1"/>
  <c r="BK16" i="67"/>
  <c r="BJ16" i="67"/>
  <c r="BI16" i="67"/>
  <c r="H16" i="77" s="1"/>
  <c r="BH16" i="67"/>
  <c r="BG16" i="67"/>
  <c r="H16" i="156" s="1"/>
  <c r="BF16" i="67"/>
  <c r="BE16" i="67"/>
  <c r="F16" i="155" s="1"/>
  <c r="BD16" i="67"/>
  <c r="G16" i="76" s="1"/>
  <c r="BC16" i="67"/>
  <c r="BB16" i="67"/>
  <c r="BA16" i="67"/>
  <c r="AZ16" i="67"/>
  <c r="AY16" i="67"/>
  <c r="AV16" i="67"/>
  <c r="AU16" i="67"/>
  <c r="AT16" i="67"/>
  <c r="AS16" i="67"/>
  <c r="C16" i="67"/>
  <c r="B16" i="67"/>
  <c r="BM15" i="67"/>
  <c r="BL15" i="67"/>
  <c r="G15" i="156" s="1"/>
  <c r="BK15" i="67"/>
  <c r="BJ15" i="67"/>
  <c r="BI15" i="67"/>
  <c r="H15" i="77" s="1"/>
  <c r="BH15" i="67"/>
  <c r="BG15" i="67"/>
  <c r="H15" i="156" s="1"/>
  <c r="BF15" i="67"/>
  <c r="BE15" i="67"/>
  <c r="F15" i="155" s="1"/>
  <c r="BD15" i="67"/>
  <c r="G15" i="76" s="1"/>
  <c r="BC15" i="67"/>
  <c r="BB15" i="67"/>
  <c r="BA15" i="67"/>
  <c r="AZ15" i="67"/>
  <c r="AY15" i="67"/>
  <c r="AV15" i="67"/>
  <c r="AU15" i="67"/>
  <c r="AT15" i="67"/>
  <c r="AS15" i="67"/>
  <c r="C15" i="67"/>
  <c r="B15" i="67"/>
  <c r="BM14" i="67"/>
  <c r="BL14" i="67"/>
  <c r="G14" i="156" s="1"/>
  <c r="BK14" i="67"/>
  <c r="BJ14" i="67"/>
  <c r="BI14" i="67"/>
  <c r="H14" i="77" s="1"/>
  <c r="BH14" i="67"/>
  <c r="BG14" i="67"/>
  <c r="H14" i="156" s="1"/>
  <c r="BF14" i="67"/>
  <c r="BE14" i="67"/>
  <c r="F14" i="155" s="1"/>
  <c r="L14" i="155" s="1"/>
  <c r="BD14" i="67"/>
  <c r="G14" i="76" s="1"/>
  <c r="BC14" i="67"/>
  <c r="BB14" i="67"/>
  <c r="BA14" i="67"/>
  <c r="AZ14" i="67"/>
  <c r="AY14" i="67"/>
  <c r="AV14" i="67"/>
  <c r="AU14" i="67"/>
  <c r="AT14" i="67"/>
  <c r="AS14" i="67"/>
  <c r="C14" i="67"/>
  <c r="B14" i="67"/>
  <c r="BM13" i="67"/>
  <c r="BL13" i="67"/>
  <c r="G13" i="156" s="1"/>
  <c r="BK13" i="67"/>
  <c r="BJ13" i="67"/>
  <c r="BI13" i="67"/>
  <c r="H13" i="77" s="1"/>
  <c r="BH13" i="67"/>
  <c r="BG13" i="67"/>
  <c r="H13" i="156" s="1"/>
  <c r="BF13" i="67"/>
  <c r="BE13" i="67"/>
  <c r="F13" i="155" s="1"/>
  <c r="BD13" i="67"/>
  <c r="G13" i="76" s="1"/>
  <c r="BC13" i="67"/>
  <c r="BB13" i="67"/>
  <c r="BA13" i="67"/>
  <c r="AZ13" i="67"/>
  <c r="AY13" i="67"/>
  <c r="AV13" i="67"/>
  <c r="AU13" i="67"/>
  <c r="AT13" i="67"/>
  <c r="AS13" i="67"/>
  <c r="C13" i="67"/>
  <c r="B13" i="67"/>
  <c r="BM12" i="67"/>
  <c r="BL12" i="67"/>
  <c r="G12" i="156" s="1"/>
  <c r="BK12" i="67"/>
  <c r="BJ12" i="67"/>
  <c r="BI12" i="67"/>
  <c r="H12" i="77" s="1"/>
  <c r="BH12" i="67"/>
  <c r="BG12" i="67"/>
  <c r="H12" i="156" s="1"/>
  <c r="BF12" i="67"/>
  <c r="BE12" i="67"/>
  <c r="F12" i="155" s="1"/>
  <c r="BD12" i="67"/>
  <c r="G12" i="76" s="1"/>
  <c r="BC12" i="67"/>
  <c r="BB12" i="67"/>
  <c r="BA12" i="67"/>
  <c r="AZ12" i="67"/>
  <c r="AY12" i="67"/>
  <c r="AV12" i="67"/>
  <c r="AU12" i="67"/>
  <c r="AT12" i="67"/>
  <c r="AS12" i="67"/>
  <c r="C12" i="67"/>
  <c r="B12" i="67"/>
  <c r="BM11" i="67"/>
  <c r="BL11" i="67"/>
  <c r="G11" i="156" s="1"/>
  <c r="BK11" i="67"/>
  <c r="BJ11" i="67"/>
  <c r="BI11" i="67"/>
  <c r="H11" i="77" s="1"/>
  <c r="BH11" i="67"/>
  <c r="BG11" i="67"/>
  <c r="H11" i="156" s="1"/>
  <c r="BF11" i="67"/>
  <c r="BE11" i="67"/>
  <c r="F11" i="155" s="1"/>
  <c r="BD11" i="67"/>
  <c r="G11" i="76" s="1"/>
  <c r="BC11" i="67"/>
  <c r="BB11" i="67"/>
  <c r="BA11" i="67"/>
  <c r="AZ11" i="67"/>
  <c r="AY11" i="67"/>
  <c r="AV11" i="67"/>
  <c r="AU11" i="67"/>
  <c r="AT11" i="67"/>
  <c r="AS11" i="67"/>
  <c r="C11" i="67"/>
  <c r="B11" i="67"/>
  <c r="BM10" i="67"/>
  <c r="BL10" i="67"/>
  <c r="G10" i="156" s="1"/>
  <c r="BK10" i="67"/>
  <c r="BJ10" i="67"/>
  <c r="BI10" i="67"/>
  <c r="H10" i="77" s="1"/>
  <c r="BH10" i="67"/>
  <c r="BG10" i="67"/>
  <c r="H10" i="156" s="1"/>
  <c r="BF10" i="67"/>
  <c r="BE10" i="67"/>
  <c r="F10" i="155" s="1"/>
  <c r="BD10" i="67"/>
  <c r="G10" i="76" s="1"/>
  <c r="BC10" i="67"/>
  <c r="BB10" i="67"/>
  <c r="BA10" i="67"/>
  <c r="AZ10" i="67"/>
  <c r="AY10" i="67"/>
  <c r="AV10" i="67"/>
  <c r="AU10" i="67"/>
  <c r="AT10" i="67"/>
  <c r="AS10" i="67"/>
  <c r="C10" i="67"/>
  <c r="B10" i="67"/>
  <c r="BM9" i="67"/>
  <c r="BL9" i="67"/>
  <c r="G9" i="156" s="1"/>
  <c r="BK9" i="67"/>
  <c r="BJ9" i="67"/>
  <c r="BI9" i="67"/>
  <c r="H9" i="77" s="1"/>
  <c r="BH9" i="67"/>
  <c r="BG9" i="67"/>
  <c r="H9" i="156" s="1"/>
  <c r="BF9" i="67"/>
  <c r="BE9" i="67"/>
  <c r="F9" i="155" s="1"/>
  <c r="BD9" i="67"/>
  <c r="G9" i="76" s="1"/>
  <c r="BC9" i="67"/>
  <c r="BB9" i="67"/>
  <c r="BA9" i="67"/>
  <c r="AZ9" i="67"/>
  <c r="AY9" i="67"/>
  <c r="AV9" i="67"/>
  <c r="AU9" i="67"/>
  <c r="AT9" i="67"/>
  <c r="AS9" i="67"/>
  <c r="C9" i="67"/>
  <c r="B9" i="67"/>
  <c r="BM8" i="67"/>
  <c r="BL8" i="67"/>
  <c r="G8" i="156" s="1"/>
  <c r="BK8" i="67"/>
  <c r="BJ8" i="67"/>
  <c r="BI8" i="67"/>
  <c r="H8" i="77" s="1"/>
  <c r="BH8" i="67"/>
  <c r="BG8" i="67"/>
  <c r="H8" i="156" s="1"/>
  <c r="BF8" i="67"/>
  <c r="BE8" i="67"/>
  <c r="F8" i="155" s="1"/>
  <c r="BD8" i="67"/>
  <c r="G8" i="76" s="1"/>
  <c r="BC8" i="67"/>
  <c r="BB8" i="67"/>
  <c r="BA8" i="67"/>
  <c r="AZ8" i="67"/>
  <c r="AY8" i="67"/>
  <c r="AV8" i="67"/>
  <c r="AU8" i="67"/>
  <c r="AT8" i="67"/>
  <c r="AS8" i="67"/>
  <c r="C8" i="67"/>
  <c r="B8" i="67"/>
  <c r="BM7" i="67"/>
  <c r="BL7" i="67"/>
  <c r="G7" i="156" s="1"/>
  <c r="BK7" i="67"/>
  <c r="BJ7" i="67"/>
  <c r="BI7" i="67"/>
  <c r="H7" i="77" s="1"/>
  <c r="BH7" i="67"/>
  <c r="BG7" i="67"/>
  <c r="H7" i="156" s="1"/>
  <c r="BF7" i="67"/>
  <c r="BE7" i="67"/>
  <c r="F7" i="155" s="1"/>
  <c r="BD7" i="67"/>
  <c r="G7" i="76" s="1"/>
  <c r="BC7" i="67"/>
  <c r="BB7" i="67"/>
  <c r="BA7" i="67"/>
  <c r="AZ7" i="67"/>
  <c r="AY7" i="67"/>
  <c r="AV7" i="67"/>
  <c r="AU7" i="67"/>
  <c r="AT7" i="67"/>
  <c r="AS7" i="67"/>
  <c r="C7" i="67"/>
  <c r="B7" i="67"/>
  <c r="BM6" i="67"/>
  <c r="BL6" i="67"/>
  <c r="G6" i="156" s="1"/>
  <c r="BK6" i="67"/>
  <c r="BJ6" i="67"/>
  <c r="BI6" i="67"/>
  <c r="H6" i="77" s="1"/>
  <c r="BH6" i="67"/>
  <c r="BG6" i="67"/>
  <c r="H6" i="156" s="1"/>
  <c r="BF6" i="67"/>
  <c r="BE6" i="67"/>
  <c r="F6" i="155" s="1"/>
  <c r="BD6" i="67"/>
  <c r="G6" i="76" s="1"/>
  <c r="BC6" i="67"/>
  <c r="BB6" i="67"/>
  <c r="BA6" i="67"/>
  <c r="AZ6" i="67"/>
  <c r="AY6" i="67"/>
  <c r="AV6" i="67"/>
  <c r="AU6" i="67"/>
  <c r="AT6" i="67"/>
  <c r="AS6" i="67"/>
  <c r="C6" i="67"/>
  <c r="B6" i="67"/>
  <c r="BM5" i="67"/>
  <c r="BL5" i="67"/>
  <c r="G5" i="156" s="1"/>
  <c r="BK5" i="67"/>
  <c r="BJ5" i="67"/>
  <c r="BI5" i="67"/>
  <c r="H5" i="77" s="1"/>
  <c r="BH5" i="67"/>
  <c r="BG5" i="67"/>
  <c r="H5" i="156" s="1"/>
  <c r="BF5" i="67"/>
  <c r="BE5" i="67"/>
  <c r="F5" i="155" s="1"/>
  <c r="BD5" i="67"/>
  <c r="G5" i="76" s="1"/>
  <c r="BC5" i="67"/>
  <c r="BB5" i="67"/>
  <c r="BA5" i="67"/>
  <c r="AZ5" i="67"/>
  <c r="AY5" i="67"/>
  <c r="AV5" i="67"/>
  <c r="AU5" i="67"/>
  <c r="AT5" i="67"/>
  <c r="AS5" i="67"/>
  <c r="C5" i="67"/>
  <c r="B5" i="67"/>
  <c r="BM4" i="67"/>
  <c r="BL4" i="67"/>
  <c r="G4" i="156" s="1"/>
  <c r="BK4" i="67"/>
  <c r="BJ4" i="67"/>
  <c r="BI4" i="67"/>
  <c r="H4" i="77" s="1"/>
  <c r="BH4" i="67"/>
  <c r="BG4" i="67"/>
  <c r="H4" i="156" s="1"/>
  <c r="BF4" i="67"/>
  <c r="BE4" i="67"/>
  <c r="F4" i="155" s="1"/>
  <c r="BD4" i="67"/>
  <c r="G4" i="76" s="1"/>
  <c r="BC4" i="67"/>
  <c r="BB4" i="67"/>
  <c r="BA4" i="67"/>
  <c r="AZ4" i="67"/>
  <c r="AY4" i="67"/>
  <c r="AV4" i="67"/>
  <c r="AU4" i="67"/>
  <c r="AT4" i="67"/>
  <c r="AS4" i="67"/>
  <c r="C4" i="67"/>
  <c r="B4" i="67"/>
  <c r="BM3" i="67"/>
  <c r="BL3" i="67"/>
  <c r="G3" i="156" s="1"/>
  <c r="BK3" i="67"/>
  <c r="BJ3" i="67"/>
  <c r="BI3" i="67"/>
  <c r="H3" i="77" s="1"/>
  <c r="BH3" i="67"/>
  <c r="BG3" i="67"/>
  <c r="H3" i="156" s="1"/>
  <c r="BF3" i="67"/>
  <c r="BE3" i="67"/>
  <c r="F3" i="155" s="1"/>
  <c r="BD3" i="67"/>
  <c r="G3" i="76" s="1"/>
  <c r="BC3" i="67"/>
  <c r="BB3" i="67"/>
  <c r="BA3" i="67"/>
  <c r="AZ3" i="67"/>
  <c r="AY3" i="67"/>
  <c r="AV3" i="67"/>
  <c r="AU3" i="67"/>
  <c r="AT3" i="67"/>
  <c r="AS3" i="67"/>
  <c r="C3" i="67"/>
  <c r="B3" i="67"/>
  <c r="BM2" i="67"/>
  <c r="BL2" i="67"/>
  <c r="G2" i="156" s="1"/>
  <c r="BK2" i="67"/>
  <c r="BJ2" i="67"/>
  <c r="BI2" i="67"/>
  <c r="H2" i="77" s="1"/>
  <c r="BH2" i="67"/>
  <c r="BG2" i="67"/>
  <c r="H2" i="156" s="1"/>
  <c r="BF2" i="67"/>
  <c r="BE2" i="67"/>
  <c r="F2" i="155" s="1"/>
  <c r="BD2" i="67"/>
  <c r="G2" i="76" s="1"/>
  <c r="BC2" i="67"/>
  <c r="BB2" i="67"/>
  <c r="BA2" i="67"/>
  <c r="AZ2" i="67"/>
  <c r="AY2" i="67"/>
  <c r="AV2" i="67"/>
  <c r="AU2" i="67"/>
  <c r="AT2" i="67"/>
  <c r="AS2" i="67"/>
  <c r="C2" i="67"/>
  <c r="B2" i="67"/>
  <c r="G15" i="77" l="1"/>
  <c r="E15" i="32"/>
  <c r="G28" i="77"/>
  <c r="E28" i="32"/>
  <c r="G44" i="77"/>
  <c r="E44" i="32"/>
  <c r="G52" i="77"/>
  <c r="E52" i="32"/>
  <c r="J61" i="156"/>
  <c r="J61" i="76"/>
  <c r="I61" i="155"/>
  <c r="I61" i="36"/>
  <c r="P61" i="36" s="1"/>
  <c r="I61" i="32"/>
  <c r="P61" i="32" s="1"/>
  <c r="G65" i="77"/>
  <c r="E65" i="32"/>
  <c r="I69" i="155"/>
  <c r="J69" i="156"/>
  <c r="J69" i="76"/>
  <c r="I69" i="36"/>
  <c r="P69" i="36" s="1"/>
  <c r="I69" i="32"/>
  <c r="P69" i="32" s="1"/>
  <c r="G73" i="77"/>
  <c r="E73" i="32"/>
  <c r="J77" i="156"/>
  <c r="J125" i="156" s="1"/>
  <c r="S125" i="156" s="1"/>
  <c r="J77" i="76"/>
  <c r="J125" i="76" s="1"/>
  <c r="I77" i="155"/>
  <c r="I125" i="155" s="1"/>
  <c r="O125" i="155" s="1"/>
  <c r="I77" i="36"/>
  <c r="I77" i="32"/>
  <c r="P77" i="32" s="1"/>
  <c r="G79" i="77"/>
  <c r="E79" i="32"/>
  <c r="J85" i="156"/>
  <c r="J133" i="156" s="1"/>
  <c r="S133" i="156" s="1"/>
  <c r="I85" i="155"/>
  <c r="I133" i="155" s="1"/>
  <c r="O133" i="155" s="1"/>
  <c r="I85" i="36"/>
  <c r="J85" i="76"/>
  <c r="J133" i="76" s="1"/>
  <c r="I85" i="32"/>
  <c r="P85" i="32" s="1"/>
  <c r="G87" i="77"/>
  <c r="E87" i="32"/>
  <c r="G91" i="77"/>
  <c r="E91" i="32"/>
  <c r="J93" i="156"/>
  <c r="J141" i="156" s="1"/>
  <c r="S141" i="156" s="1"/>
  <c r="I93" i="155"/>
  <c r="I141" i="155" s="1"/>
  <c r="O141" i="155" s="1"/>
  <c r="J93" i="76"/>
  <c r="J141" i="76" s="1"/>
  <c r="I93" i="36"/>
  <c r="I93" i="32"/>
  <c r="P93" i="32" s="1"/>
  <c r="G100" i="77"/>
  <c r="E100" i="32"/>
  <c r="G12" i="77"/>
  <c r="E12" i="32"/>
  <c r="G9" i="77"/>
  <c r="E9" i="32"/>
  <c r="G25" i="77"/>
  <c r="E25" i="32"/>
  <c r="G41" i="77"/>
  <c r="E41" i="32"/>
  <c r="I54" i="155"/>
  <c r="J54" i="156"/>
  <c r="J54" i="76"/>
  <c r="I54" i="36"/>
  <c r="P54" i="36" s="1"/>
  <c r="I54" i="32"/>
  <c r="P54" i="32" s="1"/>
  <c r="G61" i="77"/>
  <c r="E61" i="32"/>
  <c r="E101" i="32"/>
  <c r="G101" i="77"/>
  <c r="G22" i="77"/>
  <c r="E22" i="32"/>
  <c r="G38" i="77"/>
  <c r="E38" i="32"/>
  <c r="G54" i="77"/>
  <c r="E54" i="32"/>
  <c r="J62" i="156"/>
  <c r="I62" i="155"/>
  <c r="J62" i="76"/>
  <c r="I62" i="36"/>
  <c r="P62" i="36" s="1"/>
  <c r="I62" i="32"/>
  <c r="P62" i="32" s="1"/>
  <c r="G66" i="77"/>
  <c r="E66" i="32"/>
  <c r="J70" i="156"/>
  <c r="J70" i="76"/>
  <c r="I70" i="155"/>
  <c r="I70" i="36"/>
  <c r="P70" i="36" s="1"/>
  <c r="I70" i="32"/>
  <c r="P70" i="32" s="1"/>
  <c r="G74" i="77"/>
  <c r="E74" i="32"/>
  <c r="I80" i="155"/>
  <c r="I128" i="155" s="1"/>
  <c r="O128" i="155" s="1"/>
  <c r="J80" i="156"/>
  <c r="J128" i="156" s="1"/>
  <c r="S128" i="156" s="1"/>
  <c r="J80" i="76"/>
  <c r="J128" i="76" s="1"/>
  <c r="I80" i="36"/>
  <c r="I80" i="32"/>
  <c r="P80" i="32" s="1"/>
  <c r="G82" i="77"/>
  <c r="E82" i="32"/>
  <c r="I88" i="155"/>
  <c r="I136" i="155" s="1"/>
  <c r="O136" i="155" s="1"/>
  <c r="J88" i="156"/>
  <c r="J136" i="156" s="1"/>
  <c r="S136" i="156" s="1"/>
  <c r="J88" i="76"/>
  <c r="J136" i="76" s="1"/>
  <c r="I88" i="36"/>
  <c r="I88" i="32"/>
  <c r="P88" i="32" s="1"/>
  <c r="G92" i="77"/>
  <c r="E92" i="32"/>
  <c r="J94" i="156"/>
  <c r="J142" i="156" s="1"/>
  <c r="S142" i="156" s="1"/>
  <c r="I94" i="155"/>
  <c r="I142" i="155" s="1"/>
  <c r="O142" i="155" s="1"/>
  <c r="I94" i="36"/>
  <c r="I94" i="32"/>
  <c r="P94" i="32" s="1"/>
  <c r="J94" i="76"/>
  <c r="J142" i="76" s="1"/>
  <c r="G102" i="77"/>
  <c r="E102" i="32"/>
  <c r="G6" i="77"/>
  <c r="E6" i="32"/>
  <c r="G35" i="77"/>
  <c r="E35" i="32"/>
  <c r="J56" i="156"/>
  <c r="J56" i="76"/>
  <c r="I56" i="155"/>
  <c r="I56" i="36"/>
  <c r="P56" i="36" s="1"/>
  <c r="I56" i="32"/>
  <c r="P56" i="32" s="1"/>
  <c r="G103" i="77"/>
  <c r="E103" i="32"/>
  <c r="G3" i="77"/>
  <c r="E3" i="32"/>
  <c r="E32" i="32"/>
  <c r="G32" i="77"/>
  <c r="G48" i="77"/>
  <c r="E48" i="32"/>
  <c r="G56" i="77"/>
  <c r="E56" i="32"/>
  <c r="J63" i="156"/>
  <c r="I63" i="155"/>
  <c r="J63" i="76"/>
  <c r="I63" i="36"/>
  <c r="P63" i="36" s="1"/>
  <c r="I63" i="32"/>
  <c r="P63" i="32" s="1"/>
  <c r="G67" i="77"/>
  <c r="E67" i="32"/>
  <c r="I71" i="155"/>
  <c r="J71" i="156"/>
  <c r="J71" i="76"/>
  <c r="I71" i="36"/>
  <c r="P71" i="36" s="1"/>
  <c r="I71" i="32"/>
  <c r="P71" i="32" s="1"/>
  <c r="J75" i="156"/>
  <c r="J123" i="156" s="1"/>
  <c r="S123" i="156" s="1"/>
  <c r="I75" i="155"/>
  <c r="I123" i="155" s="1"/>
  <c r="O123" i="155" s="1"/>
  <c r="J75" i="76"/>
  <c r="J123" i="76" s="1"/>
  <c r="I75" i="36"/>
  <c r="I75" i="32"/>
  <c r="P75" i="32" s="1"/>
  <c r="G77" i="77"/>
  <c r="E77" i="32"/>
  <c r="I83" i="155"/>
  <c r="I131" i="155" s="1"/>
  <c r="O131" i="155" s="1"/>
  <c r="J83" i="156"/>
  <c r="J131" i="156" s="1"/>
  <c r="S131" i="156" s="1"/>
  <c r="J83" i="76"/>
  <c r="J131" i="76" s="1"/>
  <c r="I83" i="36"/>
  <c r="I83" i="32"/>
  <c r="P83" i="32" s="1"/>
  <c r="G85" i="77"/>
  <c r="E85" i="32"/>
  <c r="G93" i="77"/>
  <c r="E93" i="32"/>
  <c r="J95" i="156"/>
  <c r="J143" i="156" s="1"/>
  <c r="S143" i="156" s="1"/>
  <c r="I95" i="155"/>
  <c r="I143" i="155" s="1"/>
  <c r="O143" i="155" s="1"/>
  <c r="I95" i="36"/>
  <c r="J95" i="76"/>
  <c r="J143" i="76" s="1"/>
  <c r="I95" i="32"/>
  <c r="P95" i="32" s="1"/>
  <c r="G104" i="77"/>
  <c r="E104" i="32"/>
  <c r="E16" i="32"/>
  <c r="G16" i="77"/>
  <c r="G45" i="77"/>
  <c r="E45" i="32"/>
  <c r="J58" i="156"/>
  <c r="J58" i="76"/>
  <c r="I58" i="155"/>
  <c r="I58" i="32"/>
  <c r="P58" i="32" s="1"/>
  <c r="I58" i="36"/>
  <c r="P58" i="36" s="1"/>
  <c r="G105" i="77"/>
  <c r="E105" i="32"/>
  <c r="W13" i="57"/>
  <c r="W9" i="57"/>
  <c r="N14" i="57"/>
  <c r="AL47" i="17"/>
  <c r="N10" i="57"/>
  <c r="AW48" i="17"/>
  <c r="W14" i="57"/>
  <c r="W10" i="57"/>
  <c r="AW49" i="17"/>
  <c r="W5" i="57"/>
  <c r="N11" i="57"/>
  <c r="AL48" i="17"/>
  <c r="N6" i="57"/>
  <c r="AW50" i="17"/>
  <c r="W11" i="57"/>
  <c r="AW47" i="17"/>
  <c r="N12" i="57"/>
  <c r="AL50" i="17"/>
  <c r="N5" i="57"/>
  <c r="N7" i="57"/>
  <c r="W6" i="57"/>
  <c r="AW51" i="17"/>
  <c r="N8" i="57"/>
  <c r="W12" i="57"/>
  <c r="W7" i="57"/>
  <c r="N13" i="57"/>
  <c r="AW52" i="17"/>
  <c r="W8" i="57"/>
  <c r="AL54" i="17"/>
  <c r="AL52" i="17"/>
  <c r="AL51" i="17"/>
  <c r="AL49" i="17"/>
  <c r="AL53" i="17"/>
  <c r="AW53" i="17"/>
  <c r="AL55" i="17"/>
  <c r="AW54" i="17"/>
  <c r="AL56" i="17"/>
  <c r="AW55" i="17"/>
  <c r="AW56" i="17"/>
  <c r="BN14" i="17"/>
  <c r="AM13" i="57"/>
  <c r="AM9" i="57"/>
  <c r="AM14" i="57"/>
  <c r="AM10" i="57"/>
  <c r="AM6" i="57"/>
  <c r="AM11" i="57"/>
  <c r="AM7" i="57"/>
  <c r="AM12" i="57"/>
  <c r="AM8" i="57"/>
  <c r="AM5" i="57"/>
  <c r="G13" i="77"/>
  <c r="E13" i="32"/>
  <c r="G26" i="77"/>
  <c r="E26" i="32"/>
  <c r="G42" i="77"/>
  <c r="E42" i="32"/>
  <c r="I51" i="155"/>
  <c r="J51" i="156"/>
  <c r="J51" i="76"/>
  <c r="I51" i="36"/>
  <c r="P51" i="36" s="1"/>
  <c r="I51" i="32"/>
  <c r="P51" i="32" s="1"/>
  <c r="G58" i="77"/>
  <c r="E58" i="32"/>
  <c r="I64" i="155"/>
  <c r="J64" i="156"/>
  <c r="J64" i="76"/>
  <c r="I64" i="36"/>
  <c r="P64" i="36" s="1"/>
  <c r="I64" i="32"/>
  <c r="P64" i="32" s="1"/>
  <c r="G68" i="77"/>
  <c r="E68" i="32"/>
  <c r="J72" i="156"/>
  <c r="I72" i="155"/>
  <c r="J72" i="76"/>
  <c r="I72" i="36"/>
  <c r="P72" i="36" s="1"/>
  <c r="I72" i="32"/>
  <c r="P72" i="32" s="1"/>
  <c r="I78" i="155"/>
  <c r="I126" i="155" s="1"/>
  <c r="O126" i="155" s="1"/>
  <c r="J78" i="156"/>
  <c r="J126" i="156" s="1"/>
  <c r="S126" i="156" s="1"/>
  <c r="J78" i="76"/>
  <c r="J126" i="76" s="1"/>
  <c r="I78" i="36"/>
  <c r="I78" i="32"/>
  <c r="P78" i="32" s="1"/>
  <c r="E80" i="32"/>
  <c r="G80" i="77"/>
  <c r="J86" i="156"/>
  <c r="J134" i="156" s="1"/>
  <c r="S134" i="156" s="1"/>
  <c r="I86" i="155"/>
  <c r="I134" i="155" s="1"/>
  <c r="O134" i="155" s="1"/>
  <c r="J86" i="76"/>
  <c r="J134" i="76" s="1"/>
  <c r="I86" i="36"/>
  <c r="I86" i="32"/>
  <c r="P86" i="32" s="1"/>
  <c r="G88" i="77"/>
  <c r="E88" i="32"/>
  <c r="G94" i="77"/>
  <c r="E94" i="32"/>
  <c r="I96" i="155"/>
  <c r="I144" i="155" s="1"/>
  <c r="O144" i="155" s="1"/>
  <c r="J96" i="156"/>
  <c r="J144" i="156" s="1"/>
  <c r="S144" i="156" s="1"/>
  <c r="J96" i="76"/>
  <c r="J144" i="76" s="1"/>
  <c r="I96" i="36"/>
  <c r="I96" i="32"/>
  <c r="P96" i="32" s="1"/>
  <c r="G106" i="77"/>
  <c r="E106" i="32"/>
  <c r="G29" i="77"/>
  <c r="E29" i="32"/>
  <c r="G23" i="77"/>
  <c r="E23" i="32"/>
  <c r="G39" i="77"/>
  <c r="E39" i="32"/>
  <c r="G51" i="77"/>
  <c r="E51" i="32"/>
  <c r="J60" i="156"/>
  <c r="I60" i="155"/>
  <c r="J60" i="76"/>
  <c r="I60" i="32"/>
  <c r="P60" i="32" s="1"/>
  <c r="I60" i="36"/>
  <c r="P60" i="36" s="1"/>
  <c r="G107" i="77"/>
  <c r="E107" i="32"/>
  <c r="G19" i="77"/>
  <c r="E19" i="32"/>
  <c r="G4" i="77"/>
  <c r="E4" i="32"/>
  <c r="G20" i="77"/>
  <c r="E20" i="32"/>
  <c r="G36" i="77"/>
  <c r="E36" i="32"/>
  <c r="J53" i="156"/>
  <c r="I53" i="155"/>
  <c r="I53" i="36"/>
  <c r="P53" i="36" s="1"/>
  <c r="I53" i="32"/>
  <c r="P53" i="32" s="1"/>
  <c r="J53" i="76"/>
  <c r="G60" i="77"/>
  <c r="E60" i="32"/>
  <c r="J65" i="156"/>
  <c r="I65" i="155"/>
  <c r="J65" i="76"/>
  <c r="I65" i="36"/>
  <c r="P65" i="36" s="1"/>
  <c r="I65" i="32"/>
  <c r="P65" i="32" s="1"/>
  <c r="G69" i="77"/>
  <c r="E69" i="32"/>
  <c r="J73" i="156"/>
  <c r="J73" i="76"/>
  <c r="I73" i="155"/>
  <c r="I73" i="36"/>
  <c r="P73" i="36" s="1"/>
  <c r="I73" i="32"/>
  <c r="P73" i="32" s="1"/>
  <c r="G75" i="77"/>
  <c r="E75" i="32"/>
  <c r="J81" i="156"/>
  <c r="J129" i="156" s="1"/>
  <c r="S129" i="156" s="1"/>
  <c r="I81" i="155"/>
  <c r="I129" i="155" s="1"/>
  <c r="O129" i="155" s="1"/>
  <c r="J81" i="76"/>
  <c r="J129" i="76" s="1"/>
  <c r="I81" i="36"/>
  <c r="I81" i="32"/>
  <c r="P81" i="32" s="1"/>
  <c r="G83" i="77"/>
  <c r="E83" i="32"/>
  <c r="J89" i="156"/>
  <c r="J137" i="156" s="1"/>
  <c r="S137" i="156" s="1"/>
  <c r="J89" i="76"/>
  <c r="J137" i="76" s="1"/>
  <c r="I89" i="155"/>
  <c r="I137" i="155" s="1"/>
  <c r="O137" i="155" s="1"/>
  <c r="I89" i="36"/>
  <c r="I89" i="32"/>
  <c r="P89" i="32" s="1"/>
  <c r="G95" i="77"/>
  <c r="E95" i="32"/>
  <c r="I97" i="155"/>
  <c r="I145" i="155" s="1"/>
  <c r="O145" i="155" s="1"/>
  <c r="J97" i="156"/>
  <c r="J145" i="156" s="1"/>
  <c r="S145" i="156" s="1"/>
  <c r="J97" i="76"/>
  <c r="J145" i="76" s="1"/>
  <c r="I97" i="36"/>
  <c r="I97" i="32"/>
  <c r="P97" i="32" s="1"/>
  <c r="G108" i="77"/>
  <c r="E108" i="32"/>
  <c r="G10" i="77"/>
  <c r="E10" i="32"/>
  <c r="G7" i="77"/>
  <c r="E7" i="32"/>
  <c r="G17" i="77"/>
  <c r="E17" i="32"/>
  <c r="G33" i="77"/>
  <c r="E33" i="32"/>
  <c r="G49" i="77"/>
  <c r="E49" i="32"/>
  <c r="G53" i="77"/>
  <c r="E53" i="32"/>
  <c r="G109" i="77"/>
  <c r="E109" i="32"/>
  <c r="G14" i="77"/>
  <c r="E14" i="32"/>
  <c r="G30" i="77"/>
  <c r="E30" i="32"/>
  <c r="G46" i="77"/>
  <c r="E46" i="32"/>
  <c r="J55" i="156"/>
  <c r="I55" i="155"/>
  <c r="I55" i="36"/>
  <c r="P55" i="36" s="1"/>
  <c r="I55" i="32"/>
  <c r="P55" i="32" s="1"/>
  <c r="J55" i="76"/>
  <c r="G62" i="77"/>
  <c r="E62" i="32"/>
  <c r="J66" i="156"/>
  <c r="J66" i="76"/>
  <c r="I66" i="155"/>
  <c r="I66" i="32"/>
  <c r="P66" i="32" s="1"/>
  <c r="I66" i="36"/>
  <c r="P66" i="36" s="1"/>
  <c r="G70" i="77"/>
  <c r="E70" i="32"/>
  <c r="I76" i="155"/>
  <c r="I124" i="155" s="1"/>
  <c r="O124" i="155" s="1"/>
  <c r="J76" i="156"/>
  <c r="J124" i="156" s="1"/>
  <c r="S124" i="156" s="1"/>
  <c r="J76" i="76"/>
  <c r="J124" i="76" s="1"/>
  <c r="I76" i="36"/>
  <c r="I76" i="32"/>
  <c r="P76" i="32" s="1"/>
  <c r="G78" i="77"/>
  <c r="E78" i="32"/>
  <c r="J84" i="156"/>
  <c r="J132" i="156" s="1"/>
  <c r="S132" i="156" s="1"/>
  <c r="I84" i="155"/>
  <c r="I132" i="155" s="1"/>
  <c r="O132" i="155" s="1"/>
  <c r="J84" i="76"/>
  <c r="J132" i="76" s="1"/>
  <c r="I84" i="32"/>
  <c r="P84" i="32" s="1"/>
  <c r="I84" i="36"/>
  <c r="G86" i="77"/>
  <c r="E86" i="32"/>
  <c r="J90" i="156"/>
  <c r="J138" i="156" s="1"/>
  <c r="S138" i="156" s="1"/>
  <c r="J90" i="76"/>
  <c r="J138" i="76" s="1"/>
  <c r="I90" i="32"/>
  <c r="P90" i="32" s="1"/>
  <c r="I90" i="155"/>
  <c r="I138" i="155" s="1"/>
  <c r="O138" i="155" s="1"/>
  <c r="I90" i="36"/>
  <c r="E96" i="32"/>
  <c r="G96" i="77"/>
  <c r="G110" i="77"/>
  <c r="E110" i="32"/>
  <c r="G11" i="77"/>
  <c r="E11" i="32"/>
  <c r="G27" i="77"/>
  <c r="E27" i="32"/>
  <c r="G43" i="77"/>
  <c r="E43" i="32"/>
  <c r="G55" i="77"/>
  <c r="E55" i="32"/>
  <c r="G111" i="77"/>
  <c r="E111" i="32"/>
  <c r="G8" i="77"/>
  <c r="E8" i="32"/>
  <c r="G24" i="77"/>
  <c r="E24" i="32"/>
  <c r="G40" i="77"/>
  <c r="E40" i="32"/>
  <c r="J57" i="156"/>
  <c r="J57" i="76"/>
  <c r="I57" i="155"/>
  <c r="I57" i="36"/>
  <c r="P57" i="36" s="1"/>
  <c r="I57" i="32"/>
  <c r="P57" i="32" s="1"/>
  <c r="G63" i="77"/>
  <c r="E63" i="32"/>
  <c r="I67" i="155"/>
  <c r="J67" i="156"/>
  <c r="J67" i="76"/>
  <c r="I67" i="36"/>
  <c r="P67" i="36" s="1"/>
  <c r="I67" i="32"/>
  <c r="P67" i="32" s="1"/>
  <c r="G71" i="77"/>
  <c r="E71" i="32"/>
  <c r="J79" i="156"/>
  <c r="J127" i="156" s="1"/>
  <c r="S127" i="156" s="1"/>
  <c r="I79" i="155"/>
  <c r="I127" i="155" s="1"/>
  <c r="O127" i="155" s="1"/>
  <c r="J79" i="76"/>
  <c r="J127" i="76" s="1"/>
  <c r="I79" i="36"/>
  <c r="I79" i="32"/>
  <c r="P79" i="32" s="1"/>
  <c r="G81" i="77"/>
  <c r="E81" i="32"/>
  <c r="I87" i="155"/>
  <c r="I135" i="155" s="1"/>
  <c r="O135" i="155" s="1"/>
  <c r="J87" i="156"/>
  <c r="J135" i="156" s="1"/>
  <c r="S135" i="156" s="1"/>
  <c r="J87" i="76"/>
  <c r="J135" i="76" s="1"/>
  <c r="I87" i="36"/>
  <c r="I87" i="32"/>
  <c r="P87" i="32" s="1"/>
  <c r="G89" i="77"/>
  <c r="E89" i="32"/>
  <c r="I91" i="155"/>
  <c r="I139" i="155" s="1"/>
  <c r="O139" i="155" s="1"/>
  <c r="J91" i="76"/>
  <c r="J139" i="76" s="1"/>
  <c r="J91" i="156"/>
  <c r="J139" i="156" s="1"/>
  <c r="S139" i="156" s="1"/>
  <c r="I91" i="36"/>
  <c r="I91" i="32"/>
  <c r="P91" i="32" s="1"/>
  <c r="G97" i="77"/>
  <c r="E97" i="32"/>
  <c r="G112" i="77"/>
  <c r="E112" i="32"/>
  <c r="G5" i="77"/>
  <c r="E5" i="32"/>
  <c r="G21" i="77"/>
  <c r="E21" i="32"/>
  <c r="E37" i="32"/>
  <c r="G37" i="77"/>
  <c r="J50" i="156"/>
  <c r="I50" i="155"/>
  <c r="J50" i="76"/>
  <c r="I50" i="32"/>
  <c r="P50" i="32" s="1"/>
  <c r="I50" i="36"/>
  <c r="P50" i="36" s="1"/>
  <c r="G57" i="77"/>
  <c r="E57" i="32"/>
  <c r="G113" i="77"/>
  <c r="E113" i="32"/>
  <c r="G2" i="77"/>
  <c r="E2" i="32"/>
  <c r="G18" i="77"/>
  <c r="E18" i="32"/>
  <c r="G34" i="77"/>
  <c r="E34" i="32"/>
  <c r="G50" i="77"/>
  <c r="E50" i="32"/>
  <c r="J59" i="156"/>
  <c r="I59" i="155"/>
  <c r="J59" i="76"/>
  <c r="I59" i="36"/>
  <c r="P59" i="36" s="1"/>
  <c r="I59" i="32"/>
  <c r="P59" i="32" s="1"/>
  <c r="G64" i="77"/>
  <c r="E64" i="32"/>
  <c r="I68" i="155"/>
  <c r="J68" i="156"/>
  <c r="J68" i="76"/>
  <c r="I68" i="36"/>
  <c r="P68" i="36" s="1"/>
  <c r="I68" i="32"/>
  <c r="P68" i="32" s="1"/>
  <c r="G72" i="77"/>
  <c r="E72" i="32"/>
  <c r="J74" i="156"/>
  <c r="J122" i="156" s="1"/>
  <c r="S122" i="156" s="1"/>
  <c r="I74" i="155"/>
  <c r="I122" i="155" s="1"/>
  <c r="O122" i="155" s="1"/>
  <c r="J74" i="76"/>
  <c r="J122" i="76" s="1"/>
  <c r="I74" i="32"/>
  <c r="P74" i="32" s="1"/>
  <c r="I74" i="36"/>
  <c r="G76" i="77"/>
  <c r="E76" i="32"/>
  <c r="J82" i="156"/>
  <c r="J130" i="156" s="1"/>
  <c r="S130" i="156" s="1"/>
  <c r="J82" i="76"/>
  <c r="J130" i="76" s="1"/>
  <c r="I82" i="155"/>
  <c r="I130" i="155" s="1"/>
  <c r="O130" i="155" s="1"/>
  <c r="I82" i="32"/>
  <c r="P82" i="32" s="1"/>
  <c r="I82" i="36"/>
  <c r="G84" i="77"/>
  <c r="E84" i="32"/>
  <c r="G90" i="77"/>
  <c r="E90" i="32"/>
  <c r="I92" i="155"/>
  <c r="I140" i="155" s="1"/>
  <c r="O140" i="155" s="1"/>
  <c r="J92" i="156"/>
  <c r="J140" i="156" s="1"/>
  <c r="S140" i="156" s="1"/>
  <c r="J92" i="76"/>
  <c r="J140" i="76" s="1"/>
  <c r="I92" i="32"/>
  <c r="P92" i="32" s="1"/>
  <c r="I92" i="36"/>
  <c r="G98" i="77"/>
  <c r="E98" i="32"/>
  <c r="G114" i="77"/>
  <c r="E114" i="32"/>
  <c r="G31" i="77"/>
  <c r="E31" i="32"/>
  <c r="G47" i="77"/>
  <c r="E47" i="32"/>
  <c r="I52" i="155"/>
  <c r="J52" i="156"/>
  <c r="J52" i="76"/>
  <c r="I52" i="32"/>
  <c r="P52" i="32" s="1"/>
  <c r="I52" i="36"/>
  <c r="P52" i="36" s="1"/>
  <c r="G59" i="77"/>
  <c r="E59" i="32"/>
  <c r="G99" i="77"/>
  <c r="E99" i="32"/>
  <c r="G115" i="77"/>
  <c r="E115" i="32"/>
  <c r="DF14" i="67"/>
  <c r="CM15" i="67"/>
  <c r="DC21" i="67"/>
  <c r="E21" i="151"/>
  <c r="K21" i="151" s="1"/>
  <c r="O21" i="151" s="1"/>
  <c r="DA31" i="67"/>
  <c r="G40" i="75"/>
  <c r="CY41" i="67"/>
  <c r="CL44" i="67"/>
  <c r="DG49" i="67"/>
  <c r="F49" i="32"/>
  <c r="DB50" i="67"/>
  <c r="E50" i="30"/>
  <c r="DI51" i="67"/>
  <c r="H51" i="75"/>
  <c r="F51" i="28"/>
  <c r="CL52" i="67"/>
  <c r="CS53" i="67"/>
  <c r="F53" i="32"/>
  <c r="J54" i="154"/>
  <c r="S54" i="154" s="1"/>
  <c r="J54" i="153"/>
  <c r="S54" i="153" s="1"/>
  <c r="F55" i="153"/>
  <c r="O55" i="153" s="1"/>
  <c r="BZ68" i="67"/>
  <c r="CO57" i="67"/>
  <c r="E57" i="151"/>
  <c r="K57" i="151" s="1"/>
  <c r="E58" i="153"/>
  <c r="N58" i="153" s="1"/>
  <c r="CM59" i="67"/>
  <c r="H61" i="154"/>
  <c r="Q61" i="154" s="1"/>
  <c r="H61" i="153"/>
  <c r="Q61" i="153" s="1"/>
  <c r="H61" i="151"/>
  <c r="N61" i="151" s="1"/>
  <c r="H61" i="152"/>
  <c r="N61" i="152" s="1"/>
  <c r="H61" i="30"/>
  <c r="H61" i="34"/>
  <c r="DF62" i="67"/>
  <c r="BX74" i="67"/>
  <c r="G63" i="75"/>
  <c r="BV75" i="67"/>
  <c r="CN64" i="67"/>
  <c r="E64" i="30"/>
  <c r="BT76" i="67"/>
  <c r="CL65" i="67"/>
  <c r="BR77" i="67"/>
  <c r="CX66" i="67"/>
  <c r="BP78" i="67"/>
  <c r="BN79" i="67"/>
  <c r="CV68" i="67"/>
  <c r="E68" i="153"/>
  <c r="N68" i="153" s="1"/>
  <c r="CT69" i="67"/>
  <c r="H69" i="154"/>
  <c r="Q69" i="154" s="1"/>
  <c r="H69" i="152"/>
  <c r="N69" i="152" s="1"/>
  <c r="H69" i="153"/>
  <c r="Q69" i="153" s="1"/>
  <c r="H69" i="30"/>
  <c r="H69" i="151"/>
  <c r="N69" i="151" s="1"/>
  <c r="H69" i="34"/>
  <c r="CR70" i="67"/>
  <c r="BX82" i="67"/>
  <c r="G71" i="75"/>
  <c r="BV83" i="67"/>
  <c r="E72" i="30"/>
  <c r="BT84" i="67"/>
  <c r="CZ73" i="67"/>
  <c r="BR85" i="67"/>
  <c r="CX74" i="67"/>
  <c r="DH75" i="67"/>
  <c r="DB76" i="67"/>
  <c r="E76" i="30"/>
  <c r="H77" i="154"/>
  <c r="H77" i="153"/>
  <c r="Q77" i="153" s="1"/>
  <c r="H77" i="151"/>
  <c r="N77" i="151" s="1"/>
  <c r="H77" i="152"/>
  <c r="H77" i="30"/>
  <c r="H77" i="34"/>
  <c r="H125" i="34" s="1"/>
  <c r="CL79" i="67"/>
  <c r="E80" i="153"/>
  <c r="N80" i="153" s="1"/>
  <c r="G81" i="75"/>
  <c r="CJ82" i="67"/>
  <c r="CN84" i="67"/>
  <c r="E84" i="30"/>
  <c r="H85" i="154"/>
  <c r="H85" i="152"/>
  <c r="H85" i="153"/>
  <c r="Q85" i="153" s="1"/>
  <c r="H85" i="30"/>
  <c r="H85" i="34"/>
  <c r="H133" i="34" s="1"/>
  <c r="H85" i="151"/>
  <c r="N85" i="151" s="1"/>
  <c r="CL87" i="67"/>
  <c r="CV88" i="67"/>
  <c r="E88" i="153"/>
  <c r="N88" i="153" s="1"/>
  <c r="G89" i="75"/>
  <c r="E90" i="30"/>
  <c r="CJ92" i="67"/>
  <c r="H93" i="154"/>
  <c r="H93" i="151"/>
  <c r="N93" i="151" s="1"/>
  <c r="H93" i="153"/>
  <c r="Q93" i="153" s="1"/>
  <c r="H93" i="152"/>
  <c r="H93" i="30"/>
  <c r="H93" i="34"/>
  <c r="H141" i="34" s="1"/>
  <c r="CV94" i="67"/>
  <c r="E94" i="153"/>
  <c r="N94" i="153" s="1"/>
  <c r="CT95" i="67"/>
  <c r="DF96" i="67"/>
  <c r="DD97" i="67"/>
  <c r="G97" i="75"/>
  <c r="E98" i="30"/>
  <c r="CM99" i="67"/>
  <c r="CL100" i="67"/>
  <c r="CK101" i="67"/>
  <c r="CJ102" i="67"/>
  <c r="CW105" i="67"/>
  <c r="CV106" i="67"/>
  <c r="E106" i="153"/>
  <c r="N106" i="153" s="1"/>
  <c r="DI107" i="67"/>
  <c r="H107" i="75"/>
  <c r="F107" i="28"/>
  <c r="DH108" i="67"/>
  <c r="F109" i="32"/>
  <c r="CR110" i="67"/>
  <c r="F111" i="153"/>
  <c r="O111" i="153" s="1"/>
  <c r="G112" i="75"/>
  <c r="CO113" i="67"/>
  <c r="E113" i="151"/>
  <c r="K113" i="151" s="1"/>
  <c r="CN114" i="67"/>
  <c r="E114" i="30"/>
  <c r="CM115" i="67"/>
  <c r="CK9" i="67"/>
  <c r="DG17" i="67"/>
  <c r="F17" i="32"/>
  <c r="CN18" i="67"/>
  <c r="E18" i="30"/>
  <c r="DI23" i="67"/>
  <c r="F23" i="28"/>
  <c r="H23" i="75"/>
  <c r="G24" i="75"/>
  <c r="CY25" i="67"/>
  <c r="E26" i="153"/>
  <c r="N26" i="153" s="1"/>
  <c r="CQ27" i="67"/>
  <c r="F27" i="153"/>
  <c r="O27" i="153" s="1"/>
  <c r="CX38" i="67"/>
  <c r="DI4" i="67"/>
  <c r="H4" i="75"/>
  <c r="F4" i="28"/>
  <c r="DD5" i="67"/>
  <c r="G5" i="75"/>
  <c r="CY6" i="67"/>
  <c r="CL9" i="67"/>
  <c r="CO34" i="67"/>
  <c r="E34" i="151"/>
  <c r="K34" i="151" s="1"/>
  <c r="O34" i="151" s="1"/>
  <c r="CX35" i="67"/>
  <c r="H36" i="75"/>
  <c r="F36" i="28"/>
  <c r="CP37" i="67"/>
  <c r="G37" i="75"/>
  <c r="CY38" i="67"/>
  <c r="CV39" i="67"/>
  <c r="E39" i="153"/>
  <c r="N39" i="153" s="1"/>
  <c r="F40" i="153"/>
  <c r="O40" i="153" s="1"/>
  <c r="DK42" i="67"/>
  <c r="CR43" i="67"/>
  <c r="DG46" i="67"/>
  <c r="F46" i="32"/>
  <c r="E47" i="30"/>
  <c r="DH49" i="67"/>
  <c r="CO50" i="67"/>
  <c r="E50" i="151"/>
  <c r="K50" i="151" s="1"/>
  <c r="CV51" i="67"/>
  <c r="E51" i="153"/>
  <c r="N51" i="153" s="1"/>
  <c r="CM52" i="67"/>
  <c r="CT53" i="67"/>
  <c r="CY54" i="67"/>
  <c r="H54" i="154"/>
  <c r="Q54" i="154" s="1"/>
  <c r="H54" i="153"/>
  <c r="Q54" i="153" s="1"/>
  <c r="H54" i="30"/>
  <c r="H54" i="34"/>
  <c r="H54" i="151"/>
  <c r="N54" i="151" s="1"/>
  <c r="H54" i="152"/>
  <c r="N54" i="152" s="1"/>
  <c r="DF55" i="67"/>
  <c r="CA68" i="67"/>
  <c r="G57" i="75"/>
  <c r="CW58" i="67"/>
  <c r="DB59" i="67"/>
  <c r="E59" i="30"/>
  <c r="H60" i="75"/>
  <c r="F60" i="28"/>
  <c r="CZ61" i="67"/>
  <c r="DG62" i="67"/>
  <c r="F62" i="32"/>
  <c r="CQ63" i="67"/>
  <c r="F63" i="153"/>
  <c r="O63" i="153" s="1"/>
  <c r="BW75" i="67"/>
  <c r="DC64" i="67"/>
  <c r="E64" i="151"/>
  <c r="K64" i="151" s="1"/>
  <c r="BU76" i="67"/>
  <c r="CM65" i="67"/>
  <c r="BS77" i="67"/>
  <c r="CK66" i="67"/>
  <c r="BQ78" i="67"/>
  <c r="BO79" i="67"/>
  <c r="CW68" i="67"/>
  <c r="CU69" i="67"/>
  <c r="H69" i="75"/>
  <c r="F69" i="28"/>
  <c r="F70" i="32"/>
  <c r="F71" i="153"/>
  <c r="O71" i="153" s="1"/>
  <c r="BW83" i="67"/>
  <c r="E72" i="151"/>
  <c r="K72" i="151" s="1"/>
  <c r="BU84" i="67"/>
  <c r="DA73" i="67"/>
  <c r="BS85" i="67"/>
  <c r="CK74" i="67"/>
  <c r="H75" i="75"/>
  <c r="F75" i="28"/>
  <c r="CO76" i="67"/>
  <c r="E76" i="151"/>
  <c r="K76" i="151" s="1"/>
  <c r="DG78" i="67"/>
  <c r="F78" i="32"/>
  <c r="CM79" i="67"/>
  <c r="DE81" i="67"/>
  <c r="F81" i="153"/>
  <c r="O81" i="153" s="1"/>
  <c r="CY82" i="67"/>
  <c r="DI83" i="67"/>
  <c r="H83" i="75"/>
  <c r="F83" i="28"/>
  <c r="DC84" i="67"/>
  <c r="E84" i="151"/>
  <c r="K84" i="151" s="1"/>
  <c r="DG86" i="67"/>
  <c r="F86" i="32"/>
  <c r="F89" i="153"/>
  <c r="O89" i="153" s="1"/>
  <c r="CO90" i="67"/>
  <c r="E90" i="151"/>
  <c r="K90" i="151" s="1"/>
  <c r="CW94" i="67"/>
  <c r="CU95" i="67"/>
  <c r="H95" i="75"/>
  <c r="F95" i="28"/>
  <c r="CS96" i="67"/>
  <c r="F96" i="32"/>
  <c r="F97" i="153"/>
  <c r="O97" i="153" s="1"/>
  <c r="E98" i="151"/>
  <c r="K98" i="151" s="1"/>
  <c r="CN99" i="67"/>
  <c r="E99" i="30"/>
  <c r="CZ101" i="67"/>
  <c r="CY102" i="67"/>
  <c r="E107" i="153"/>
  <c r="N107" i="153" s="1"/>
  <c r="CU108" i="67"/>
  <c r="H108" i="75"/>
  <c r="F108" i="28"/>
  <c r="DH109" i="67"/>
  <c r="CS110" i="67"/>
  <c r="F110" i="32"/>
  <c r="DF111" i="67"/>
  <c r="CQ112" i="67"/>
  <c r="F112" i="153"/>
  <c r="O112" i="153" s="1"/>
  <c r="DD113" i="67"/>
  <c r="G113" i="75"/>
  <c r="CO114" i="67"/>
  <c r="E114" i="151"/>
  <c r="K114" i="151" s="1"/>
  <c r="DB115" i="67"/>
  <c r="E115" i="30"/>
  <c r="CW51" i="67"/>
  <c r="DI53" i="67"/>
  <c r="H53" i="75"/>
  <c r="F53" i="28"/>
  <c r="CL54" i="67"/>
  <c r="CS55" i="67"/>
  <c r="F55" i="32"/>
  <c r="J56" i="154"/>
  <c r="S56" i="154" s="1"/>
  <c r="J56" i="153"/>
  <c r="S56" i="153" s="1"/>
  <c r="CQ57" i="67"/>
  <c r="F57" i="153"/>
  <c r="O57" i="153" s="1"/>
  <c r="BZ70" i="67"/>
  <c r="CO59" i="67"/>
  <c r="E59" i="151"/>
  <c r="K59" i="151" s="1"/>
  <c r="DJ60" i="67"/>
  <c r="E60" i="153"/>
  <c r="N60" i="153" s="1"/>
  <c r="CM61" i="67"/>
  <c r="H62" i="154"/>
  <c r="Q62" i="154" s="1"/>
  <c r="H62" i="153"/>
  <c r="Q62" i="153" s="1"/>
  <c r="H62" i="34"/>
  <c r="H62" i="30"/>
  <c r="H62" i="152"/>
  <c r="N62" i="152" s="1"/>
  <c r="H62" i="151"/>
  <c r="N62" i="151" s="1"/>
  <c r="DF63" i="67"/>
  <c r="BX75" i="67"/>
  <c r="CP64" i="67"/>
  <c r="G64" i="75"/>
  <c r="BV76" i="67"/>
  <c r="DB65" i="67"/>
  <c r="E65" i="30"/>
  <c r="BT77" i="67"/>
  <c r="BR78" i="67"/>
  <c r="BP79" i="67"/>
  <c r="BN80" i="67"/>
  <c r="DJ69" i="67"/>
  <c r="E69" i="153"/>
  <c r="N69" i="153" s="1"/>
  <c r="H70" i="154"/>
  <c r="Q70" i="154" s="1"/>
  <c r="H70" i="30"/>
  <c r="H70" i="151"/>
  <c r="N70" i="151" s="1"/>
  <c r="H70" i="153"/>
  <c r="Q70" i="153" s="1"/>
  <c r="H70" i="152"/>
  <c r="N70" i="152" s="1"/>
  <c r="H70" i="34"/>
  <c r="CR71" i="67"/>
  <c r="BX83" i="67"/>
  <c r="G72" i="75"/>
  <c r="BV84" i="67"/>
  <c r="CN73" i="67"/>
  <c r="E73" i="30"/>
  <c r="BT85" i="67"/>
  <c r="CL74" i="67"/>
  <c r="DJ75" i="67"/>
  <c r="E75" i="153"/>
  <c r="N75" i="153" s="1"/>
  <c r="DD76" i="67"/>
  <c r="G76" i="75"/>
  <c r="DB79" i="67"/>
  <c r="E79" i="30"/>
  <c r="H80" i="153"/>
  <c r="Q80" i="153" s="1"/>
  <c r="H80" i="151"/>
  <c r="N80" i="151" s="1"/>
  <c r="H80" i="154"/>
  <c r="H80" i="30"/>
  <c r="H80" i="34"/>
  <c r="H128" i="34" s="1"/>
  <c r="H80" i="152"/>
  <c r="CR81" i="67"/>
  <c r="CZ82" i="67"/>
  <c r="E83" i="153"/>
  <c r="N83" i="153" s="1"/>
  <c r="CP84" i="67"/>
  <c r="G84" i="75"/>
  <c r="CJ85" i="67"/>
  <c r="DB87" i="67"/>
  <c r="E87" i="30"/>
  <c r="H88" i="153"/>
  <c r="Q88" i="153" s="1"/>
  <c r="H88" i="151"/>
  <c r="N88" i="151" s="1"/>
  <c r="H88" i="34"/>
  <c r="H136" i="34" s="1"/>
  <c r="H88" i="152"/>
  <c r="H88" i="30"/>
  <c r="H88" i="154"/>
  <c r="G90" i="75"/>
  <c r="CN91" i="67"/>
  <c r="E91" i="30"/>
  <c r="H94" i="154"/>
  <c r="H94" i="153"/>
  <c r="Q94" i="153" s="1"/>
  <c r="H94" i="152"/>
  <c r="H94" i="34"/>
  <c r="H142" i="34" s="1"/>
  <c r="H94" i="30"/>
  <c r="H94" i="151"/>
  <c r="N94" i="151" s="1"/>
  <c r="CV95" i="67"/>
  <c r="E95" i="153"/>
  <c r="N95" i="153" s="1"/>
  <c r="DH96" i="67"/>
  <c r="DF97" i="67"/>
  <c r="G98" i="75"/>
  <c r="DC99" i="67"/>
  <c r="E99" i="151"/>
  <c r="K99" i="151" s="1"/>
  <c r="E100" i="30"/>
  <c r="DA101" i="67"/>
  <c r="CL102" i="67"/>
  <c r="CX104" i="67"/>
  <c r="DJ108" i="67"/>
  <c r="E108" i="153"/>
  <c r="N108" i="153" s="1"/>
  <c r="H109" i="75"/>
  <c r="F109" i="28"/>
  <c r="DH110" i="67"/>
  <c r="DG111" i="67"/>
  <c r="F111" i="32"/>
  <c r="DE113" i="67"/>
  <c r="F113" i="153"/>
  <c r="O113" i="153" s="1"/>
  <c r="G114" i="75"/>
  <c r="CO115" i="67"/>
  <c r="E115" i="151"/>
  <c r="K115" i="151" s="1"/>
  <c r="CX6" i="67"/>
  <c r="CJ22" i="67"/>
  <c r="DG33" i="67"/>
  <c r="F33" i="32"/>
  <c r="CN34" i="67"/>
  <c r="E34" i="30"/>
  <c r="DC37" i="67"/>
  <c r="E37" i="151"/>
  <c r="K37" i="151" s="1"/>
  <c r="O37" i="151" s="1"/>
  <c r="CU39" i="67"/>
  <c r="H39" i="75"/>
  <c r="F39" i="28"/>
  <c r="E42" i="153"/>
  <c r="N42" i="153" s="1"/>
  <c r="CQ43" i="67"/>
  <c r="F43" i="153"/>
  <c r="O43" i="153" s="1"/>
  <c r="CJ3" i="67"/>
  <c r="DJ7" i="67"/>
  <c r="E7" i="153"/>
  <c r="N7" i="153" s="1"/>
  <c r="DK10" i="67"/>
  <c r="DF11" i="67"/>
  <c r="DA12" i="67"/>
  <c r="CJ19" i="67"/>
  <c r="CV23" i="67"/>
  <c r="E23" i="153"/>
  <c r="N23" i="153" s="1"/>
  <c r="DE24" i="67"/>
  <c r="F24" i="153"/>
  <c r="O24" i="153" s="1"/>
  <c r="DK26" i="67"/>
  <c r="CR27" i="67"/>
  <c r="CS30" i="67"/>
  <c r="F30" i="32"/>
  <c r="CK3" i="67"/>
  <c r="G34" i="75"/>
  <c r="CY35" i="67"/>
  <c r="DA41" i="67"/>
  <c r="CS43" i="67"/>
  <c r="F43" i="32"/>
  <c r="E47" i="151"/>
  <c r="K47" i="151" s="1"/>
  <c r="O47" i="151" s="1"/>
  <c r="G50" i="75"/>
  <c r="F40" i="32"/>
  <c r="DB41" i="67"/>
  <c r="E41" i="30"/>
  <c r="DC44" i="67"/>
  <c r="E44" i="151"/>
  <c r="K44" i="151" s="1"/>
  <c r="O44" i="151" s="1"/>
  <c r="DI46" i="67"/>
  <c r="H46" i="75"/>
  <c r="F46" i="28"/>
  <c r="DD47" i="67"/>
  <c r="G47" i="75"/>
  <c r="CY48" i="67"/>
  <c r="CV49" i="67"/>
  <c r="E49" i="153"/>
  <c r="N49" i="153" s="1"/>
  <c r="F50" i="153"/>
  <c r="O50" i="153" s="1"/>
  <c r="BZ63" i="67"/>
  <c r="DC52" i="67"/>
  <c r="E52" i="151"/>
  <c r="K52" i="151" s="1"/>
  <c r="DJ53" i="67"/>
  <c r="E53" i="153"/>
  <c r="N53" i="153" s="1"/>
  <c r="CY56" i="67"/>
  <c r="H56" i="153"/>
  <c r="Q56" i="153" s="1"/>
  <c r="H56" i="151"/>
  <c r="N56" i="151" s="1"/>
  <c r="H56" i="154"/>
  <c r="Q56" i="154" s="1"/>
  <c r="H56" i="34"/>
  <c r="H56" i="152"/>
  <c r="N56" i="152" s="1"/>
  <c r="H56" i="30"/>
  <c r="CR57" i="67"/>
  <c r="CA70" i="67"/>
  <c r="DD59" i="67"/>
  <c r="G59" i="75"/>
  <c r="DK60" i="67"/>
  <c r="CN61" i="67"/>
  <c r="E61" i="30"/>
  <c r="CU62" i="67"/>
  <c r="H62" i="75"/>
  <c r="F62" i="28"/>
  <c r="DG63" i="67"/>
  <c r="F63" i="32"/>
  <c r="DE64" i="67"/>
  <c r="F64" i="153"/>
  <c r="O64" i="153" s="1"/>
  <c r="BW76" i="67"/>
  <c r="E65" i="151"/>
  <c r="K65" i="151" s="1"/>
  <c r="BU77" i="67"/>
  <c r="BS78" i="67"/>
  <c r="BQ79" i="67"/>
  <c r="BO80" i="67"/>
  <c r="DK69" i="67"/>
  <c r="CU70" i="67"/>
  <c r="H70" i="75"/>
  <c r="F70" i="28"/>
  <c r="CS71" i="67"/>
  <c r="F71" i="32"/>
  <c r="F72" i="153"/>
  <c r="O72" i="153" s="1"/>
  <c r="BW84" i="67"/>
  <c r="E73" i="151"/>
  <c r="K73" i="151" s="1"/>
  <c r="BU85" i="67"/>
  <c r="DA74" i="67"/>
  <c r="DK75" i="67"/>
  <c r="F76" i="153"/>
  <c r="O76" i="153" s="1"/>
  <c r="DI78" i="67"/>
  <c r="H78" i="75"/>
  <c r="F78" i="28"/>
  <c r="CO79" i="67"/>
  <c r="E79" i="151"/>
  <c r="K79" i="151" s="1"/>
  <c r="DG81" i="67"/>
  <c r="F81" i="32"/>
  <c r="CM82" i="67"/>
  <c r="DK83" i="67"/>
  <c r="DE84" i="67"/>
  <c r="F84" i="153"/>
  <c r="O84" i="153" s="1"/>
  <c r="DI86" i="67"/>
  <c r="H86" i="75"/>
  <c r="F86" i="28"/>
  <c r="E87" i="151"/>
  <c r="K87" i="151" s="1"/>
  <c r="DG89" i="67"/>
  <c r="F89" i="32"/>
  <c r="CQ90" i="67"/>
  <c r="F90" i="153"/>
  <c r="O90" i="153" s="1"/>
  <c r="DC91" i="67"/>
  <c r="E91" i="151"/>
  <c r="K91" i="151" s="1"/>
  <c r="DA92" i="67"/>
  <c r="CW95" i="67"/>
  <c r="CU96" i="67"/>
  <c r="H96" i="75"/>
  <c r="F96" i="28"/>
  <c r="F97" i="32"/>
  <c r="F98" i="153"/>
  <c r="O98" i="153" s="1"/>
  <c r="CP99" i="67"/>
  <c r="G99" i="75"/>
  <c r="E100" i="151"/>
  <c r="K100" i="151" s="1"/>
  <c r="CN101" i="67"/>
  <c r="E101" i="30"/>
  <c r="CM102" i="67"/>
  <c r="CZ103" i="67"/>
  <c r="CY104" i="67"/>
  <c r="CX105" i="67"/>
  <c r="E109" i="153"/>
  <c r="N109" i="153" s="1"/>
  <c r="CU110" i="67"/>
  <c r="H110" i="75"/>
  <c r="F110" i="28"/>
  <c r="DG112" i="67"/>
  <c r="F112" i="32"/>
  <c r="DF113" i="67"/>
  <c r="DE114" i="67"/>
  <c r="F114" i="153"/>
  <c r="O114" i="153" s="1"/>
  <c r="G115" i="75"/>
  <c r="CR30" i="67"/>
  <c r="DC2" i="67"/>
  <c r="E2" i="151"/>
  <c r="K2" i="151" s="1"/>
  <c r="O2" i="151" s="1"/>
  <c r="F8" i="153"/>
  <c r="O8" i="153" s="1"/>
  <c r="DG14" i="67"/>
  <c r="F14" i="32"/>
  <c r="CN15" i="67"/>
  <c r="E15" i="30"/>
  <c r="DC18" i="67"/>
  <c r="E18" i="151"/>
  <c r="K18" i="151" s="1"/>
  <c r="O18" i="151" s="1"/>
  <c r="DI20" i="67"/>
  <c r="H20" i="75"/>
  <c r="F20" i="28"/>
  <c r="G21" i="75"/>
  <c r="CK22" i="67"/>
  <c r="DA28" i="67"/>
  <c r="CN31" i="67"/>
  <c r="E31" i="30"/>
  <c r="DJ4" i="67"/>
  <c r="E4" i="153"/>
  <c r="N4" i="153" s="1"/>
  <c r="F5" i="153"/>
  <c r="O5" i="153" s="1"/>
  <c r="CL6" i="67"/>
  <c r="CW7" i="67"/>
  <c r="DF8" i="67"/>
  <c r="CM9" i="67"/>
  <c r="CS11" i="67"/>
  <c r="F11" i="32"/>
  <c r="CN12" i="67"/>
  <c r="E12" i="30"/>
  <c r="CO15" i="67"/>
  <c r="E15" i="151"/>
  <c r="K15" i="151" s="1"/>
  <c r="O15" i="151" s="1"/>
  <c r="CX16" i="67"/>
  <c r="CU17" i="67"/>
  <c r="H17" i="75"/>
  <c r="F17" i="28"/>
  <c r="G18" i="75"/>
  <c r="CK19" i="67"/>
  <c r="DJ20" i="67"/>
  <c r="E20" i="153"/>
  <c r="N20" i="153" s="1"/>
  <c r="F21" i="153"/>
  <c r="O21" i="153" s="1"/>
  <c r="CL22" i="67"/>
  <c r="DK23" i="67"/>
  <c r="DG27" i="67"/>
  <c r="F27" i="32"/>
  <c r="DB28" i="67"/>
  <c r="E28" i="30"/>
  <c r="CO31" i="67"/>
  <c r="E31" i="151"/>
  <c r="K31" i="151" s="1"/>
  <c r="O31" i="151" s="1"/>
  <c r="DI33" i="67"/>
  <c r="H33" i="75"/>
  <c r="F33" i="28"/>
  <c r="DJ36" i="67"/>
  <c r="E36" i="153"/>
  <c r="N36" i="153" s="1"/>
  <c r="CQ37" i="67"/>
  <c r="F37" i="153"/>
  <c r="O37" i="153" s="1"/>
  <c r="CL38" i="67"/>
  <c r="CW39" i="67"/>
  <c r="DB44" i="67"/>
  <c r="E44" i="30"/>
  <c r="CU49" i="67"/>
  <c r="H49" i="75"/>
  <c r="F49" i="28"/>
  <c r="CN52" i="67"/>
  <c r="E52" i="30"/>
  <c r="F2" i="153"/>
  <c r="O2" i="153" s="1"/>
  <c r="CW4" i="67"/>
  <c r="DF5" i="67"/>
  <c r="DA6" i="67"/>
  <c r="CS8" i="67"/>
  <c r="F8" i="32"/>
  <c r="DB9" i="67"/>
  <c r="E9" i="30"/>
  <c r="CO12" i="67"/>
  <c r="E12" i="151"/>
  <c r="K12" i="151" s="1"/>
  <c r="O12" i="151" s="1"/>
  <c r="CX13" i="67"/>
  <c r="CU14" i="67"/>
  <c r="H14" i="75"/>
  <c r="F14" i="28"/>
  <c r="G15" i="75"/>
  <c r="CK16" i="67"/>
  <c r="CV17" i="67"/>
  <c r="E17" i="153"/>
  <c r="N17" i="153" s="1"/>
  <c r="F18" i="153"/>
  <c r="O18" i="153" s="1"/>
  <c r="DK20" i="67"/>
  <c r="CR21" i="67"/>
  <c r="CM22" i="67"/>
  <c r="CS24" i="67"/>
  <c r="F24" i="32"/>
  <c r="DB25" i="67"/>
  <c r="E25" i="30"/>
  <c r="DC28" i="67"/>
  <c r="E28" i="151"/>
  <c r="K28" i="151" s="1"/>
  <c r="O28" i="151" s="1"/>
  <c r="CJ29" i="67"/>
  <c r="DI30" i="67"/>
  <c r="H30" i="75"/>
  <c r="F30" i="28"/>
  <c r="G31" i="75"/>
  <c r="CY32" i="67"/>
  <c r="E33" i="153"/>
  <c r="N33" i="153" s="1"/>
  <c r="F34" i="153"/>
  <c r="O34" i="153" s="1"/>
  <c r="CZ35" i="67"/>
  <c r="DK36" i="67"/>
  <c r="CR37" i="67"/>
  <c r="CM38" i="67"/>
  <c r="DF2" i="67"/>
  <c r="DA3" i="67"/>
  <c r="F5" i="32"/>
  <c r="DB6" i="67"/>
  <c r="E6" i="30"/>
  <c r="E9" i="151"/>
  <c r="K9" i="151" s="1"/>
  <c r="O9" i="151" s="1"/>
  <c r="CX10" i="67"/>
  <c r="DI11" i="67"/>
  <c r="H11" i="75"/>
  <c r="F11" i="28"/>
  <c r="DD12" i="67"/>
  <c r="G12" i="75"/>
  <c r="CV14" i="67"/>
  <c r="E14" i="153"/>
  <c r="N14" i="153" s="1"/>
  <c r="F15" i="153"/>
  <c r="O15" i="153" s="1"/>
  <c r="CL16" i="67"/>
  <c r="CW17" i="67"/>
  <c r="DF18" i="67"/>
  <c r="DA19" i="67"/>
  <c r="F21" i="32"/>
  <c r="DB22" i="67"/>
  <c r="E22" i="30"/>
  <c r="CO25" i="67"/>
  <c r="E25" i="151"/>
  <c r="K25" i="151" s="1"/>
  <c r="O25" i="151" s="1"/>
  <c r="CX26" i="67"/>
  <c r="H27" i="75"/>
  <c r="F27" i="28"/>
  <c r="DD28" i="67"/>
  <c r="G28" i="75"/>
  <c r="CK29" i="67"/>
  <c r="DJ30" i="67"/>
  <c r="E30" i="153"/>
  <c r="N30" i="153" s="1"/>
  <c r="CQ31" i="67"/>
  <c r="F31" i="153"/>
  <c r="O31" i="153" s="1"/>
  <c r="CW33" i="67"/>
  <c r="DF34" i="67"/>
  <c r="DA35" i="67"/>
  <c r="CS37" i="67"/>
  <c r="F37" i="32"/>
  <c r="DB38" i="67"/>
  <c r="E38" i="30"/>
  <c r="CO41" i="67"/>
  <c r="E41" i="151"/>
  <c r="K41" i="151" s="1"/>
  <c r="O41" i="151" s="1"/>
  <c r="CX42" i="67"/>
  <c r="H43" i="75"/>
  <c r="F43" i="28"/>
  <c r="CP44" i="67"/>
  <c r="G44" i="75"/>
  <c r="CK45" i="67"/>
  <c r="DJ46" i="67"/>
  <c r="E46" i="153"/>
  <c r="N46" i="153" s="1"/>
  <c r="F47" i="153"/>
  <c r="O47" i="153" s="1"/>
  <c r="CZ48" i="67"/>
  <c r="CW49" i="67"/>
  <c r="CR50" i="67"/>
  <c r="CA63" i="67"/>
  <c r="G52" i="75"/>
  <c r="CW53" i="67"/>
  <c r="CN54" i="67"/>
  <c r="E54" i="30"/>
  <c r="DI55" i="67"/>
  <c r="F55" i="28"/>
  <c r="H55" i="75"/>
  <c r="CZ56" i="67"/>
  <c r="CS57" i="67"/>
  <c r="F57" i="32"/>
  <c r="CJ58" i="67"/>
  <c r="J58" i="154"/>
  <c r="S58" i="154" s="1"/>
  <c r="J58" i="153"/>
  <c r="S58" i="153" s="1"/>
  <c r="F59" i="153"/>
  <c r="O59" i="153" s="1"/>
  <c r="BZ72" i="67"/>
  <c r="DC61" i="67"/>
  <c r="E61" i="151"/>
  <c r="K61" i="151" s="1"/>
  <c r="E62" i="153"/>
  <c r="N62" i="153" s="1"/>
  <c r="H63" i="154"/>
  <c r="Q63" i="154" s="1"/>
  <c r="H63" i="152"/>
  <c r="N63" i="152" s="1"/>
  <c r="H63" i="153"/>
  <c r="Q63" i="153" s="1"/>
  <c r="H63" i="30"/>
  <c r="H63" i="34"/>
  <c r="H63" i="151"/>
  <c r="N63" i="151" s="1"/>
  <c r="CR64" i="67"/>
  <c r="BX76" i="67"/>
  <c r="G65" i="75"/>
  <c r="BV77" i="67"/>
  <c r="E66" i="30"/>
  <c r="BT78" i="67"/>
  <c r="CZ67" i="67"/>
  <c r="BR79" i="67"/>
  <c r="BP80" i="67"/>
  <c r="BN81" i="67"/>
  <c r="CV70" i="67"/>
  <c r="E70" i="153"/>
  <c r="N70" i="153" s="1"/>
  <c r="H71" i="154"/>
  <c r="Q71" i="154" s="1"/>
  <c r="H71" i="151"/>
  <c r="N71" i="151" s="1"/>
  <c r="H71" i="152"/>
  <c r="N71" i="152" s="1"/>
  <c r="H71" i="153"/>
  <c r="Q71" i="153" s="1"/>
  <c r="H71" i="30"/>
  <c r="H71" i="34"/>
  <c r="BX84" i="67"/>
  <c r="G73" i="75"/>
  <c r="BV85" i="67"/>
  <c r="DB74" i="67"/>
  <c r="E74" i="30"/>
  <c r="H75" i="154"/>
  <c r="H75" i="153"/>
  <c r="Q75" i="153" s="1"/>
  <c r="H75" i="151"/>
  <c r="N75" i="151" s="1"/>
  <c r="H75" i="152"/>
  <c r="H75" i="34"/>
  <c r="H123" i="34" s="1"/>
  <c r="H75" i="30"/>
  <c r="DF76" i="67"/>
  <c r="CL77" i="67"/>
  <c r="CV78" i="67"/>
  <c r="E78" i="153"/>
  <c r="N78" i="153" s="1"/>
  <c r="G79" i="75"/>
  <c r="CJ80" i="67"/>
  <c r="DB82" i="67"/>
  <c r="E82" i="30"/>
  <c r="H83" i="154"/>
  <c r="H83" i="153"/>
  <c r="Q83" i="153" s="1"/>
  <c r="H83" i="34"/>
  <c r="H131" i="34" s="1"/>
  <c r="H83" i="151"/>
  <c r="N83" i="151" s="1"/>
  <c r="H83" i="30"/>
  <c r="H83" i="152"/>
  <c r="CR84" i="67"/>
  <c r="DJ86" i="67"/>
  <c r="E86" i="153"/>
  <c r="N86" i="153" s="1"/>
  <c r="CP87" i="67"/>
  <c r="G87" i="75"/>
  <c r="CX88" i="67"/>
  <c r="G91" i="75"/>
  <c r="CN92" i="67"/>
  <c r="E92" i="30"/>
  <c r="CX94" i="67"/>
  <c r="H95" i="154"/>
  <c r="H95" i="152"/>
  <c r="H95" i="153"/>
  <c r="Q95" i="153" s="1"/>
  <c r="H95" i="30"/>
  <c r="H95" i="34"/>
  <c r="H143" i="34" s="1"/>
  <c r="H95" i="151"/>
  <c r="N95" i="151" s="1"/>
  <c r="CV96" i="67"/>
  <c r="E96" i="153"/>
  <c r="N96" i="153" s="1"/>
  <c r="DH97" i="67"/>
  <c r="DF98" i="67"/>
  <c r="CQ99" i="67"/>
  <c r="F99" i="153"/>
  <c r="O99" i="153" s="1"/>
  <c r="DD100" i="67"/>
  <c r="G100" i="75"/>
  <c r="DC101" i="67"/>
  <c r="E101" i="151"/>
  <c r="K101" i="151" s="1"/>
  <c r="DB102" i="67"/>
  <c r="E102" i="30"/>
  <c r="CL104" i="67"/>
  <c r="CY105" i="67"/>
  <c r="CX106" i="67"/>
  <c r="DK109" i="67"/>
  <c r="E110" i="153"/>
  <c r="N110" i="153" s="1"/>
  <c r="CU111" i="67"/>
  <c r="F111" i="28"/>
  <c r="H111" i="75"/>
  <c r="DG113" i="67"/>
  <c r="F113" i="32"/>
  <c r="DF114" i="67"/>
  <c r="F115" i="153"/>
  <c r="O115" i="153" s="1"/>
  <c r="DJ55" i="67"/>
  <c r="E55" i="153"/>
  <c r="N55" i="153" s="1"/>
  <c r="CY58" i="67"/>
  <c r="H58" i="154"/>
  <c r="Q58" i="154" s="1"/>
  <c r="H58" i="153"/>
  <c r="Q58" i="153" s="1"/>
  <c r="H58" i="152"/>
  <c r="N58" i="152" s="1"/>
  <c r="H58" i="151"/>
  <c r="N58" i="151" s="1"/>
  <c r="H58" i="34"/>
  <c r="H58" i="30"/>
  <c r="CR59" i="67"/>
  <c r="H81" i="75"/>
  <c r="F81" i="28"/>
  <c r="DC82" i="67"/>
  <c r="E82" i="151"/>
  <c r="K82" i="151" s="1"/>
  <c r="CS84" i="67"/>
  <c r="F84" i="32"/>
  <c r="CQ87" i="67"/>
  <c r="F87" i="153"/>
  <c r="O87" i="153" s="1"/>
  <c r="CK88" i="67"/>
  <c r="CU89" i="67"/>
  <c r="H89" i="75"/>
  <c r="F89" i="28"/>
  <c r="DG90" i="67"/>
  <c r="F90" i="32"/>
  <c r="CQ91" i="67"/>
  <c r="F91" i="153"/>
  <c r="O91" i="153" s="1"/>
  <c r="DC92" i="67"/>
  <c r="E92" i="151"/>
  <c r="K92" i="151" s="1"/>
  <c r="CK94" i="67"/>
  <c r="H97" i="75"/>
  <c r="F97" i="28"/>
  <c r="DG98" i="67"/>
  <c r="F98" i="32"/>
  <c r="CQ100" i="67"/>
  <c r="F100" i="153"/>
  <c r="O100" i="153" s="1"/>
  <c r="G101" i="75"/>
  <c r="DC102" i="67"/>
  <c r="E102" i="151"/>
  <c r="K102" i="151" s="1"/>
  <c r="DB103" i="67"/>
  <c r="E103" i="30"/>
  <c r="DA104" i="67"/>
  <c r="CL105" i="67"/>
  <c r="CK106" i="67"/>
  <c r="CX107" i="67"/>
  <c r="CW110" i="67"/>
  <c r="DJ111" i="67"/>
  <c r="E111" i="153"/>
  <c r="N111" i="153" s="1"/>
  <c r="DI112" i="67"/>
  <c r="H112" i="75"/>
  <c r="F112" i="28"/>
  <c r="CS114" i="67"/>
  <c r="F114" i="32"/>
  <c r="DC3" i="67"/>
  <c r="E3" i="151"/>
  <c r="K3" i="151" s="1"/>
  <c r="O3" i="151" s="1"/>
  <c r="CJ4" i="67"/>
  <c r="DI5" i="67"/>
  <c r="H5" i="75"/>
  <c r="F5" i="28"/>
  <c r="G6" i="75"/>
  <c r="CY7" i="67"/>
  <c r="CV8" i="67"/>
  <c r="E8" i="153"/>
  <c r="N8" i="153" s="1"/>
  <c r="DE9" i="67"/>
  <c r="F9" i="153"/>
  <c r="O9" i="153" s="1"/>
  <c r="CL10" i="67"/>
  <c r="DK11" i="67"/>
  <c r="CR12" i="67"/>
  <c r="DA13" i="67"/>
  <c r="DG15" i="67"/>
  <c r="F15" i="32"/>
  <c r="CN16" i="67"/>
  <c r="E16" i="30"/>
  <c r="CO19" i="67"/>
  <c r="E19" i="151"/>
  <c r="K19" i="151" s="1"/>
  <c r="O19" i="151" s="1"/>
  <c r="CJ20" i="67"/>
  <c r="DI21" i="67"/>
  <c r="H21" i="75"/>
  <c r="F21" i="28"/>
  <c r="CP22" i="67"/>
  <c r="G22" i="75"/>
  <c r="CK23" i="67"/>
  <c r="E24" i="153"/>
  <c r="N24" i="153" s="1"/>
  <c r="F25" i="153"/>
  <c r="O25" i="153" s="1"/>
  <c r="CZ26" i="67"/>
  <c r="CW27" i="67"/>
  <c r="CR28" i="67"/>
  <c r="CM29" i="67"/>
  <c r="CS31" i="67"/>
  <c r="F31" i="32"/>
  <c r="DB32" i="67"/>
  <c r="E32" i="30"/>
  <c r="E35" i="151"/>
  <c r="K35" i="151" s="1"/>
  <c r="O35" i="151" s="1"/>
  <c r="CJ36" i="67"/>
  <c r="H37" i="75"/>
  <c r="F37" i="28"/>
  <c r="DD38" i="67"/>
  <c r="G38" i="75"/>
  <c r="CK39" i="67"/>
  <c r="E40" i="153"/>
  <c r="N40" i="153" s="1"/>
  <c r="F41" i="153"/>
  <c r="O41" i="153" s="1"/>
  <c r="CL42" i="67"/>
  <c r="DA45" i="67"/>
  <c r="F47" i="32"/>
  <c r="CN48" i="67"/>
  <c r="E48" i="30"/>
  <c r="H51" i="154"/>
  <c r="Q51" i="154" s="1"/>
  <c r="H51" i="153"/>
  <c r="Q51" i="153" s="1"/>
  <c r="H51" i="151"/>
  <c r="N51" i="151" s="1"/>
  <c r="H51" i="34"/>
  <c r="H51" i="152"/>
  <c r="N51" i="152" s="1"/>
  <c r="H51" i="30"/>
  <c r="CA65" i="67"/>
  <c r="G54" i="75"/>
  <c r="CN56" i="67"/>
  <c r="E56" i="30"/>
  <c r="DI57" i="67"/>
  <c r="H57" i="75"/>
  <c r="F57" i="28"/>
  <c r="CZ58" i="67"/>
  <c r="F59" i="32"/>
  <c r="CJ60" i="67"/>
  <c r="J60" i="154"/>
  <c r="S60" i="154" s="1"/>
  <c r="J60" i="153"/>
  <c r="S60" i="153" s="1"/>
  <c r="F61" i="153"/>
  <c r="O61" i="153" s="1"/>
  <c r="BN74" i="67"/>
  <c r="DJ63" i="67"/>
  <c r="E63" i="153"/>
  <c r="N63" i="153" s="1"/>
  <c r="H64" i="153"/>
  <c r="Q64" i="153" s="1"/>
  <c r="H64" i="154"/>
  <c r="Q64" i="154" s="1"/>
  <c r="H64" i="151"/>
  <c r="N64" i="151" s="1"/>
  <c r="H64" i="30"/>
  <c r="H64" i="34"/>
  <c r="H64" i="152"/>
  <c r="N64" i="152" s="1"/>
  <c r="CR65" i="67"/>
  <c r="BX77" i="67"/>
  <c r="G66" i="75"/>
  <c r="BV78" i="67"/>
  <c r="DB67" i="67"/>
  <c r="E67" i="30"/>
  <c r="BT79" i="67"/>
  <c r="CZ68" i="67"/>
  <c r="BR80" i="67"/>
  <c r="BP81" i="67"/>
  <c r="BN82" i="67"/>
  <c r="DJ71" i="67"/>
  <c r="E71" i="153"/>
  <c r="N71" i="153" s="1"/>
  <c r="H72" i="153"/>
  <c r="Q72" i="153" s="1"/>
  <c r="H72" i="151"/>
  <c r="N72" i="151" s="1"/>
  <c r="H72" i="154"/>
  <c r="Q72" i="154" s="1"/>
  <c r="H72" i="34"/>
  <c r="H72" i="30"/>
  <c r="H72" i="152"/>
  <c r="N72" i="152" s="1"/>
  <c r="BX85" i="67"/>
  <c r="G74" i="75"/>
  <c r="E77" i="30"/>
  <c r="H78" i="154"/>
  <c r="H78" i="153"/>
  <c r="Q78" i="153" s="1"/>
  <c r="H78" i="34"/>
  <c r="H126" i="34" s="1"/>
  <c r="H78" i="30"/>
  <c r="H78" i="151"/>
  <c r="N78" i="151" s="1"/>
  <c r="H78" i="152"/>
  <c r="DF79" i="67"/>
  <c r="CL80" i="67"/>
  <c r="E81" i="153"/>
  <c r="N81" i="153" s="1"/>
  <c r="G82" i="75"/>
  <c r="CJ83" i="67"/>
  <c r="E85" i="30"/>
  <c r="H86" i="154"/>
  <c r="H86" i="153"/>
  <c r="Q86" i="153" s="1"/>
  <c r="H86" i="30"/>
  <c r="H86" i="152"/>
  <c r="H86" i="34"/>
  <c r="H134" i="34" s="1"/>
  <c r="H86" i="151"/>
  <c r="N86" i="151" s="1"/>
  <c r="CR87" i="67"/>
  <c r="CL88" i="67"/>
  <c r="E89" i="153"/>
  <c r="N89" i="153" s="1"/>
  <c r="DH90" i="67"/>
  <c r="CP92" i="67"/>
  <c r="G92" i="75"/>
  <c r="DB93" i="67"/>
  <c r="E93" i="30"/>
  <c r="CL94" i="67"/>
  <c r="H96" i="153"/>
  <c r="Q96" i="153" s="1"/>
  <c r="H96" i="151"/>
  <c r="N96" i="151" s="1"/>
  <c r="H96" i="154"/>
  <c r="H96" i="152"/>
  <c r="H96" i="30"/>
  <c r="H96" i="34"/>
  <c r="H144" i="34" s="1"/>
  <c r="DJ97" i="67"/>
  <c r="E97" i="153"/>
  <c r="N97" i="153" s="1"/>
  <c r="CS99" i="67"/>
  <c r="F99" i="32"/>
  <c r="CR100" i="67"/>
  <c r="F101" i="153"/>
  <c r="O101" i="153" s="1"/>
  <c r="G102" i="75"/>
  <c r="E103" i="151"/>
  <c r="K103" i="151" s="1"/>
  <c r="CN104" i="67"/>
  <c r="E104" i="30"/>
  <c r="CM105" i="67"/>
  <c r="CL106" i="67"/>
  <c r="CK107" i="67"/>
  <c r="CW111" i="67"/>
  <c r="CV112" i="67"/>
  <c r="E112" i="153"/>
  <c r="N112" i="153" s="1"/>
  <c r="H113" i="75"/>
  <c r="F113" i="28"/>
  <c r="DG115" i="67"/>
  <c r="F115" i="32"/>
  <c r="DK13" i="67"/>
  <c r="CW14" i="67"/>
  <c r="DF15" i="67"/>
  <c r="CM16" i="67"/>
  <c r="DG18" i="67"/>
  <c r="F18" i="32"/>
  <c r="DE28" i="67"/>
  <c r="F28" i="153"/>
  <c r="O28" i="153" s="1"/>
  <c r="CW30" i="67"/>
  <c r="DF31" i="67"/>
  <c r="F34" i="32"/>
  <c r="CN35" i="67"/>
  <c r="E35" i="30"/>
  <c r="DH37" i="67"/>
  <c r="CO38" i="67"/>
  <c r="E38" i="151"/>
  <c r="K38" i="151" s="1"/>
  <c r="O38" i="151" s="1"/>
  <c r="CX39" i="67"/>
  <c r="CR47" i="67"/>
  <c r="BQ80" i="67"/>
  <c r="DI71" i="67"/>
  <c r="F71" i="28"/>
  <c r="H71" i="75"/>
  <c r="F73" i="153"/>
  <c r="O73" i="153" s="1"/>
  <c r="BW85" i="67"/>
  <c r="DC74" i="67"/>
  <c r="E74" i="151"/>
  <c r="K74" i="151" s="1"/>
  <c r="F79" i="153"/>
  <c r="O79" i="153" s="1"/>
  <c r="DI2" i="67"/>
  <c r="H2" i="75"/>
  <c r="F2" i="28"/>
  <c r="DA10" i="67"/>
  <c r="F12" i="32"/>
  <c r="CN13" i="67"/>
  <c r="E13" i="30"/>
  <c r="E16" i="151"/>
  <c r="K16" i="151" s="1"/>
  <c r="O16" i="151" s="1"/>
  <c r="DI18" i="67"/>
  <c r="H18" i="75"/>
  <c r="F18" i="28"/>
  <c r="CP19" i="67"/>
  <c r="G19" i="75"/>
  <c r="CQ22" i="67"/>
  <c r="F22" i="153"/>
  <c r="O22" i="153" s="1"/>
  <c r="CW24" i="67"/>
  <c r="DA26" i="67"/>
  <c r="DG28" i="67"/>
  <c r="F28" i="32"/>
  <c r="CN29" i="67"/>
  <c r="E29" i="30"/>
  <c r="DI34" i="67"/>
  <c r="H34" i="75"/>
  <c r="F34" i="28"/>
  <c r="G35" i="75"/>
  <c r="E37" i="153"/>
  <c r="N37" i="153" s="1"/>
  <c r="DE38" i="67"/>
  <c r="F38" i="153"/>
  <c r="O38" i="153" s="1"/>
  <c r="DK40" i="67"/>
  <c r="CM42" i="67"/>
  <c r="F44" i="32"/>
  <c r="DB45" i="67"/>
  <c r="E45" i="30"/>
  <c r="CT47" i="67"/>
  <c r="E48" i="151"/>
  <c r="K48" i="151" s="1"/>
  <c r="O48" i="151" s="1"/>
  <c r="CX49" i="67"/>
  <c r="CU50" i="67"/>
  <c r="H50" i="75"/>
  <c r="F50" i="28"/>
  <c r="DG52" i="67"/>
  <c r="F52" i="32"/>
  <c r="CX53" i="67"/>
  <c r="J53" i="153"/>
  <c r="S53" i="153" s="1"/>
  <c r="J53" i="154"/>
  <c r="S53" i="154" s="1"/>
  <c r="CQ54" i="67"/>
  <c r="F54" i="153"/>
  <c r="O54" i="153" s="1"/>
  <c r="BZ67" i="67"/>
  <c r="DC56" i="67"/>
  <c r="E56" i="151"/>
  <c r="K56" i="151" s="1"/>
  <c r="DJ57" i="67"/>
  <c r="E57" i="153"/>
  <c r="N57" i="153" s="1"/>
  <c r="CM58" i="67"/>
  <c r="CK60" i="67"/>
  <c r="H60" i="153"/>
  <c r="Q60" i="153" s="1"/>
  <c r="H60" i="154"/>
  <c r="Q60" i="154" s="1"/>
  <c r="H60" i="152"/>
  <c r="N60" i="152" s="1"/>
  <c r="H60" i="34"/>
  <c r="H60" i="30"/>
  <c r="H60" i="151"/>
  <c r="N60" i="151" s="1"/>
  <c r="DF61" i="67"/>
  <c r="BO74" i="67"/>
  <c r="DI64" i="67"/>
  <c r="H64" i="75"/>
  <c r="F64" i="28"/>
  <c r="F65" i="32"/>
  <c r="F66" i="153"/>
  <c r="O66" i="153" s="1"/>
  <c r="BW78" i="67"/>
  <c r="DC67" i="67"/>
  <c r="E67" i="151"/>
  <c r="K67" i="151" s="1"/>
  <c r="BU79" i="67"/>
  <c r="DA68" i="67"/>
  <c r="BS80" i="67"/>
  <c r="BQ81" i="67"/>
  <c r="BO82" i="67"/>
  <c r="CW71" i="67"/>
  <c r="H72" i="75"/>
  <c r="F72" i="28"/>
  <c r="F73" i="32"/>
  <c r="F74" i="153"/>
  <c r="O74" i="153" s="1"/>
  <c r="CK75" i="67"/>
  <c r="DI76" i="67"/>
  <c r="H76" i="75"/>
  <c r="F76" i="28"/>
  <c r="CO77" i="67"/>
  <c r="E77" i="151"/>
  <c r="K77" i="151" s="1"/>
  <c r="O77" i="151" s="1"/>
  <c r="F79" i="32"/>
  <c r="DA80" i="67"/>
  <c r="DK81" i="67"/>
  <c r="F82" i="153"/>
  <c r="O82" i="153" s="1"/>
  <c r="H84" i="75"/>
  <c r="F84" i="28"/>
  <c r="DC85" i="67"/>
  <c r="E85" i="151"/>
  <c r="K85" i="151" s="1"/>
  <c r="CS87" i="67"/>
  <c r="F87" i="32"/>
  <c r="DA88" i="67"/>
  <c r="DK89" i="67"/>
  <c r="CU90" i="67"/>
  <c r="H90" i="75"/>
  <c r="F90" i="28"/>
  <c r="CS91" i="67"/>
  <c r="F91" i="32"/>
  <c r="CQ92" i="67"/>
  <c r="F92" i="153"/>
  <c r="O92" i="153" s="1"/>
  <c r="CO93" i="67"/>
  <c r="E93" i="151"/>
  <c r="K93" i="151" s="1"/>
  <c r="O93" i="151" s="1"/>
  <c r="DA94" i="67"/>
  <c r="DK97" i="67"/>
  <c r="DI98" i="67"/>
  <c r="H98" i="75"/>
  <c r="F98" i="28"/>
  <c r="F100" i="32"/>
  <c r="DF101" i="67"/>
  <c r="F102" i="153"/>
  <c r="O102" i="153" s="1"/>
  <c r="G103" i="75"/>
  <c r="DC104" i="67"/>
  <c r="E104" i="151"/>
  <c r="K104" i="151" s="1"/>
  <c r="DB105" i="67"/>
  <c r="E105" i="30"/>
  <c r="CM106" i="67"/>
  <c r="CL107" i="67"/>
  <c r="CK108" i="67"/>
  <c r="CJ109" i="67"/>
  <c r="CW112" i="67"/>
  <c r="DJ113" i="67"/>
  <c r="E113" i="153"/>
  <c r="N113" i="153" s="1"/>
  <c r="DI114" i="67"/>
  <c r="H114" i="75"/>
  <c r="F114" i="28"/>
  <c r="DH115" i="67"/>
  <c r="CU7" i="67"/>
  <c r="H7" i="75"/>
  <c r="F7" i="28"/>
  <c r="G8" i="75"/>
  <c r="F11" i="153"/>
  <c r="O11" i="153" s="1"/>
  <c r="DB19" i="67"/>
  <c r="E19" i="30"/>
  <c r="DH21" i="67"/>
  <c r="CO22" i="67"/>
  <c r="E22" i="151"/>
  <c r="K22" i="151" s="1"/>
  <c r="O22" i="151" s="1"/>
  <c r="CX23" i="67"/>
  <c r="H24" i="75"/>
  <c r="F24" i="28"/>
  <c r="G25" i="75"/>
  <c r="DJ27" i="67"/>
  <c r="E27" i="153"/>
  <c r="N27" i="153" s="1"/>
  <c r="CL29" i="67"/>
  <c r="DA32" i="67"/>
  <c r="DI40" i="67"/>
  <c r="H40" i="75"/>
  <c r="F40" i="28"/>
  <c r="G41" i="75"/>
  <c r="CK42" i="67"/>
  <c r="DJ43" i="67"/>
  <c r="E43" i="153"/>
  <c r="N43" i="153" s="1"/>
  <c r="DE44" i="67"/>
  <c r="F44" i="153"/>
  <c r="O44" i="153" s="1"/>
  <c r="DA48" i="67"/>
  <c r="CS50" i="67"/>
  <c r="F50" i="32"/>
  <c r="CJ51" i="67"/>
  <c r="J51" i="153"/>
  <c r="S51" i="153" s="1"/>
  <c r="J51" i="154"/>
  <c r="S51" i="154" s="1"/>
  <c r="F52" i="153"/>
  <c r="O52" i="153" s="1"/>
  <c r="BZ65" i="67"/>
  <c r="DC54" i="67"/>
  <c r="E54" i="151"/>
  <c r="K54" i="151" s="1"/>
  <c r="O54" i="151" s="1"/>
  <c r="CA72" i="67"/>
  <c r="G61" i="75"/>
  <c r="CW62" i="67"/>
  <c r="CU63" i="67"/>
  <c r="F63" i="28"/>
  <c r="H63" i="75"/>
  <c r="CS64" i="67"/>
  <c r="F64" i="32"/>
  <c r="F65" i="153"/>
  <c r="O65" i="153" s="1"/>
  <c r="BW77" i="67"/>
  <c r="E66" i="151"/>
  <c r="K66" i="151" s="1"/>
  <c r="BU78" i="67"/>
  <c r="DA67" i="67"/>
  <c r="BS79" i="67"/>
  <c r="CY68" i="67"/>
  <c r="BO81" i="67"/>
  <c r="CW70" i="67"/>
  <c r="DG72" i="67"/>
  <c r="F72" i="32"/>
  <c r="F76" i="32"/>
  <c r="DA77" i="67"/>
  <c r="CW78" i="67"/>
  <c r="G3" i="75"/>
  <c r="CV5" i="67"/>
  <c r="E5" i="153"/>
  <c r="N5" i="153" s="1"/>
  <c r="CQ6" i="67"/>
  <c r="F6" i="153"/>
  <c r="O6" i="153" s="1"/>
  <c r="CZ7" i="67"/>
  <c r="CR9" i="67"/>
  <c r="CJ17" i="67"/>
  <c r="DJ21" i="67"/>
  <c r="E21" i="153"/>
  <c r="N21" i="153" s="1"/>
  <c r="CL23" i="67"/>
  <c r="DC32" i="67"/>
  <c r="E32" i="151"/>
  <c r="K32" i="151" s="1"/>
  <c r="O32" i="151" s="1"/>
  <c r="CX33" i="67"/>
  <c r="E2" i="153"/>
  <c r="N2" i="153" s="1"/>
  <c r="F3" i="153"/>
  <c r="O3" i="153" s="1"/>
  <c r="CZ4" i="67"/>
  <c r="CW5" i="67"/>
  <c r="DA7" i="67"/>
  <c r="CS9" i="67"/>
  <c r="F9" i="32"/>
  <c r="E10" i="30"/>
  <c r="CO13" i="67"/>
  <c r="E13" i="151"/>
  <c r="K13" i="151" s="1"/>
  <c r="O13" i="151" s="1"/>
  <c r="DI15" i="67"/>
  <c r="H15" i="75"/>
  <c r="F15" i="28"/>
  <c r="G16" i="75"/>
  <c r="CK17" i="67"/>
  <c r="CV18" i="67"/>
  <c r="E18" i="153"/>
  <c r="N18" i="153" s="1"/>
  <c r="CQ19" i="67"/>
  <c r="F19" i="153"/>
  <c r="O19" i="153" s="1"/>
  <c r="CZ20" i="67"/>
  <c r="CW21" i="67"/>
  <c r="CR22" i="67"/>
  <c r="DA23" i="67"/>
  <c r="DG25" i="67"/>
  <c r="F25" i="32"/>
  <c r="CN26" i="67"/>
  <c r="E26" i="30"/>
  <c r="DC29" i="67"/>
  <c r="E29" i="151"/>
  <c r="K29" i="151" s="1"/>
  <c r="O29" i="151" s="1"/>
  <c r="CX30" i="67"/>
  <c r="DI31" i="67"/>
  <c r="F31" i="28"/>
  <c r="H31" i="75"/>
  <c r="G32" i="75"/>
  <c r="CK33" i="67"/>
  <c r="DJ34" i="67"/>
  <c r="E34" i="153"/>
  <c r="N34" i="153" s="1"/>
  <c r="F35" i="153"/>
  <c r="O35" i="153" s="1"/>
  <c r="CZ36" i="67"/>
  <c r="DK37" i="67"/>
  <c r="CR38" i="67"/>
  <c r="DA39" i="67"/>
  <c r="CS41" i="67"/>
  <c r="F41" i="32"/>
  <c r="E42" i="30"/>
  <c r="DH44" i="67"/>
  <c r="E45" i="151"/>
  <c r="K45" i="151" s="1"/>
  <c r="O45" i="151" s="1"/>
  <c r="H47" i="75"/>
  <c r="F47" i="28"/>
  <c r="G48" i="75"/>
  <c r="CY49" i="67"/>
  <c r="CV50" i="67"/>
  <c r="E50" i="153"/>
  <c r="N50" i="153" s="1"/>
  <c r="CM51" i="67"/>
  <c r="H53" i="154"/>
  <c r="Q53" i="154" s="1"/>
  <c r="H53" i="153"/>
  <c r="Q53" i="153" s="1"/>
  <c r="H53" i="152"/>
  <c r="N53" i="152" s="1"/>
  <c r="H53" i="30"/>
  <c r="H53" i="34"/>
  <c r="H53" i="151"/>
  <c r="N53" i="151" s="1"/>
  <c r="DF54" i="67"/>
  <c r="CA67" i="67"/>
  <c r="G56" i="75"/>
  <c r="CW57" i="67"/>
  <c r="DB58" i="67"/>
  <c r="E58" i="30"/>
  <c r="CU59" i="67"/>
  <c r="H59" i="75"/>
  <c r="F59" i="28"/>
  <c r="CL60" i="67"/>
  <c r="DG61" i="67"/>
  <c r="F61" i="32"/>
  <c r="BP74" i="67"/>
  <c r="BN75" i="67"/>
  <c r="E64" i="153"/>
  <c r="N64" i="153" s="1"/>
  <c r="DH65" i="67"/>
  <c r="H65" i="154"/>
  <c r="Q65" i="154" s="1"/>
  <c r="H65" i="152"/>
  <c r="N65" i="152" s="1"/>
  <c r="H65" i="153"/>
  <c r="Q65" i="153" s="1"/>
  <c r="H65" i="151"/>
  <c r="N65" i="151" s="1"/>
  <c r="H65" i="30"/>
  <c r="H65" i="34"/>
  <c r="BX78" i="67"/>
  <c r="G67" i="75"/>
  <c r="BV79" i="67"/>
  <c r="DB68" i="67"/>
  <c r="E68" i="30"/>
  <c r="BT80" i="67"/>
  <c r="BR81" i="67"/>
  <c r="BP82" i="67"/>
  <c r="BN83" i="67"/>
  <c r="DJ72" i="67"/>
  <c r="E72" i="153"/>
  <c r="N72" i="153" s="1"/>
  <c r="H73" i="154"/>
  <c r="Q73" i="154" s="1"/>
  <c r="H73" i="152"/>
  <c r="N73" i="152" s="1"/>
  <c r="H73" i="151"/>
  <c r="N73" i="151" s="1"/>
  <c r="H73" i="153"/>
  <c r="Q73" i="153" s="1"/>
  <c r="H73" i="34"/>
  <c r="H73" i="30"/>
  <c r="CZ75" i="67"/>
  <c r="DJ76" i="67"/>
  <c r="E76" i="153"/>
  <c r="N76" i="153" s="1"/>
  <c r="G77" i="75"/>
  <c r="CX78" i="67"/>
  <c r="CN80" i="67"/>
  <c r="E80" i="30"/>
  <c r="H81" i="154"/>
  <c r="H81" i="153"/>
  <c r="Q81" i="153" s="1"/>
  <c r="H81" i="152"/>
  <c r="H81" i="151"/>
  <c r="N81" i="151" s="1"/>
  <c r="H81" i="30"/>
  <c r="H81" i="34"/>
  <c r="H129" i="34" s="1"/>
  <c r="CV84" i="67"/>
  <c r="E84" i="153"/>
  <c r="N84" i="153" s="1"/>
  <c r="G85" i="75"/>
  <c r="CJ86" i="67"/>
  <c r="E88" i="30"/>
  <c r="H89" i="154"/>
  <c r="H89" i="152"/>
  <c r="H89" i="151"/>
  <c r="N89" i="151" s="1"/>
  <c r="H89" i="153"/>
  <c r="Q89" i="153" s="1"/>
  <c r="H89" i="34"/>
  <c r="H137" i="34" s="1"/>
  <c r="H89" i="30"/>
  <c r="CV90" i="67"/>
  <c r="E90" i="153"/>
  <c r="N90" i="153" s="1"/>
  <c r="DF92" i="67"/>
  <c r="G93" i="75"/>
  <c r="CN94" i="67"/>
  <c r="E94" i="30"/>
  <c r="CX96" i="67"/>
  <c r="H97" i="154"/>
  <c r="H97" i="152"/>
  <c r="H97" i="151"/>
  <c r="N97" i="151" s="1"/>
  <c r="H97" i="30"/>
  <c r="H97" i="153"/>
  <c r="Q97" i="153" s="1"/>
  <c r="H97" i="34"/>
  <c r="H145" i="34" s="1"/>
  <c r="DJ98" i="67"/>
  <c r="E98" i="153"/>
  <c r="N98" i="153" s="1"/>
  <c r="DI99" i="67"/>
  <c r="H99" i="75"/>
  <c r="F99" i="28"/>
  <c r="DG101" i="67"/>
  <c r="F101" i="32"/>
  <c r="DF102" i="67"/>
  <c r="F103" i="153"/>
  <c r="O103" i="153" s="1"/>
  <c r="G104" i="75"/>
  <c r="DC105" i="67"/>
  <c r="E105" i="151"/>
  <c r="K105" i="151" s="1"/>
  <c r="DB106" i="67"/>
  <c r="E106" i="30"/>
  <c r="DA107" i="67"/>
  <c r="CZ108" i="67"/>
  <c r="CY109" i="67"/>
  <c r="CJ110" i="67"/>
  <c r="CW113" i="67"/>
  <c r="E114" i="153"/>
  <c r="N114" i="153" s="1"/>
  <c r="CU115" i="67"/>
  <c r="H115" i="75"/>
  <c r="F115" i="28"/>
  <c r="AE6" i="24"/>
  <c r="D30" i="74" s="1"/>
  <c r="AN6" i="24"/>
  <c r="AE7" i="24"/>
  <c r="E30" i="74" s="1"/>
  <c r="AA4" i="23"/>
  <c r="C51" i="74" s="1"/>
  <c r="AN7" i="24"/>
  <c r="AE8" i="24"/>
  <c r="F30" i="74" s="1"/>
  <c r="N8" i="24"/>
  <c r="F28" i="25" s="1"/>
  <c r="AE9" i="24"/>
  <c r="G30" i="74" s="1"/>
  <c r="D5" i="24"/>
  <c r="AE10" i="24"/>
  <c r="H30" i="74" s="1"/>
  <c r="AE11" i="24"/>
  <c r="I30" i="74" s="1"/>
  <c r="AE12" i="24"/>
  <c r="J30" i="74" s="1"/>
  <c r="AE13" i="24"/>
  <c r="K30" i="74" s="1"/>
  <c r="AE5" i="24"/>
  <c r="AN5" i="24"/>
  <c r="W6" i="24"/>
  <c r="W7" i="24"/>
  <c r="E29" i="25" s="1"/>
  <c r="W5" i="24"/>
  <c r="C29" i="25" s="1"/>
  <c r="N5" i="24"/>
  <c r="C28" i="25" s="1"/>
  <c r="AA10" i="23"/>
  <c r="I51" i="74" s="1"/>
  <c r="AA9" i="23"/>
  <c r="H51" i="74" s="1"/>
  <c r="AA11" i="23"/>
  <c r="J51" i="74" s="1"/>
  <c r="K4" i="23"/>
  <c r="C47" i="74" s="1"/>
  <c r="Y5" i="17"/>
  <c r="C5" i="25" s="1"/>
  <c r="S8" i="23"/>
  <c r="S4" i="23"/>
  <c r="BN5" i="17"/>
  <c r="AA5" i="23"/>
  <c r="D51" i="74" s="1"/>
  <c r="AA7" i="23"/>
  <c r="F51" i="74" s="1"/>
  <c r="AW5" i="17"/>
  <c r="V5" i="57" s="1"/>
  <c r="X5" i="57" s="1"/>
  <c r="AA8" i="23"/>
  <c r="G51" i="74" s="1"/>
  <c r="AL5" i="17"/>
  <c r="M5" i="57" s="1"/>
  <c r="O5" i="57" s="1"/>
  <c r="AA6" i="23"/>
  <c r="E51" i="74" s="1"/>
  <c r="BN6" i="17"/>
  <c r="S7" i="23"/>
  <c r="AA12" i="23"/>
  <c r="K51" i="74" s="1"/>
  <c r="AW6" i="17"/>
  <c r="V6" i="57" s="1"/>
  <c r="X6" i="57" s="1"/>
  <c r="O4" i="23"/>
  <c r="AL13" i="17"/>
  <c r="M13" i="57" s="1"/>
  <c r="O13" i="57" s="1"/>
  <c r="O13" i="23"/>
  <c r="S6" i="23"/>
  <c r="O10" i="23"/>
  <c r="AL12" i="17"/>
  <c r="M12" i="57" s="1"/>
  <c r="O12" i="57" s="1"/>
  <c r="S5" i="23"/>
  <c r="O12" i="23"/>
  <c r="S13" i="23"/>
  <c r="AL6" i="17"/>
  <c r="M6" i="57" s="1"/>
  <c r="O6" i="57" s="1"/>
  <c r="O6" i="23"/>
  <c r="AA13" i="23"/>
  <c r="L51" i="74" s="1"/>
  <c r="AL11" i="17"/>
  <c r="M11" i="57" s="1"/>
  <c r="O11" i="57" s="1"/>
  <c r="AL10" i="17"/>
  <c r="M10" i="57" s="1"/>
  <c r="O10" i="57" s="1"/>
  <c r="N6" i="24"/>
  <c r="D28" i="25" s="1"/>
  <c r="S12" i="23"/>
  <c r="O11" i="23"/>
  <c r="AE14" i="24"/>
  <c r="L30" i="74" s="1"/>
  <c r="S11" i="23"/>
  <c r="N7" i="24"/>
  <c r="E28" i="25" s="1"/>
  <c r="AL8" i="17"/>
  <c r="M8" i="57" s="1"/>
  <c r="O9" i="23"/>
  <c r="S10" i="23"/>
  <c r="AL7" i="17"/>
  <c r="M7" i="57" s="1"/>
  <c r="O7" i="57" s="1"/>
  <c r="AW12" i="17"/>
  <c r="V12" i="57" s="1"/>
  <c r="S9" i="23"/>
  <c r="O7" i="23"/>
  <c r="O8" i="23"/>
  <c r="AW10" i="17"/>
  <c r="V10" i="57" s="1"/>
  <c r="AW9" i="17"/>
  <c r="V9" i="57" s="1"/>
  <c r="X9" i="57" s="1"/>
  <c r="AL14" i="17"/>
  <c r="M14" i="57" s="1"/>
  <c r="O5" i="23"/>
  <c r="AW8" i="17"/>
  <c r="V8" i="57" s="1"/>
  <c r="X8" i="57" s="1"/>
  <c r="W8" i="24"/>
  <c r="AW13" i="17"/>
  <c r="V13" i="57" s="1"/>
  <c r="X13" i="57" s="1"/>
  <c r="BN7" i="17"/>
  <c r="AN8" i="24"/>
  <c r="AW11" i="17"/>
  <c r="V11" i="57" s="1"/>
  <c r="X11" i="57" s="1"/>
  <c r="AW14" i="17"/>
  <c r="V14" i="57" s="1"/>
  <c r="AW7" i="17"/>
  <c r="V7" i="57" s="1"/>
  <c r="X7" i="57" s="1"/>
  <c r="AN9" i="24"/>
  <c r="N10" i="24"/>
  <c r="H28" i="25" s="1"/>
  <c r="BN8" i="17"/>
  <c r="W9" i="24"/>
  <c r="BN9" i="17"/>
  <c r="N11" i="24"/>
  <c r="I28" i="25" s="1"/>
  <c r="W10" i="24"/>
  <c r="AN10" i="24"/>
  <c r="N12" i="24"/>
  <c r="J28" i="25" s="1"/>
  <c r="AN11" i="24"/>
  <c r="BN10" i="17"/>
  <c r="W11" i="24"/>
  <c r="N13" i="24"/>
  <c r="K28" i="25" s="1"/>
  <c r="BN11" i="17"/>
  <c r="AN12" i="24"/>
  <c r="W12" i="24"/>
  <c r="N14" i="24"/>
  <c r="BN12" i="17"/>
  <c r="AN13" i="24"/>
  <c r="W13" i="24"/>
  <c r="AN14" i="24"/>
  <c r="BN13" i="17"/>
  <c r="W14" i="24"/>
  <c r="DC26" i="67"/>
  <c r="E26" i="151"/>
  <c r="K26" i="151" s="1"/>
  <c r="O26" i="151" s="1"/>
  <c r="CJ27" i="67"/>
  <c r="DI28" i="67"/>
  <c r="H28" i="75"/>
  <c r="F28" i="28"/>
  <c r="G29" i="75"/>
  <c r="E31" i="153"/>
  <c r="N31" i="153" s="1"/>
  <c r="CQ32" i="67"/>
  <c r="F32" i="153"/>
  <c r="O32" i="153" s="1"/>
  <c r="CL33" i="67"/>
  <c r="CW34" i="67"/>
  <c r="DA36" i="67"/>
  <c r="F38" i="32"/>
  <c r="DB39" i="67"/>
  <c r="E39" i="30"/>
  <c r="E42" i="151"/>
  <c r="K42" i="151" s="1"/>
  <c r="O42" i="151" s="1"/>
  <c r="CJ43" i="67"/>
  <c r="CU44" i="67"/>
  <c r="H44" i="75"/>
  <c r="F44" i="28"/>
  <c r="G45" i="75"/>
  <c r="DJ47" i="67"/>
  <c r="E47" i="153"/>
  <c r="N47" i="153" s="1"/>
  <c r="CQ48" i="67"/>
  <c r="F48" i="153"/>
  <c r="O48" i="153" s="1"/>
  <c r="CZ49" i="67"/>
  <c r="CW50" i="67"/>
  <c r="CN51" i="67"/>
  <c r="E51" i="30"/>
  <c r="DI52" i="67"/>
  <c r="H52" i="75"/>
  <c r="F52" i="28"/>
  <c r="CZ53" i="67"/>
  <c r="CS54" i="67"/>
  <c r="F54" i="32"/>
  <c r="J55" i="153"/>
  <c r="S55" i="153" s="1"/>
  <c r="J55" i="154"/>
  <c r="S55" i="154" s="1"/>
  <c r="DE56" i="67"/>
  <c r="F56" i="153"/>
  <c r="O56" i="153" s="1"/>
  <c r="BZ69" i="67"/>
  <c r="DC58" i="67"/>
  <c r="E58" i="151"/>
  <c r="K58" i="151" s="1"/>
  <c r="O58" i="151" s="1"/>
  <c r="E59" i="153"/>
  <c r="N59" i="153" s="1"/>
  <c r="DA60" i="67"/>
  <c r="CT61" i="67"/>
  <c r="BQ74" i="67"/>
  <c r="BO75" i="67"/>
  <c r="CU65" i="67"/>
  <c r="H65" i="75"/>
  <c r="F65" i="28"/>
  <c r="CS66" i="67"/>
  <c r="DG66" i="67"/>
  <c r="F66" i="32"/>
  <c r="CQ67" i="67"/>
  <c r="F67" i="153"/>
  <c r="O67" i="153" s="1"/>
  <c r="BW79" i="67"/>
  <c r="CO68" i="67"/>
  <c r="E68" i="151"/>
  <c r="K68" i="151" s="1"/>
  <c r="BU80" i="67"/>
  <c r="BS81" i="67"/>
  <c r="CY70" i="67"/>
  <c r="BQ82" i="67"/>
  <c r="BO83" i="67"/>
  <c r="CW72" i="67"/>
  <c r="DI73" i="67"/>
  <c r="H73" i="75"/>
  <c r="F73" i="28"/>
  <c r="F74" i="32"/>
  <c r="CQ77" i="67"/>
  <c r="F77" i="153"/>
  <c r="O77" i="153" s="1"/>
  <c r="CY78" i="67"/>
  <c r="DI79" i="67"/>
  <c r="F79" i="28"/>
  <c r="H79" i="75"/>
  <c r="CO80" i="67"/>
  <c r="E80" i="151"/>
  <c r="K80" i="151" s="1"/>
  <c r="O80" i="151" s="1"/>
  <c r="CS82" i="67"/>
  <c r="F82" i="32"/>
  <c r="DA83" i="67"/>
  <c r="F85" i="153"/>
  <c r="O85" i="153" s="1"/>
  <c r="CY86" i="67"/>
  <c r="F87" i="28"/>
  <c r="H87" i="75"/>
  <c r="E88" i="151"/>
  <c r="K88" i="151" s="1"/>
  <c r="O88" i="151" s="1"/>
  <c r="DK90" i="67"/>
  <c r="CU91" i="67"/>
  <c r="H91" i="75"/>
  <c r="F91" i="28"/>
  <c r="CS92" i="67"/>
  <c r="F92" i="32"/>
  <c r="F93" i="153"/>
  <c r="O93" i="153" s="1"/>
  <c r="CO94" i="67"/>
  <c r="E94" i="151"/>
  <c r="K94" i="151" s="1"/>
  <c r="O94" i="151" s="1"/>
  <c r="CM95" i="67"/>
  <c r="CY96" i="67"/>
  <c r="CW98" i="67"/>
  <c r="CV99" i="67"/>
  <c r="E99" i="153"/>
  <c r="N99" i="153" s="1"/>
  <c r="H100" i="75"/>
  <c r="F100" i="28"/>
  <c r="CS102" i="67"/>
  <c r="F102" i="32"/>
  <c r="CR103" i="67"/>
  <c r="F104" i="153"/>
  <c r="O104" i="153" s="1"/>
  <c r="G105" i="75"/>
  <c r="E106" i="151"/>
  <c r="K106" i="151" s="1"/>
  <c r="E107" i="30"/>
  <c r="CK110" i="67"/>
  <c r="DK114" i="67"/>
  <c r="CV115" i="67"/>
  <c r="E115" i="153"/>
  <c r="N115" i="153" s="1"/>
  <c r="CN60" i="67"/>
  <c r="E60" i="30"/>
  <c r="DI61" i="67"/>
  <c r="H61" i="75"/>
  <c r="F61" i="28"/>
  <c r="CZ62" i="67"/>
  <c r="BR74" i="67"/>
  <c r="CX63" i="67"/>
  <c r="BP75" i="67"/>
  <c r="BN76" i="67"/>
  <c r="CV65" i="67"/>
  <c r="E65" i="153"/>
  <c r="N65" i="153" s="1"/>
  <c r="DH66" i="67"/>
  <c r="H66" i="153"/>
  <c r="Q66" i="153" s="1"/>
  <c r="H66" i="154"/>
  <c r="Q66" i="154" s="1"/>
  <c r="H66" i="152"/>
  <c r="N66" i="152" s="1"/>
  <c r="H66" i="151"/>
  <c r="N66" i="151" s="1"/>
  <c r="H66" i="30"/>
  <c r="H66" i="34"/>
  <c r="DF67" i="67"/>
  <c r="BX79" i="67"/>
  <c r="DD68" i="67"/>
  <c r="G68" i="75"/>
  <c r="BV80" i="67"/>
  <c r="E69" i="30"/>
  <c r="BT81" i="67"/>
  <c r="CZ70" i="67"/>
  <c r="BR82" i="67"/>
  <c r="CX71" i="67"/>
  <c r="BP83" i="67"/>
  <c r="BN84" i="67"/>
  <c r="CV73" i="67"/>
  <c r="E73" i="153"/>
  <c r="N73" i="153" s="1"/>
  <c r="DH74" i="67"/>
  <c r="DB75" i="67"/>
  <c r="E75" i="30"/>
  <c r="H76" i="153"/>
  <c r="Q76" i="153" s="1"/>
  <c r="H76" i="154"/>
  <c r="H76" i="152"/>
  <c r="H76" i="151"/>
  <c r="N76" i="151" s="1"/>
  <c r="H76" i="34"/>
  <c r="H124" i="34" s="1"/>
  <c r="H76" i="30"/>
  <c r="CR77" i="67"/>
  <c r="CZ78" i="67"/>
  <c r="CV79" i="67"/>
  <c r="E79" i="153"/>
  <c r="N79" i="153" s="1"/>
  <c r="G80" i="75"/>
  <c r="DB83" i="67"/>
  <c r="E83" i="30"/>
  <c r="H84" i="152"/>
  <c r="H84" i="154"/>
  <c r="H84" i="153"/>
  <c r="Q84" i="153" s="1"/>
  <c r="H84" i="34"/>
  <c r="H132" i="34" s="1"/>
  <c r="H84" i="151"/>
  <c r="N84" i="151" s="1"/>
  <c r="H84" i="30"/>
  <c r="CL86" i="67"/>
  <c r="DJ87" i="67"/>
  <c r="E87" i="153"/>
  <c r="N87" i="153" s="1"/>
  <c r="G88" i="75"/>
  <c r="H90" i="154"/>
  <c r="H90" i="153"/>
  <c r="Q90" i="153" s="1"/>
  <c r="H90" i="152"/>
  <c r="H90" i="151"/>
  <c r="N90" i="151" s="1"/>
  <c r="H90" i="34"/>
  <c r="H138" i="34" s="1"/>
  <c r="H90" i="30"/>
  <c r="DJ91" i="67"/>
  <c r="E91" i="153"/>
  <c r="N91" i="153" s="1"/>
  <c r="CR93" i="67"/>
  <c r="G94" i="75"/>
  <c r="CN95" i="67"/>
  <c r="E95" i="30"/>
  <c r="CZ96" i="67"/>
  <c r="CX97" i="67"/>
  <c r="DJ100" i="67"/>
  <c r="E100" i="153"/>
  <c r="N100" i="153" s="1"/>
  <c r="H101" i="75"/>
  <c r="F101" i="28"/>
  <c r="DG103" i="67"/>
  <c r="F103" i="32"/>
  <c r="CR104" i="67"/>
  <c r="F105" i="153"/>
  <c r="O105" i="153" s="1"/>
  <c r="G106" i="75"/>
  <c r="E107" i="151"/>
  <c r="K107" i="151" s="1"/>
  <c r="DB108" i="67"/>
  <c r="E108" i="30"/>
  <c r="CL110" i="67"/>
  <c r="CY111" i="67"/>
  <c r="CJ112" i="67"/>
  <c r="DK115" i="67"/>
  <c r="G9" i="75"/>
  <c r="CR3" i="67"/>
  <c r="CV15" i="67"/>
  <c r="E15" i="153"/>
  <c r="N15" i="153" s="1"/>
  <c r="CL17" i="67"/>
  <c r="DK18" i="67"/>
  <c r="CR19" i="67"/>
  <c r="DA20" i="67"/>
  <c r="CS22" i="67"/>
  <c r="F22" i="32"/>
  <c r="E23" i="30"/>
  <c r="DB4" i="67"/>
  <c r="E4" i="30"/>
  <c r="CW15" i="67"/>
  <c r="CR16" i="67"/>
  <c r="CS19" i="67"/>
  <c r="F19" i="32"/>
  <c r="DD26" i="67"/>
  <c r="G26" i="75"/>
  <c r="CZ30" i="67"/>
  <c r="CR32" i="67"/>
  <c r="CM33" i="67"/>
  <c r="DG35" i="67"/>
  <c r="F35" i="32"/>
  <c r="DC39" i="67"/>
  <c r="E39" i="151"/>
  <c r="K39" i="151" s="1"/>
  <c r="O39" i="151" s="1"/>
  <c r="CJ40" i="67"/>
  <c r="CU41" i="67"/>
  <c r="H41" i="75"/>
  <c r="F41" i="28"/>
  <c r="G42" i="75"/>
  <c r="CV44" i="67"/>
  <c r="E44" i="153"/>
  <c r="N44" i="153" s="1"/>
  <c r="F45" i="153"/>
  <c r="O45" i="153" s="1"/>
  <c r="CZ46" i="67"/>
  <c r="DC51" i="67"/>
  <c r="E51" i="151"/>
  <c r="K51" i="151" s="1"/>
  <c r="CS16" i="67"/>
  <c r="F16" i="32"/>
  <c r="DH19" i="67"/>
  <c r="DC20" i="67"/>
  <c r="E20" i="151"/>
  <c r="K20" i="151" s="1"/>
  <c r="O20" i="151" s="1"/>
  <c r="CX21" i="67"/>
  <c r="F26" i="153"/>
  <c r="O26" i="153" s="1"/>
  <c r="CS48" i="67"/>
  <c r="F48" i="32"/>
  <c r="DB49" i="67"/>
  <c r="E49" i="30"/>
  <c r="CA62" i="67"/>
  <c r="G51" i="75"/>
  <c r="DB53" i="67"/>
  <c r="E53" i="30"/>
  <c r="H54" i="75"/>
  <c r="F54" i="28"/>
  <c r="CL55" i="67"/>
  <c r="F56" i="32"/>
  <c r="CX57" i="67"/>
  <c r="J57" i="153"/>
  <c r="S57" i="153" s="1"/>
  <c r="J57" i="154"/>
  <c r="S57" i="154" s="1"/>
  <c r="BQ75" i="67"/>
  <c r="BO76" i="67"/>
  <c r="CU66" i="67"/>
  <c r="H66" i="75"/>
  <c r="F66" i="28"/>
  <c r="CS67" i="67"/>
  <c r="DG67" i="67"/>
  <c r="F67" i="32"/>
  <c r="DE68" i="67"/>
  <c r="F68" i="153"/>
  <c r="O68" i="153" s="1"/>
  <c r="BW80" i="67"/>
  <c r="CO69" i="67"/>
  <c r="E69" i="151"/>
  <c r="K69" i="151" s="1"/>
  <c r="O69" i="151" s="1"/>
  <c r="BU81" i="67"/>
  <c r="DA70" i="67"/>
  <c r="BS82" i="67"/>
  <c r="CY71" i="67"/>
  <c r="BQ83" i="67"/>
  <c r="BO84" i="67"/>
  <c r="CW73" i="67"/>
  <c r="H74" i="75"/>
  <c r="F74" i="28"/>
  <c r="DC75" i="67"/>
  <c r="E75" i="151"/>
  <c r="K75" i="151" s="1"/>
  <c r="O75" i="151" s="1"/>
  <c r="DG77" i="67"/>
  <c r="F77" i="32"/>
  <c r="DA78" i="67"/>
  <c r="F80" i="153"/>
  <c r="O80" i="153" s="1"/>
  <c r="CY81" i="67"/>
  <c r="H82" i="75"/>
  <c r="F82" i="28"/>
  <c r="DC83" i="67"/>
  <c r="E83" i="151"/>
  <c r="K83" i="151" s="1"/>
  <c r="O83" i="151" s="1"/>
  <c r="F85" i="32"/>
  <c r="DA86" i="67"/>
  <c r="DK87" i="67"/>
  <c r="F88" i="153"/>
  <c r="O88" i="153" s="1"/>
  <c r="DK91" i="67"/>
  <c r="H92" i="75"/>
  <c r="F92" i="28"/>
  <c r="DG93" i="67"/>
  <c r="F93" i="32"/>
  <c r="F94" i="153"/>
  <c r="O94" i="153" s="1"/>
  <c r="DC95" i="67"/>
  <c r="E95" i="151"/>
  <c r="K95" i="151" s="1"/>
  <c r="O95" i="151" s="1"/>
  <c r="CM96" i="67"/>
  <c r="CY97" i="67"/>
  <c r="DK100" i="67"/>
  <c r="DJ101" i="67"/>
  <c r="E101" i="153"/>
  <c r="N101" i="153" s="1"/>
  <c r="H102" i="75"/>
  <c r="F102" i="28"/>
  <c r="DG104" i="67"/>
  <c r="F104" i="32"/>
  <c r="DF105" i="67"/>
  <c r="F106" i="153"/>
  <c r="O106" i="153" s="1"/>
  <c r="G107" i="75"/>
  <c r="DC108" i="67"/>
  <c r="E108" i="151"/>
  <c r="K108" i="151" s="1"/>
  <c r="DB109" i="67"/>
  <c r="E109" i="30"/>
  <c r="DA110" i="67"/>
  <c r="CL111" i="67"/>
  <c r="CY112" i="67"/>
  <c r="CJ113" i="67"/>
  <c r="CN36" i="67"/>
  <c r="E36" i="30"/>
  <c r="CM49" i="67"/>
  <c r="G58" i="75"/>
  <c r="DC4" i="67"/>
  <c r="E4" i="151"/>
  <c r="K4" i="151" s="1"/>
  <c r="O4" i="151" s="1"/>
  <c r="CU6" i="67"/>
  <c r="H6" i="75"/>
  <c r="F6" i="28"/>
  <c r="G7" i="75"/>
  <c r="E9" i="153"/>
  <c r="N9" i="153" s="1"/>
  <c r="F10" i="153"/>
  <c r="O10" i="153" s="1"/>
  <c r="CZ11" i="67"/>
  <c r="CW12" i="67"/>
  <c r="CU22" i="67"/>
  <c r="H22" i="75"/>
  <c r="F22" i="28"/>
  <c r="CY24" i="67"/>
  <c r="DJ25" i="67"/>
  <c r="E25" i="153"/>
  <c r="N25" i="153" s="1"/>
  <c r="CL27" i="67"/>
  <c r="DK28" i="67"/>
  <c r="DF29" i="67"/>
  <c r="CM30" i="67"/>
  <c r="E33" i="30"/>
  <c r="CU38" i="67"/>
  <c r="H38" i="75"/>
  <c r="F38" i="28"/>
  <c r="DD39" i="67"/>
  <c r="G39" i="75"/>
  <c r="CL43" i="67"/>
  <c r="CR10" i="67"/>
  <c r="DG13" i="67"/>
  <c r="F13" i="32"/>
  <c r="CN14" i="67"/>
  <c r="E14" i="30"/>
  <c r="CO17" i="67"/>
  <c r="E17" i="151"/>
  <c r="K17" i="151" s="1"/>
  <c r="O17" i="151" s="1"/>
  <c r="CX18" i="67"/>
  <c r="CU19" i="67"/>
  <c r="H19" i="75"/>
  <c r="F19" i="28"/>
  <c r="G20" i="75"/>
  <c r="CK21" i="67"/>
  <c r="DJ22" i="67"/>
  <c r="E22" i="153"/>
  <c r="N22" i="153" s="1"/>
  <c r="DE23" i="67"/>
  <c r="F23" i="153"/>
  <c r="O23" i="153" s="1"/>
  <c r="CZ24" i="67"/>
  <c r="CW25" i="67"/>
  <c r="DF26" i="67"/>
  <c r="DA27" i="67"/>
  <c r="DG29" i="67"/>
  <c r="F29" i="32"/>
  <c r="CN30" i="67"/>
  <c r="E30" i="30"/>
  <c r="CT32" i="67"/>
  <c r="E33" i="151"/>
  <c r="K33" i="151" s="1"/>
  <c r="O33" i="151" s="1"/>
  <c r="CX34" i="67"/>
  <c r="DI35" i="67"/>
  <c r="H35" i="75"/>
  <c r="F35" i="28"/>
  <c r="CP36" i="67"/>
  <c r="G36" i="75"/>
  <c r="CY37" i="67"/>
  <c r="CV38" i="67"/>
  <c r="E38" i="153"/>
  <c r="N38" i="153" s="1"/>
  <c r="F39" i="153"/>
  <c r="O39" i="153" s="1"/>
  <c r="DK41" i="67"/>
  <c r="DF42" i="67"/>
  <c r="DG45" i="67"/>
  <c r="F45" i="32"/>
  <c r="E46" i="30"/>
  <c r="CT48" i="67"/>
  <c r="E49" i="151"/>
  <c r="K49" i="151" s="1"/>
  <c r="O49" i="151" s="1"/>
  <c r="CX50" i="67"/>
  <c r="J50" i="154"/>
  <c r="S50" i="154" s="1"/>
  <c r="J50" i="153"/>
  <c r="S50" i="153" s="1"/>
  <c r="DE51" i="67"/>
  <c r="F51" i="153"/>
  <c r="O51" i="153" s="1"/>
  <c r="BZ64" i="67"/>
  <c r="E53" i="151"/>
  <c r="K53" i="151" s="1"/>
  <c r="DJ54" i="67"/>
  <c r="E54" i="153"/>
  <c r="N54" i="153" s="1"/>
  <c r="CM55" i="67"/>
  <c r="H57" i="154"/>
  <c r="Q57" i="154" s="1"/>
  <c r="H57" i="152"/>
  <c r="N57" i="152" s="1"/>
  <c r="H57" i="151"/>
  <c r="N57" i="151" s="1"/>
  <c r="H57" i="153"/>
  <c r="Q57" i="153" s="1"/>
  <c r="H57" i="34"/>
  <c r="H57" i="30"/>
  <c r="DF58" i="67"/>
  <c r="CA71" i="67"/>
  <c r="G60" i="75"/>
  <c r="DK61" i="67"/>
  <c r="CN62" i="67"/>
  <c r="E62" i="30"/>
  <c r="BT74" i="67"/>
  <c r="BR75" i="67"/>
  <c r="CX64" i="67"/>
  <c r="BP76" i="67"/>
  <c r="BN77" i="67"/>
  <c r="DJ66" i="67"/>
  <c r="E66" i="153"/>
  <c r="N66" i="153" s="1"/>
  <c r="H67" i="154"/>
  <c r="Q67" i="154" s="1"/>
  <c r="H67" i="153"/>
  <c r="Q67" i="153" s="1"/>
  <c r="H67" i="151"/>
  <c r="N67" i="151" s="1"/>
  <c r="H67" i="34"/>
  <c r="H67" i="152"/>
  <c r="N67" i="152" s="1"/>
  <c r="H67" i="30"/>
  <c r="CR68" i="67"/>
  <c r="BX80" i="67"/>
  <c r="G69" i="75"/>
  <c r="BV81" i="67"/>
  <c r="DB70" i="67"/>
  <c r="E70" i="30"/>
  <c r="BT82" i="67"/>
  <c r="BR83" i="67"/>
  <c r="CJ72" i="67"/>
  <c r="BP84" i="67"/>
  <c r="BN85" i="67"/>
  <c r="DJ74" i="67"/>
  <c r="E74" i="153"/>
  <c r="N74" i="153" s="1"/>
  <c r="CP75" i="67"/>
  <c r="G75" i="75"/>
  <c r="CJ76" i="67"/>
  <c r="CN78" i="67"/>
  <c r="E78" i="30"/>
  <c r="H79" i="154"/>
  <c r="H79" i="153"/>
  <c r="Q79" i="153" s="1"/>
  <c r="H79" i="152"/>
  <c r="H79" i="30"/>
  <c r="H79" i="34"/>
  <c r="H127" i="34" s="1"/>
  <c r="H79" i="151"/>
  <c r="N79" i="151" s="1"/>
  <c r="CR80" i="67"/>
  <c r="E82" i="153"/>
  <c r="N82" i="153" s="1"/>
  <c r="DD83" i="67"/>
  <c r="G83" i="75"/>
  <c r="DH85" i="67"/>
  <c r="CN86" i="67"/>
  <c r="E86" i="30"/>
  <c r="H87" i="154"/>
  <c r="H87" i="151"/>
  <c r="N87" i="151" s="1"/>
  <c r="H87" i="153"/>
  <c r="Q87" i="153" s="1"/>
  <c r="H87" i="152"/>
  <c r="H87" i="30"/>
  <c r="H87" i="34"/>
  <c r="H135" i="34" s="1"/>
  <c r="CZ89" i="67"/>
  <c r="H91" i="154"/>
  <c r="H91" i="153"/>
  <c r="Q91" i="153" s="1"/>
  <c r="H91" i="151"/>
  <c r="N91" i="151" s="1"/>
  <c r="H91" i="152"/>
  <c r="H91" i="34"/>
  <c r="H139" i="34" s="1"/>
  <c r="H91" i="30"/>
  <c r="E92" i="153"/>
  <c r="N92" i="153" s="1"/>
  <c r="CR94" i="67"/>
  <c r="G95" i="75"/>
  <c r="E96" i="30"/>
  <c r="CL97" i="67"/>
  <c r="CJ98" i="67"/>
  <c r="DJ102" i="67"/>
  <c r="E102" i="153"/>
  <c r="N102" i="153" s="1"/>
  <c r="CU103" i="67"/>
  <c r="F103" i="28"/>
  <c r="H103" i="75"/>
  <c r="F105" i="32"/>
  <c r="DF106" i="67"/>
  <c r="F107" i="153"/>
  <c r="O107" i="153" s="1"/>
  <c r="G108" i="75"/>
  <c r="CO109" i="67"/>
  <c r="E109" i="151"/>
  <c r="K109" i="151" s="1"/>
  <c r="E110" i="30"/>
  <c r="CM111" i="67"/>
  <c r="CK113" i="67"/>
  <c r="I102" i="65"/>
  <c r="AJ99" i="67"/>
  <c r="CS2" i="67"/>
  <c r="F2" i="32"/>
  <c r="DB3" i="67"/>
  <c r="E3" i="30"/>
  <c r="DH5" i="67"/>
  <c r="CU8" i="67"/>
  <c r="H8" i="75"/>
  <c r="F8" i="28"/>
  <c r="CK10" i="67"/>
  <c r="DJ11" i="67"/>
  <c r="E11" i="153"/>
  <c r="N11" i="153" s="1"/>
  <c r="CL13" i="67"/>
  <c r="DG6" i="67"/>
  <c r="F6" i="32"/>
  <c r="CS3" i="67"/>
  <c r="F3" i="32"/>
  <c r="CP10" i="67"/>
  <c r="G10" i="75"/>
  <c r="CK11" i="67"/>
  <c r="F13" i="153"/>
  <c r="O13" i="153" s="1"/>
  <c r="CZ14" i="67"/>
  <c r="E20" i="30"/>
  <c r="E23" i="151"/>
  <c r="K23" i="151" s="1"/>
  <c r="O23" i="151" s="1"/>
  <c r="CJ24" i="67"/>
  <c r="CU25" i="67"/>
  <c r="H25" i="75"/>
  <c r="F25" i="28"/>
  <c r="CK27" i="67"/>
  <c r="E28" i="153"/>
  <c r="N28" i="153" s="1"/>
  <c r="F29" i="153"/>
  <c r="O29" i="153" s="1"/>
  <c r="DK31" i="67"/>
  <c r="CY8" i="67"/>
  <c r="CN17" i="67"/>
  <c r="E17" i="30"/>
  <c r="DC36" i="67"/>
  <c r="E36" i="151"/>
  <c r="K36" i="151" s="1"/>
  <c r="O36" i="151" s="1"/>
  <c r="CV41" i="67"/>
  <c r="E41" i="153"/>
  <c r="N41" i="153" s="1"/>
  <c r="F42" i="153"/>
  <c r="O42" i="153" s="1"/>
  <c r="CW44" i="67"/>
  <c r="F58" i="153"/>
  <c r="O58" i="153" s="1"/>
  <c r="BZ71" i="67"/>
  <c r="CO60" i="67"/>
  <c r="E60" i="151"/>
  <c r="K60" i="151" s="1"/>
  <c r="DJ61" i="67"/>
  <c r="E61" i="153"/>
  <c r="N61" i="153" s="1"/>
  <c r="DA62" i="67"/>
  <c r="BS74" i="67"/>
  <c r="CJ2" i="67"/>
  <c r="H3" i="75"/>
  <c r="F3" i="28"/>
  <c r="DD4" i="67"/>
  <c r="G4" i="75"/>
  <c r="CY5" i="67"/>
  <c r="CV6" i="67"/>
  <c r="E6" i="153"/>
  <c r="N6" i="153" s="1"/>
  <c r="F7" i="153"/>
  <c r="O7" i="153" s="1"/>
  <c r="CL8" i="67"/>
  <c r="DK9" i="67"/>
  <c r="CK2" i="67"/>
  <c r="CV3" i="67"/>
  <c r="E3" i="153"/>
  <c r="N3" i="153" s="1"/>
  <c r="F4" i="153"/>
  <c r="O4" i="153" s="1"/>
  <c r="CZ5" i="67"/>
  <c r="DK6" i="67"/>
  <c r="DF7" i="67"/>
  <c r="CM8" i="67"/>
  <c r="DG10" i="67"/>
  <c r="F10" i="32"/>
  <c r="DB11" i="67"/>
  <c r="E11" i="30"/>
  <c r="CT13" i="67"/>
  <c r="DC14" i="67"/>
  <c r="E14" i="151"/>
  <c r="K14" i="151" s="1"/>
  <c r="O14" i="151" s="1"/>
  <c r="CJ15" i="67"/>
  <c r="CU16" i="67"/>
  <c r="H16" i="75"/>
  <c r="F16" i="28"/>
  <c r="G17" i="75"/>
  <c r="CY18" i="67"/>
  <c r="E19" i="153"/>
  <c r="N19" i="153" s="1"/>
  <c r="DE20" i="67"/>
  <c r="F20" i="153"/>
  <c r="O20" i="153" s="1"/>
  <c r="CL21" i="67"/>
  <c r="DF23" i="67"/>
  <c r="DA24" i="67"/>
  <c r="DG26" i="67"/>
  <c r="F26" i="32"/>
  <c r="CN27" i="67"/>
  <c r="E27" i="30"/>
  <c r="DC30" i="67"/>
  <c r="E30" i="151"/>
  <c r="K30" i="151" s="1"/>
  <c r="O30" i="151" s="1"/>
  <c r="CU32" i="67"/>
  <c r="H32" i="75"/>
  <c r="F32" i="28"/>
  <c r="CP33" i="67"/>
  <c r="G33" i="75"/>
  <c r="CY34" i="67"/>
  <c r="DJ35" i="67"/>
  <c r="E35" i="153"/>
  <c r="N35" i="153" s="1"/>
  <c r="F36" i="153"/>
  <c r="O36" i="153" s="1"/>
  <c r="CL37" i="67"/>
  <c r="CR39" i="67"/>
  <c r="CM40" i="67"/>
  <c r="DG42" i="67"/>
  <c r="F42" i="32"/>
  <c r="E43" i="30"/>
  <c r="CO46" i="67"/>
  <c r="E46" i="151"/>
  <c r="K46" i="151" s="1"/>
  <c r="O46" i="151" s="1"/>
  <c r="CJ47" i="67"/>
  <c r="DI48" i="67"/>
  <c r="H48" i="75"/>
  <c r="F48" i="28"/>
  <c r="CP49" i="67"/>
  <c r="G49" i="75"/>
  <c r="H50" i="153"/>
  <c r="Q50" i="153" s="1"/>
  <c r="H50" i="154"/>
  <c r="Q50" i="154" s="1"/>
  <c r="H50" i="152"/>
  <c r="N50" i="152" s="1"/>
  <c r="H50" i="151"/>
  <c r="N50" i="151" s="1"/>
  <c r="H50" i="30"/>
  <c r="H50" i="34"/>
  <c r="DF51" i="67"/>
  <c r="CA64" i="67"/>
  <c r="G53" i="75"/>
  <c r="DK54" i="67"/>
  <c r="CN55" i="67"/>
  <c r="E55" i="30"/>
  <c r="DI56" i="67"/>
  <c r="H56" i="75"/>
  <c r="F56" i="28"/>
  <c r="CL57" i="67"/>
  <c r="DG58" i="67"/>
  <c r="F58" i="32"/>
  <c r="CX59" i="67"/>
  <c r="J59" i="153"/>
  <c r="S59" i="153" s="1"/>
  <c r="J59" i="154"/>
  <c r="S59" i="154" s="1"/>
  <c r="F60" i="153"/>
  <c r="O60" i="153" s="1"/>
  <c r="BZ73" i="67"/>
  <c r="E62" i="151"/>
  <c r="K62" i="151" s="1"/>
  <c r="O62" i="151" s="1"/>
  <c r="BU74" i="67"/>
  <c r="BS75" i="67"/>
  <c r="CK64" i="67"/>
  <c r="BQ76" i="67"/>
  <c r="BO77" i="67"/>
  <c r="DK66" i="67"/>
  <c r="H67" i="75"/>
  <c r="F67" i="28"/>
  <c r="CS68" i="67"/>
  <c r="F68" i="32"/>
  <c r="DE69" i="67"/>
  <c r="F69" i="153"/>
  <c r="O69" i="153" s="1"/>
  <c r="BW81" i="67"/>
  <c r="CO70" i="67"/>
  <c r="E70" i="151"/>
  <c r="K70" i="151" s="1"/>
  <c r="O70" i="151" s="1"/>
  <c r="BU82" i="67"/>
  <c r="DA71" i="67"/>
  <c r="BS83" i="67"/>
  <c r="CY72" i="67"/>
  <c r="BQ84" i="67"/>
  <c r="BO85" i="67"/>
  <c r="F75" i="153"/>
  <c r="O75" i="153" s="1"/>
  <c r="CY76" i="67"/>
  <c r="DI77" i="67"/>
  <c r="H77" i="75"/>
  <c r="F77" i="28"/>
  <c r="E78" i="151"/>
  <c r="K78" i="151" s="1"/>
  <c r="O78" i="151" s="1"/>
  <c r="DG80" i="67"/>
  <c r="F80" i="32"/>
  <c r="CM81" i="67"/>
  <c r="F83" i="153"/>
  <c r="O83" i="153" s="1"/>
  <c r="CU85" i="67"/>
  <c r="H85" i="75"/>
  <c r="F85" i="28"/>
  <c r="E86" i="151"/>
  <c r="K86" i="151" s="1"/>
  <c r="O86" i="151" s="1"/>
  <c r="CS88" i="67"/>
  <c r="F88" i="32"/>
  <c r="CK90" i="67"/>
  <c r="CW92" i="67"/>
  <c r="DI93" i="67"/>
  <c r="H93" i="75"/>
  <c r="F93" i="28"/>
  <c r="CS94" i="67"/>
  <c r="F94" i="32"/>
  <c r="CQ95" i="67"/>
  <c r="F95" i="153"/>
  <c r="O95" i="153" s="1"/>
  <c r="CO96" i="67"/>
  <c r="E96" i="151"/>
  <c r="K96" i="151" s="1"/>
  <c r="DA97" i="67"/>
  <c r="CJ99" i="67"/>
  <c r="CW102" i="67"/>
  <c r="DJ103" i="67"/>
  <c r="E103" i="153"/>
  <c r="N103" i="153" s="1"/>
  <c r="H104" i="75"/>
  <c r="F104" i="28"/>
  <c r="CS106" i="67"/>
  <c r="F106" i="32"/>
  <c r="DF107" i="67"/>
  <c r="F108" i="153"/>
  <c r="O108" i="153" s="1"/>
  <c r="DD109" i="67"/>
  <c r="G109" i="75"/>
  <c r="E110" i="151"/>
  <c r="K110" i="151" s="1"/>
  <c r="CN111" i="67"/>
  <c r="E111" i="30"/>
  <c r="CM112" i="67"/>
  <c r="CL113" i="67"/>
  <c r="CK114" i="67"/>
  <c r="CX115" i="67"/>
  <c r="DB2" i="67"/>
  <c r="E2" i="30"/>
  <c r="DC5" i="67"/>
  <c r="E5" i="151"/>
  <c r="K5" i="151" s="1"/>
  <c r="O5" i="151" s="1"/>
  <c r="DJ10" i="67"/>
  <c r="E10" i="153"/>
  <c r="N10" i="153" s="1"/>
  <c r="CO6" i="67"/>
  <c r="E6" i="151"/>
  <c r="K6" i="151" s="1"/>
  <c r="O6" i="151" s="1"/>
  <c r="CX7" i="67"/>
  <c r="DE12" i="67"/>
  <c r="F12" i="153"/>
  <c r="O12" i="153" s="1"/>
  <c r="CW2" i="67"/>
  <c r="DA4" i="67"/>
  <c r="CN7" i="67"/>
  <c r="E7" i="30"/>
  <c r="DC10" i="67"/>
  <c r="E10" i="151"/>
  <c r="K10" i="151" s="1"/>
  <c r="O10" i="151" s="1"/>
  <c r="CJ11" i="67"/>
  <c r="DI12" i="67"/>
  <c r="H12" i="75"/>
  <c r="F12" i="28"/>
  <c r="CP13" i="67"/>
  <c r="G13" i="75"/>
  <c r="CY14" i="67"/>
  <c r="F16" i="153"/>
  <c r="O16" i="153" s="1"/>
  <c r="DH6" i="67"/>
  <c r="CO7" i="67"/>
  <c r="E7" i="151"/>
  <c r="K7" i="151" s="1"/>
  <c r="O7" i="151" s="1"/>
  <c r="CX8" i="67"/>
  <c r="CU9" i="67"/>
  <c r="H9" i="75"/>
  <c r="F9" i="28"/>
  <c r="DJ12" i="67"/>
  <c r="E12" i="153"/>
  <c r="N12" i="153" s="1"/>
  <c r="DA17" i="67"/>
  <c r="BZ62" i="67"/>
  <c r="E52" i="153"/>
  <c r="N52" i="153" s="1"/>
  <c r="CT54" i="67"/>
  <c r="CY55" i="67"/>
  <c r="H55" i="154"/>
  <c r="Q55" i="154" s="1"/>
  <c r="H55" i="151"/>
  <c r="N55" i="151" s="1"/>
  <c r="H55" i="153"/>
  <c r="Q55" i="153" s="1"/>
  <c r="H55" i="152"/>
  <c r="N55" i="152" s="1"/>
  <c r="H55" i="30"/>
  <c r="H55" i="34"/>
  <c r="CA69" i="67"/>
  <c r="CM14" i="67"/>
  <c r="DD23" i="67"/>
  <c r="G23" i="75"/>
  <c r="DG32" i="67"/>
  <c r="F32" i="32"/>
  <c r="CL2" i="67"/>
  <c r="CW3" i="67"/>
  <c r="CR4" i="67"/>
  <c r="DA5" i="67"/>
  <c r="CS7" i="67"/>
  <c r="F7" i="32"/>
  <c r="CN8" i="67"/>
  <c r="E8" i="30"/>
  <c r="DC11" i="67"/>
  <c r="E11" i="151"/>
  <c r="K11" i="151" s="1"/>
  <c r="O11" i="151" s="1"/>
  <c r="CJ12" i="67"/>
  <c r="DI13" i="67"/>
  <c r="H13" i="75"/>
  <c r="F13" i="28"/>
  <c r="G14" i="75"/>
  <c r="CK15" i="67"/>
  <c r="CV16" i="67"/>
  <c r="E16" i="153"/>
  <c r="N16" i="153" s="1"/>
  <c r="F17" i="153"/>
  <c r="O17" i="153" s="1"/>
  <c r="CL18" i="67"/>
  <c r="DK19" i="67"/>
  <c r="CR20" i="67"/>
  <c r="CM21" i="67"/>
  <c r="F23" i="32"/>
  <c r="DB24" i="67"/>
  <c r="E24" i="30"/>
  <c r="DC27" i="67"/>
  <c r="E27" i="151"/>
  <c r="K27" i="151" s="1"/>
  <c r="O27" i="151" s="1"/>
  <c r="CX28" i="67"/>
  <c r="CU29" i="67"/>
  <c r="H29" i="75"/>
  <c r="F29" i="28"/>
  <c r="DD30" i="67"/>
  <c r="G30" i="75"/>
  <c r="CY31" i="67"/>
  <c r="CV32" i="67"/>
  <c r="E32" i="153"/>
  <c r="N32" i="153" s="1"/>
  <c r="F33" i="153"/>
  <c r="O33" i="153" s="1"/>
  <c r="CL34" i="67"/>
  <c r="DK35" i="67"/>
  <c r="CR36" i="67"/>
  <c r="CM37" i="67"/>
  <c r="DG39" i="67"/>
  <c r="F39" i="32"/>
  <c r="DB40" i="67"/>
  <c r="E40" i="30"/>
  <c r="CT42" i="67"/>
  <c r="DC43" i="67"/>
  <c r="E43" i="151"/>
  <c r="K43" i="151" s="1"/>
  <c r="O43" i="151" s="1"/>
  <c r="CU45" i="67"/>
  <c r="H45" i="75"/>
  <c r="F45" i="28"/>
  <c r="G46" i="75"/>
  <c r="CV48" i="67"/>
  <c r="E48" i="153"/>
  <c r="N48" i="153" s="1"/>
  <c r="F49" i="153"/>
  <c r="O49" i="153" s="1"/>
  <c r="CL50" i="67"/>
  <c r="F51" i="32"/>
  <c r="CX52" i="67"/>
  <c r="J52" i="154"/>
  <c r="S52" i="154" s="1"/>
  <c r="J52" i="153"/>
  <c r="S52" i="153" s="1"/>
  <c r="F53" i="153"/>
  <c r="O53" i="153" s="1"/>
  <c r="BZ66" i="67"/>
  <c r="CO55" i="67"/>
  <c r="E55" i="151"/>
  <c r="K55" i="151" s="1"/>
  <c r="DJ56" i="67"/>
  <c r="E56" i="153"/>
  <c r="N56" i="153" s="1"/>
  <c r="CY59" i="67"/>
  <c r="H59" i="154"/>
  <c r="Q59" i="154" s="1"/>
  <c r="H59" i="153"/>
  <c r="Q59" i="153" s="1"/>
  <c r="H59" i="151"/>
  <c r="N59" i="151" s="1"/>
  <c r="H59" i="152"/>
  <c r="N59" i="152" s="1"/>
  <c r="H59" i="34"/>
  <c r="H59" i="30"/>
  <c r="CR60" i="67"/>
  <c r="CA73" i="67"/>
  <c r="G62" i="75"/>
  <c r="BV74" i="67"/>
  <c r="DB63" i="67"/>
  <c r="E63" i="30"/>
  <c r="BT75" i="67"/>
  <c r="CL64" i="67"/>
  <c r="BR76" i="67"/>
  <c r="CJ65" i="67"/>
  <c r="BP77" i="67"/>
  <c r="BN78" i="67"/>
  <c r="E67" i="153"/>
  <c r="N67" i="153" s="1"/>
  <c r="H68" i="152"/>
  <c r="N68" i="152" s="1"/>
  <c r="H68" i="154"/>
  <c r="Q68" i="154" s="1"/>
  <c r="H68" i="153"/>
  <c r="Q68" i="153" s="1"/>
  <c r="H68" i="151"/>
  <c r="N68" i="151" s="1"/>
  <c r="H68" i="34"/>
  <c r="H68" i="30"/>
  <c r="CR69" i="67"/>
  <c r="BX81" i="67"/>
  <c r="CP70" i="67"/>
  <c r="G70" i="75"/>
  <c r="BV82" i="67"/>
  <c r="DB71" i="67"/>
  <c r="E71" i="30"/>
  <c r="BT83" i="67"/>
  <c r="BR84" i="67"/>
  <c r="BP85" i="67"/>
  <c r="H74" i="154"/>
  <c r="H74" i="153"/>
  <c r="Q74" i="153" s="1"/>
  <c r="H74" i="152"/>
  <c r="H74" i="151"/>
  <c r="N74" i="151" s="1"/>
  <c r="H74" i="34"/>
  <c r="H122" i="34" s="1"/>
  <c r="H74" i="30"/>
  <c r="CL76" i="67"/>
  <c r="DJ77" i="67"/>
  <c r="E77" i="153"/>
  <c r="N77" i="153" s="1"/>
  <c r="G78" i="75"/>
  <c r="CJ79" i="67"/>
  <c r="CT80" i="67"/>
  <c r="CN81" i="67"/>
  <c r="E81" i="30"/>
  <c r="H82" i="153"/>
  <c r="Q82" i="153" s="1"/>
  <c r="H82" i="154"/>
  <c r="H82" i="152"/>
  <c r="H82" i="151"/>
  <c r="N82" i="151" s="1"/>
  <c r="H82" i="30"/>
  <c r="H82" i="34"/>
  <c r="H130" i="34" s="1"/>
  <c r="CR83" i="67"/>
  <c r="CZ84" i="67"/>
  <c r="DJ85" i="67"/>
  <c r="E85" i="153"/>
  <c r="N85" i="153" s="1"/>
  <c r="G86" i="75"/>
  <c r="E89" i="30"/>
  <c r="H92" i="153"/>
  <c r="Q92" i="153" s="1"/>
  <c r="H92" i="154"/>
  <c r="H92" i="152"/>
  <c r="H92" i="151"/>
  <c r="N92" i="151" s="1"/>
  <c r="H92" i="34"/>
  <c r="H140" i="34" s="1"/>
  <c r="H92" i="30"/>
  <c r="DJ93" i="67"/>
  <c r="E93" i="153"/>
  <c r="N93" i="153" s="1"/>
  <c r="DH94" i="67"/>
  <c r="DF95" i="67"/>
  <c r="G96" i="75"/>
  <c r="CN97" i="67"/>
  <c r="E97" i="30"/>
  <c r="CZ98" i="67"/>
  <c r="CX100" i="67"/>
  <c r="CV104" i="67"/>
  <c r="E104" i="153"/>
  <c r="N104" i="153" s="1"/>
  <c r="H105" i="75"/>
  <c r="F105" i="28"/>
  <c r="CS107" i="67"/>
  <c r="F107" i="32"/>
  <c r="DE109" i="67"/>
  <c r="F109" i="153"/>
  <c r="O109" i="153" s="1"/>
  <c r="G110" i="75"/>
  <c r="DC111" i="67"/>
  <c r="E111" i="151"/>
  <c r="K111" i="151" s="1"/>
  <c r="CN112" i="67"/>
  <c r="E112" i="30"/>
  <c r="CZ114" i="67"/>
  <c r="DG4" i="67"/>
  <c r="F4" i="32"/>
  <c r="CN5" i="67"/>
  <c r="E5" i="30"/>
  <c r="DH7" i="67"/>
  <c r="DC8" i="67"/>
  <c r="E8" i="151"/>
  <c r="K8" i="151" s="1"/>
  <c r="O8" i="151" s="1"/>
  <c r="CJ9" i="67"/>
  <c r="H10" i="75"/>
  <c r="F10" i="28"/>
  <c r="G11" i="75"/>
  <c r="CY12" i="67"/>
  <c r="CV13" i="67"/>
  <c r="E13" i="153"/>
  <c r="N13" i="153" s="1"/>
  <c r="F14" i="153"/>
  <c r="O14" i="153" s="1"/>
  <c r="CL15" i="67"/>
  <c r="DK16" i="67"/>
  <c r="DF17" i="67"/>
  <c r="CM18" i="67"/>
  <c r="DG20" i="67"/>
  <c r="F20" i="32"/>
  <c r="CN21" i="67"/>
  <c r="E21" i="30"/>
  <c r="DC24" i="67"/>
  <c r="E24" i="151"/>
  <c r="K24" i="151" s="1"/>
  <c r="O24" i="151" s="1"/>
  <c r="CJ25" i="67"/>
  <c r="CU26" i="67"/>
  <c r="H26" i="75"/>
  <c r="F26" i="28"/>
  <c r="G27" i="75"/>
  <c r="CY28" i="67"/>
  <c r="E29" i="153"/>
  <c r="N29" i="153" s="1"/>
  <c r="F30" i="153"/>
  <c r="O30" i="153" s="1"/>
  <c r="CZ31" i="67"/>
  <c r="CW32" i="67"/>
  <c r="CR33" i="67"/>
  <c r="CM34" i="67"/>
  <c r="F36" i="32"/>
  <c r="E37" i="30"/>
  <c r="CO40" i="67"/>
  <c r="E40" i="151"/>
  <c r="K40" i="151" s="1"/>
  <c r="O40" i="151" s="1"/>
  <c r="CX41" i="67"/>
  <c r="CU42" i="67"/>
  <c r="H42" i="75"/>
  <c r="F42" i="28"/>
  <c r="CP43" i="67"/>
  <c r="G43" i="75"/>
  <c r="CY44" i="67"/>
  <c r="E45" i="153"/>
  <c r="N45" i="153" s="1"/>
  <c r="F46" i="153"/>
  <c r="O46" i="153" s="1"/>
  <c r="CR49" i="67"/>
  <c r="DA50" i="67"/>
  <c r="DH51" i="67"/>
  <c r="CK52" i="67"/>
  <c r="H52" i="153"/>
  <c r="Q52" i="153" s="1"/>
  <c r="H52" i="152"/>
  <c r="N52" i="152" s="1"/>
  <c r="H52" i="154"/>
  <c r="Q52" i="154" s="1"/>
  <c r="H52" i="34"/>
  <c r="H52" i="151"/>
  <c r="N52" i="151" s="1"/>
  <c r="H52" i="30"/>
  <c r="CA66" i="67"/>
  <c r="CP55" i="67"/>
  <c r="G55" i="75"/>
  <c r="CW56" i="67"/>
  <c r="CN57" i="67"/>
  <c r="E57" i="30"/>
  <c r="H58" i="75"/>
  <c r="F58" i="28"/>
  <c r="CS60" i="67"/>
  <c r="F60" i="32"/>
  <c r="CJ61" i="67"/>
  <c r="J61" i="153"/>
  <c r="S61" i="153" s="1"/>
  <c r="J61" i="154"/>
  <c r="S61" i="154" s="1"/>
  <c r="CQ62" i="67"/>
  <c r="F62" i="153"/>
  <c r="O62" i="153" s="1"/>
  <c r="BW74" i="67"/>
  <c r="DC63" i="67"/>
  <c r="E63" i="151"/>
  <c r="K63" i="151" s="1"/>
  <c r="O63" i="151" s="1"/>
  <c r="BU75" i="67"/>
  <c r="CM64" i="67"/>
  <c r="BS76" i="67"/>
  <c r="CK65" i="67"/>
  <c r="BQ77" i="67"/>
  <c r="BO78" i="67"/>
  <c r="CW67" i="67"/>
  <c r="H68" i="75"/>
  <c r="F68" i="28"/>
  <c r="DG69" i="67"/>
  <c r="F69" i="32"/>
  <c r="F70" i="153"/>
  <c r="O70" i="153" s="1"/>
  <c r="BW82" i="67"/>
  <c r="E71" i="151"/>
  <c r="K71" i="151" s="1"/>
  <c r="BU83" i="67"/>
  <c r="CM72" i="67"/>
  <c r="BS84" i="67"/>
  <c r="CY73" i="67"/>
  <c r="BQ85" i="67"/>
  <c r="F75" i="32"/>
  <c r="CW77" i="67"/>
  <c r="F78" i="153"/>
  <c r="O78" i="153" s="1"/>
  <c r="CU80" i="67"/>
  <c r="H80" i="75"/>
  <c r="F80" i="28"/>
  <c r="DC81" i="67"/>
  <c r="E81" i="151"/>
  <c r="K81" i="151" s="1"/>
  <c r="F83" i="32"/>
  <c r="DA84" i="67"/>
  <c r="DK85" i="67"/>
  <c r="F86" i="153"/>
  <c r="O86" i="153" s="1"/>
  <c r="CY87" i="67"/>
  <c r="H88" i="75"/>
  <c r="F88" i="28"/>
  <c r="E89" i="151"/>
  <c r="K89" i="151" s="1"/>
  <c r="O89" i="151" s="1"/>
  <c r="H94" i="75"/>
  <c r="F94" i="28"/>
  <c r="DG95" i="67"/>
  <c r="F95" i="32"/>
  <c r="F96" i="153"/>
  <c r="O96" i="153" s="1"/>
  <c r="CO97" i="67"/>
  <c r="E97" i="151"/>
  <c r="K97" i="151" s="1"/>
  <c r="O97" i="151" s="1"/>
  <c r="DA98" i="67"/>
  <c r="CL99" i="67"/>
  <c r="CK100" i="67"/>
  <c r="CJ101" i="67"/>
  <c r="CW104" i="67"/>
  <c r="E105" i="153"/>
  <c r="N105" i="153" s="1"/>
  <c r="DI106" i="67"/>
  <c r="H106" i="75"/>
  <c r="F106" i="28"/>
  <c r="DH107" i="67"/>
  <c r="CS108" i="67"/>
  <c r="F108" i="32"/>
  <c r="DF109" i="67"/>
  <c r="F110" i="153"/>
  <c r="O110" i="153" s="1"/>
  <c r="G111" i="75"/>
  <c r="E112" i="151"/>
  <c r="K112" i="151" s="1"/>
  <c r="E113" i="30"/>
  <c r="CM114" i="67"/>
  <c r="R2" i="67"/>
  <c r="D46" i="72"/>
  <c r="D45" i="72" s="1"/>
  <c r="D47" i="72" s="1"/>
  <c r="E46" i="72"/>
  <c r="E45" i="72" s="1"/>
  <c r="E47" i="72" s="1"/>
  <c r="F46" i="72"/>
  <c r="F45" i="72" s="1"/>
  <c r="F47" i="72" s="1"/>
  <c r="G46" i="72"/>
  <c r="G45" i="72" s="1"/>
  <c r="G47" i="72" s="1"/>
  <c r="C46" i="72"/>
  <c r="W2" i="67"/>
  <c r="W3" i="67"/>
  <c r="R3" i="67"/>
  <c r="W4" i="67"/>
  <c r="R4" i="67"/>
  <c r="W5" i="67"/>
  <c r="R5" i="67"/>
  <c r="W6" i="67"/>
  <c r="R6" i="67"/>
  <c r="W7" i="67"/>
  <c r="R7" i="67"/>
  <c r="R8" i="67"/>
  <c r="W8" i="67"/>
  <c r="R9" i="67"/>
  <c r="W9" i="67"/>
  <c r="R10" i="67"/>
  <c r="W10" i="67"/>
  <c r="R11" i="67"/>
  <c r="W11" i="67"/>
  <c r="R12" i="67"/>
  <c r="W12" i="67"/>
  <c r="R13" i="67"/>
  <c r="W13" i="67"/>
  <c r="EV50" i="4"/>
  <c r="EU50" i="4"/>
  <c r="EU51" i="4"/>
  <c r="EV51" i="4"/>
  <c r="EV52" i="4"/>
  <c r="EU52" i="4"/>
  <c r="EV53" i="4"/>
  <c r="EU53" i="4"/>
  <c r="EU54" i="4"/>
  <c r="EV54" i="4"/>
  <c r="EU55" i="4"/>
  <c r="EV55" i="4"/>
  <c r="EU56" i="4"/>
  <c r="EV56" i="4"/>
  <c r="EU57" i="4"/>
  <c r="EV57" i="4"/>
  <c r="EU58" i="4"/>
  <c r="EV58" i="4"/>
  <c r="EV59" i="4"/>
  <c r="EV60" i="4"/>
  <c r="EV61" i="4"/>
  <c r="EU61" i="4"/>
  <c r="EV62" i="4"/>
  <c r="EU62" i="4"/>
  <c r="EV63" i="4"/>
  <c r="EU63" i="4"/>
  <c r="EV64" i="4"/>
  <c r="EU64" i="4"/>
  <c r="EU65" i="4"/>
  <c r="EV65" i="4"/>
  <c r="EU66" i="4"/>
  <c r="EV66" i="4"/>
  <c r="EV67" i="4"/>
  <c r="EU67" i="4"/>
  <c r="CD116" i="67"/>
  <c r="EV68" i="4"/>
  <c r="EU68" i="4"/>
  <c r="CD117" i="67"/>
  <c r="EU69" i="4"/>
  <c r="EV69" i="4"/>
  <c r="CD118" i="67"/>
  <c r="EU70" i="4"/>
  <c r="EV70" i="4"/>
  <c r="CD119" i="67"/>
  <c r="EU71" i="4"/>
  <c r="EV71" i="4"/>
  <c r="CD120" i="67"/>
  <c r="EV72" i="4"/>
  <c r="EU72" i="4"/>
  <c r="CD121" i="67"/>
  <c r="K121" i="77" s="1"/>
  <c r="EU73" i="4"/>
  <c r="EV73" i="4"/>
  <c r="EU74" i="4"/>
  <c r="EV74" i="4"/>
  <c r="EV75" i="4"/>
  <c r="EU75" i="4"/>
  <c r="EV76" i="4"/>
  <c r="EU76" i="4"/>
  <c r="EU77" i="4"/>
  <c r="EV77" i="4"/>
  <c r="EV78" i="4"/>
  <c r="EU78" i="4"/>
  <c r="EV79" i="4"/>
  <c r="EU79" i="4"/>
  <c r="EU80" i="4"/>
  <c r="EV80" i="4"/>
  <c r="EV81" i="4"/>
  <c r="EU81" i="4"/>
  <c r="EV82" i="4"/>
  <c r="EU82" i="4"/>
  <c r="EV83" i="4"/>
  <c r="EU83" i="4"/>
  <c r="EU84" i="4"/>
  <c r="EV84" i="4"/>
  <c r="EU85" i="4"/>
  <c r="EV85" i="4"/>
  <c r="EV86" i="4"/>
  <c r="EU86" i="4"/>
  <c r="EU87" i="4"/>
  <c r="EV87" i="4"/>
  <c r="EU88" i="4"/>
  <c r="EV88" i="4"/>
  <c r="EU89" i="4"/>
  <c r="EV89" i="4"/>
  <c r="EV90" i="4"/>
  <c r="EU90" i="4"/>
  <c r="EV91" i="4"/>
  <c r="EU91" i="4"/>
  <c r="EV92" i="4"/>
  <c r="EU92" i="4"/>
  <c r="EU93" i="4"/>
  <c r="EV93" i="4"/>
  <c r="EU94" i="4"/>
  <c r="EV94" i="4"/>
  <c r="EV95" i="4"/>
  <c r="EU95" i="4"/>
  <c r="EV96" i="4"/>
  <c r="EU96" i="4"/>
  <c r="EU97" i="4"/>
  <c r="EV97" i="4"/>
  <c r="CL31" i="67"/>
  <c r="CO11" i="67"/>
  <c r="CW89" i="67"/>
  <c r="CM28" i="67"/>
  <c r="CM94" i="67"/>
  <c r="DB5" i="67"/>
  <c r="DC6" i="67"/>
  <c r="CO24" i="67"/>
  <c r="K118" i="77"/>
  <c r="E131" i="65"/>
  <c r="O131" i="65" s="1"/>
  <c r="E135" i="65"/>
  <c r="O135" i="65" s="1"/>
  <c r="D130" i="65"/>
  <c r="N130" i="65" s="1"/>
  <c r="E128" i="65"/>
  <c r="O128" i="65" s="1"/>
  <c r="F131" i="65"/>
  <c r="F135" i="65"/>
  <c r="E125" i="65"/>
  <c r="O125" i="65" s="1"/>
  <c r="F128" i="65"/>
  <c r="G131" i="65"/>
  <c r="D125" i="65"/>
  <c r="N125" i="65" s="1"/>
  <c r="F125" i="65"/>
  <c r="G128" i="65"/>
  <c r="D126" i="65"/>
  <c r="N126" i="65" s="1"/>
  <c r="G132" i="65"/>
  <c r="G125" i="65"/>
  <c r="D127" i="65"/>
  <c r="N127" i="65" s="1"/>
  <c r="F129" i="65"/>
  <c r="E132" i="65"/>
  <c r="O132" i="65" s="1"/>
  <c r="D128" i="65"/>
  <c r="N128" i="65" s="1"/>
  <c r="E126" i="65"/>
  <c r="O126" i="65" s="1"/>
  <c r="G133" i="65"/>
  <c r="E129" i="65"/>
  <c r="O129" i="65" s="1"/>
  <c r="F132" i="65"/>
  <c r="D129" i="65"/>
  <c r="N129" i="65" s="1"/>
  <c r="E134" i="65"/>
  <c r="O134" i="65" s="1"/>
  <c r="F126" i="65"/>
  <c r="G129" i="65"/>
  <c r="D131" i="65"/>
  <c r="N131" i="65" s="1"/>
  <c r="F134" i="65"/>
  <c r="G126" i="65"/>
  <c r="D132" i="65"/>
  <c r="N132" i="65" s="1"/>
  <c r="G135" i="65"/>
  <c r="E133" i="65"/>
  <c r="O133" i="65" s="1"/>
  <c r="D133" i="65"/>
  <c r="N133" i="65" s="1"/>
  <c r="E130" i="65"/>
  <c r="O130" i="65" s="1"/>
  <c r="F133" i="65"/>
  <c r="D134" i="65"/>
  <c r="N134" i="65" s="1"/>
  <c r="E127" i="65"/>
  <c r="O127" i="65" s="1"/>
  <c r="F130" i="65"/>
  <c r="D135" i="65"/>
  <c r="N135" i="65" s="1"/>
  <c r="E124" i="65"/>
  <c r="O124" i="65" s="1"/>
  <c r="F127" i="65"/>
  <c r="G130" i="65"/>
  <c r="G134" i="65"/>
  <c r="D124" i="65"/>
  <c r="N124" i="65" s="1"/>
  <c r="F124" i="65"/>
  <c r="G127" i="65"/>
  <c r="G124" i="65"/>
  <c r="E145" i="65"/>
  <c r="O145" i="65" s="1"/>
  <c r="H124" i="65"/>
  <c r="H136" i="65" s="1"/>
  <c r="CS13" i="67"/>
  <c r="DJ78" i="67"/>
  <c r="DB62" i="67"/>
  <c r="CY52" i="67"/>
  <c r="CO74" i="67"/>
  <c r="CM19" i="67"/>
  <c r="CU107" i="67"/>
  <c r="CN28" i="67"/>
  <c r="CY60" i="67"/>
  <c r="CN67" i="67"/>
  <c r="CO10" i="67"/>
  <c r="CO30" i="67"/>
  <c r="CX65" i="67"/>
  <c r="DI91" i="67"/>
  <c r="CJ23" i="67"/>
  <c r="CN58" i="67"/>
  <c r="CY65" i="67"/>
  <c r="DI89" i="67"/>
  <c r="CM104" i="67"/>
  <c r="CV34" i="67"/>
  <c r="CM35" i="67"/>
  <c r="DC59" i="67"/>
  <c r="CM86" i="67"/>
  <c r="CK96" i="67"/>
  <c r="DK53" i="67"/>
  <c r="CU64" i="67"/>
  <c r="CU86" i="67"/>
  <c r="DK4" i="67"/>
  <c r="CP23" i="67"/>
  <c r="CN24" i="67"/>
  <c r="CW61" i="67"/>
  <c r="DF65" i="67"/>
  <c r="DF81" i="67"/>
  <c r="DI95" i="67"/>
  <c r="CT107" i="67"/>
  <c r="CS101" i="67"/>
  <c r="DF39" i="67"/>
  <c r="DF59" i="67"/>
  <c r="CW100" i="67"/>
  <c r="DG8" i="67"/>
  <c r="DI16" i="67"/>
  <c r="DG54" i="67"/>
  <c r="DK57" i="67"/>
  <c r="DF100" i="67"/>
  <c r="CR17" i="67"/>
  <c r="DA40" i="67"/>
  <c r="CU48" i="67"/>
  <c r="DK73" i="67"/>
  <c r="CN82" i="67"/>
  <c r="CU93" i="67"/>
  <c r="CW75" i="67"/>
  <c r="CK18" i="67"/>
  <c r="CX2" i="67"/>
  <c r="DB18" i="67"/>
  <c r="CJ33" i="67"/>
  <c r="DE99" i="67"/>
  <c r="CM26" i="67"/>
  <c r="CS90" i="67"/>
  <c r="CO37" i="67"/>
  <c r="DB48" i="67"/>
  <c r="CT90" i="67"/>
  <c r="DB91" i="67"/>
  <c r="CR92" i="67"/>
  <c r="DI96" i="67"/>
  <c r="CR102" i="67"/>
  <c r="CN106" i="67"/>
  <c r="DF20" i="67"/>
  <c r="CZ43" i="67"/>
  <c r="CR58" i="67"/>
  <c r="CV72" i="67"/>
  <c r="CV76" i="67"/>
  <c r="CX85" i="67"/>
  <c r="CV93" i="67"/>
  <c r="CV102" i="67"/>
  <c r="CK105" i="67"/>
  <c r="CZ106" i="67"/>
  <c r="CO20" i="67"/>
  <c r="CU4" i="67"/>
  <c r="CX9" i="67"/>
  <c r="CY15" i="67"/>
  <c r="CN32" i="67"/>
  <c r="CK49" i="67"/>
  <c r="CK70" i="67"/>
  <c r="DG102" i="67"/>
  <c r="CN105" i="67"/>
  <c r="DG106" i="67"/>
  <c r="CN115" i="67"/>
  <c r="CZ9" i="67"/>
  <c r="CZ15" i="67"/>
  <c r="CQ56" i="67"/>
  <c r="DF69" i="67"/>
  <c r="CL70" i="67"/>
  <c r="CR113" i="67"/>
  <c r="DA21" i="67"/>
  <c r="CJ39" i="67"/>
  <c r="CX101" i="67"/>
  <c r="CM39" i="67"/>
  <c r="CJ74" i="67"/>
  <c r="CZ10" i="67"/>
  <c r="CS77" i="67"/>
  <c r="DF104" i="67"/>
  <c r="DG57" i="67"/>
  <c r="CY74" i="67"/>
  <c r="CS6" i="67"/>
  <c r="CS35" i="67"/>
  <c r="DG41" i="67"/>
  <c r="CV47" i="67"/>
  <c r="CO82" i="67"/>
  <c r="DK110" i="67"/>
  <c r="CK112" i="67"/>
  <c r="CV30" i="67"/>
  <c r="DB35" i="67"/>
  <c r="DJ41" i="67"/>
  <c r="CZ50" i="67"/>
  <c r="CK55" i="67"/>
  <c r="CV103" i="67"/>
  <c r="CS112" i="67"/>
  <c r="CM13" i="67"/>
  <c r="CV53" i="67"/>
  <c r="DA55" i="67"/>
  <c r="CV98" i="67"/>
  <c r="DF103" i="67"/>
  <c r="DJ112" i="67"/>
  <c r="DB55" i="67"/>
  <c r="CM7" i="67"/>
  <c r="CL48" i="67"/>
  <c r="DF47" i="67"/>
  <c r="DD55" i="67"/>
  <c r="CM67" i="67"/>
  <c r="CW83" i="67"/>
  <c r="CY90" i="67"/>
  <c r="CV108" i="67"/>
  <c r="CZ113" i="67"/>
  <c r="CV4" i="67"/>
  <c r="DD10" i="67"/>
  <c r="CL14" i="67"/>
  <c r="CM32" i="67"/>
  <c r="CN39" i="67"/>
  <c r="CV43" i="67"/>
  <c r="CJ66" i="67"/>
  <c r="CM77" i="67"/>
  <c r="CV86" i="67"/>
  <c r="DI25" i="67"/>
  <c r="CZ52" i="67"/>
  <c r="CR54" i="67"/>
  <c r="CO67" i="67"/>
  <c r="CM68" i="67"/>
  <c r="DJ90" i="67"/>
  <c r="CO91" i="67"/>
  <c r="DB101" i="67"/>
  <c r="CL7" i="67"/>
  <c r="DI14" i="67"/>
  <c r="CW18" i="67"/>
  <c r="CY21" i="67"/>
  <c r="DJ14" i="67"/>
  <c r="CZ21" i="67"/>
  <c r="DF28" i="67"/>
  <c r="CX29" i="67"/>
  <c r="DA8" i="67"/>
  <c r="CN11" i="67"/>
  <c r="DK14" i="67"/>
  <c r="CS32" i="67"/>
  <c r="CM50" i="67"/>
  <c r="CZ54" i="67"/>
  <c r="CV60" i="67"/>
  <c r="DG68" i="67"/>
  <c r="CO75" i="67"/>
  <c r="DI80" i="67"/>
  <c r="CZ94" i="67"/>
  <c r="CY106" i="67"/>
  <c r="CR107" i="67"/>
  <c r="CU73" i="67"/>
  <c r="DI8" i="67"/>
  <c r="CN19" i="67"/>
  <c r="DE22" i="67"/>
  <c r="CO26" i="67"/>
  <c r="CK12" i="67"/>
  <c r="CX15" i="67"/>
  <c r="DF22" i="67"/>
  <c r="DB26" i="67"/>
  <c r="CU30" i="67"/>
  <c r="DI41" i="67"/>
  <c r="CU56" i="67"/>
  <c r="CM70" i="67"/>
  <c r="CS78" i="67"/>
  <c r="CS81" i="67"/>
  <c r="DJ95" i="67"/>
  <c r="CJ96" i="67"/>
  <c r="CJ104" i="67"/>
  <c r="DJ106" i="67"/>
  <c r="CN70" i="67"/>
  <c r="CO85" i="67"/>
  <c r="CU33" i="67"/>
  <c r="CK34" i="67"/>
  <c r="DG37" i="67"/>
  <c r="CL49" i="67"/>
  <c r="DK78" i="67"/>
  <c r="CW85" i="67"/>
  <c r="CM88" i="67"/>
  <c r="CL103" i="67"/>
  <c r="CL114" i="67"/>
  <c r="DB15" i="67"/>
  <c r="CR23" i="67"/>
  <c r="DC96" i="67"/>
  <c r="CN103" i="67"/>
  <c r="DB114" i="67"/>
  <c r="CZ27" i="67"/>
  <c r="CR42" i="67"/>
  <c r="DJ51" i="67"/>
  <c r="CS62" i="67"/>
  <c r="CN76" i="67"/>
  <c r="CK97" i="67"/>
  <c r="CS103" i="67"/>
  <c r="CW109" i="67"/>
  <c r="DC114" i="67"/>
  <c r="CK38" i="67"/>
  <c r="CS42" i="67"/>
  <c r="DA49" i="67"/>
  <c r="CV57" i="67"/>
  <c r="CY2" i="67"/>
  <c r="CU13" i="67"/>
  <c r="CY16" i="67"/>
  <c r="CK24" i="67"/>
  <c r="CK31" i="67"/>
  <c r="CV55" i="67"/>
  <c r="DI6" i="67"/>
  <c r="CS10" i="67"/>
  <c r="DJ16" i="67"/>
  <c r="H53" i="76"/>
  <c r="F53" i="30"/>
  <c r="CT57" i="67"/>
  <c r="CD107" i="67"/>
  <c r="K59" i="77"/>
  <c r="CR63" i="67"/>
  <c r="H71" i="76"/>
  <c r="F71" i="30"/>
  <c r="H72" i="76"/>
  <c r="F72" i="30"/>
  <c r="CP73" i="67"/>
  <c r="E73" i="28"/>
  <c r="DE75" i="67"/>
  <c r="H75" i="76"/>
  <c r="F75" i="30"/>
  <c r="DD78" i="67"/>
  <c r="E78" i="28"/>
  <c r="CT85" i="67"/>
  <c r="DE87" i="67"/>
  <c r="H87" i="76"/>
  <c r="F87" i="30"/>
  <c r="DB94" i="67"/>
  <c r="E96" i="28"/>
  <c r="DH100" i="67"/>
  <c r="DD101" i="67"/>
  <c r="E101" i="28"/>
  <c r="CP105" i="67"/>
  <c r="E105" i="28"/>
  <c r="DA114" i="67"/>
  <c r="DA115" i="67"/>
  <c r="CT2" i="67"/>
  <c r="E4" i="28"/>
  <c r="DE8" i="67"/>
  <c r="H8" i="76"/>
  <c r="F8" i="30"/>
  <c r="DE16" i="67"/>
  <c r="H16" i="76"/>
  <c r="F16" i="30"/>
  <c r="CX17" i="67"/>
  <c r="CQ20" i="67"/>
  <c r="H20" i="76"/>
  <c r="F20" i="30"/>
  <c r="DD25" i="67"/>
  <c r="E25" i="28"/>
  <c r="CO5" i="67"/>
  <c r="DB13" i="67"/>
  <c r="CS29" i="67"/>
  <c r="H32" i="76"/>
  <c r="F32" i="30"/>
  <c r="CT34" i="67"/>
  <c r="DJ39" i="67"/>
  <c r="CT45" i="67"/>
  <c r="CK59" i="67"/>
  <c r="CS63" i="67"/>
  <c r="BY76" i="67"/>
  <c r="BY80" i="67"/>
  <c r="H73" i="76"/>
  <c r="F73" i="30"/>
  <c r="CQ78" i="67"/>
  <c r="H78" i="76"/>
  <c r="F78" i="30"/>
  <c r="DJ84" i="67"/>
  <c r="CY88" i="67"/>
  <c r="K91" i="77"/>
  <c r="CT92" i="67"/>
  <c r="DC94" i="67"/>
  <c r="K95" i="77"/>
  <c r="DE96" i="67"/>
  <c r="H96" i="76"/>
  <c r="F96" i="30"/>
  <c r="K97" i="77"/>
  <c r="CT98" i="67"/>
  <c r="CQ101" i="67"/>
  <c r="H101" i="76"/>
  <c r="F101" i="30"/>
  <c r="DD103" i="67"/>
  <c r="E103" i="28"/>
  <c r="DD104" i="67"/>
  <c r="E104" i="28"/>
  <c r="H105" i="76"/>
  <c r="F105" i="30"/>
  <c r="DG108" i="67"/>
  <c r="CT110" i="67"/>
  <c r="L110" i="32"/>
  <c r="CS113" i="67"/>
  <c r="DH12" i="67"/>
  <c r="CW42" i="67"/>
  <c r="K68" i="77"/>
  <c r="E102" i="28"/>
  <c r="DE103" i="67"/>
  <c r="H103" i="76"/>
  <c r="F103" i="30"/>
  <c r="CQ104" i="67"/>
  <c r="H104" i="76"/>
  <c r="F104" i="30"/>
  <c r="DC115" i="67"/>
  <c r="DH14" i="67"/>
  <c r="H46" i="76"/>
  <c r="F46" i="30"/>
  <c r="CP6" i="67"/>
  <c r="E6" i="28"/>
  <c r="E10" i="28"/>
  <c r="CY17" i="67"/>
  <c r="DE6" i="67"/>
  <c r="H6" i="76"/>
  <c r="F6" i="30"/>
  <c r="CQ10" i="67"/>
  <c r="H10" i="76"/>
  <c r="F10" i="30"/>
  <c r="CP30" i="67"/>
  <c r="E30" i="28"/>
  <c r="CT41" i="67"/>
  <c r="DK44" i="67"/>
  <c r="DD49" i="67"/>
  <c r="E49" i="28"/>
  <c r="DH50" i="67"/>
  <c r="CB63" i="67"/>
  <c r="L63" i="156" s="1"/>
  <c r="DA52" i="67"/>
  <c r="CB67" i="67"/>
  <c r="L67" i="156" s="1"/>
  <c r="CV56" i="67"/>
  <c r="CV63" i="67"/>
  <c r="CD112" i="67"/>
  <c r="K64" i="77"/>
  <c r="BY83" i="67"/>
  <c r="BY84" i="67"/>
  <c r="K76" i="77"/>
  <c r="K79" i="77"/>
  <c r="CX82" i="67"/>
  <c r="CZ88" i="67"/>
  <c r="E90" i="28"/>
  <c r="E93" i="28"/>
  <c r="E94" i="28"/>
  <c r="CX3" i="67"/>
  <c r="CU5" i="67"/>
  <c r="DB7" i="67"/>
  <c r="CT8" i="67"/>
  <c r="CY9" i="67"/>
  <c r="CY11" i="67"/>
  <c r="CQ13" i="67"/>
  <c r="H13" i="76"/>
  <c r="F13" i="30"/>
  <c r="DA15" i="67"/>
  <c r="DH16" i="67"/>
  <c r="DI17" i="67"/>
  <c r="DG19" i="67"/>
  <c r="CT20" i="67"/>
  <c r="E23" i="28"/>
  <c r="CQ24" i="67"/>
  <c r="CZ29" i="67"/>
  <c r="CQ30" i="67"/>
  <c r="H30" i="76"/>
  <c r="F30" i="30"/>
  <c r="CN38" i="67"/>
  <c r="CP39" i="67"/>
  <c r="E39" i="28"/>
  <c r="CW40" i="67"/>
  <c r="CT46" i="67"/>
  <c r="CP47" i="67"/>
  <c r="E47" i="28"/>
  <c r="CM48" i="67"/>
  <c r="H49" i="76"/>
  <c r="F49" i="30"/>
  <c r="DJ49" i="67"/>
  <c r="CD99" i="67"/>
  <c r="K51" i="77"/>
  <c r="CP52" i="67"/>
  <c r="E52" i="28"/>
  <c r="DD52" i="67"/>
  <c r="DH53" i="67"/>
  <c r="CD103" i="67"/>
  <c r="K55" i="77"/>
  <c r="CB70" i="67"/>
  <c r="L70" i="156" s="1"/>
  <c r="DD62" i="67"/>
  <c r="E62" i="28"/>
  <c r="CO64" i="67"/>
  <c r="CL68" i="67"/>
  <c r="CT71" i="67"/>
  <c r="K71" i="77"/>
  <c r="K72" i="77"/>
  <c r="BY85" i="67"/>
  <c r="CT75" i="67"/>
  <c r="CK76" i="67"/>
  <c r="CU77" i="67"/>
  <c r="CN79" i="67"/>
  <c r="E80" i="28"/>
  <c r="DA82" i="67"/>
  <c r="DD84" i="67"/>
  <c r="E84" i="28"/>
  <c r="DB86" i="67"/>
  <c r="DE90" i="67"/>
  <c r="H90" i="76"/>
  <c r="F90" i="30"/>
  <c r="H93" i="76"/>
  <c r="F93" i="30"/>
  <c r="H94" i="76"/>
  <c r="F94" i="30"/>
  <c r="DJ94" i="67"/>
  <c r="CR95" i="67"/>
  <c r="CR97" i="67"/>
  <c r="CO99" i="67"/>
  <c r="H102" i="76"/>
  <c r="F102" i="30"/>
  <c r="DD106" i="67"/>
  <c r="E106" i="28"/>
  <c r="CY107" i="67"/>
  <c r="CK111" i="67"/>
  <c r="CU112" i="67"/>
  <c r="DD115" i="67"/>
  <c r="L115" i="30"/>
  <c r="E115" i="28"/>
  <c r="K115" i="28" s="1"/>
  <c r="CP32" i="67"/>
  <c r="E32" i="28"/>
  <c r="CQ4" i="67"/>
  <c r="H4" i="76"/>
  <c r="F4" i="30"/>
  <c r="CQ9" i="67"/>
  <c r="DF3" i="67"/>
  <c r="DG7" i="67"/>
  <c r="CQ23" i="67"/>
  <c r="H23" i="76"/>
  <c r="F23" i="30"/>
  <c r="CT25" i="67"/>
  <c r="CP26" i="67"/>
  <c r="E26" i="28"/>
  <c r="CO27" i="67"/>
  <c r="CP28" i="67"/>
  <c r="E28" i="28"/>
  <c r="DA29" i="67"/>
  <c r="CR31" i="67"/>
  <c r="DH32" i="67"/>
  <c r="DD37" i="67"/>
  <c r="E37" i="28"/>
  <c r="CQ38" i="67"/>
  <c r="CQ39" i="67"/>
  <c r="H39" i="76"/>
  <c r="F39" i="30"/>
  <c r="DE47" i="67"/>
  <c r="H47" i="76"/>
  <c r="F47" i="30"/>
  <c r="CQ51" i="67"/>
  <c r="CQ52" i="67"/>
  <c r="H52" i="76"/>
  <c r="F52" i="30"/>
  <c r="DE52" i="67"/>
  <c r="DD56" i="67"/>
  <c r="E56" i="28"/>
  <c r="CD106" i="67"/>
  <c r="K58" i="77"/>
  <c r="H62" i="76"/>
  <c r="F62" i="30"/>
  <c r="CP65" i="67"/>
  <c r="E65" i="28"/>
  <c r="CR67" i="67"/>
  <c r="DK70" i="67"/>
  <c r="CN71" i="67"/>
  <c r="CK72" i="67"/>
  <c r="E74" i="28"/>
  <c r="CV77" i="67"/>
  <c r="DH78" i="67"/>
  <c r="CX79" i="67"/>
  <c r="DE80" i="67"/>
  <c r="H80" i="76"/>
  <c r="F80" i="30"/>
  <c r="K81" i="77"/>
  <c r="H84" i="76"/>
  <c r="F84" i="30"/>
  <c r="DG88" i="67"/>
  <c r="CS95" i="67"/>
  <c r="CZ97" i="67"/>
  <c r="DH105" i="67"/>
  <c r="DE106" i="67"/>
  <c r="H106" i="76"/>
  <c r="F106" i="30"/>
  <c r="CP109" i="67"/>
  <c r="E109" i="28"/>
  <c r="CV111" i="67"/>
  <c r="DE115" i="67"/>
  <c r="H115" i="76"/>
  <c r="M115" i="32"/>
  <c r="F115" i="30"/>
  <c r="M115" i="30" s="1"/>
  <c r="L115" i="28"/>
  <c r="DD3" i="67"/>
  <c r="E3" i="28"/>
  <c r="DH27" i="67"/>
  <c r="H25" i="76"/>
  <c r="F25" i="30"/>
  <c r="DI26" i="67"/>
  <c r="CT5" i="67"/>
  <c r="CX11" i="67"/>
  <c r="DD13" i="67"/>
  <c r="E13" i="28"/>
  <c r="CZ17" i="67"/>
  <c r="DF21" i="67"/>
  <c r="BT5" i="17"/>
  <c r="C10" i="74" s="1"/>
  <c r="BH5" i="17"/>
  <c r="N5" i="17"/>
  <c r="C4" i="25" s="1"/>
  <c r="C5" i="17"/>
  <c r="C3" i="25" s="1"/>
  <c r="DK3" i="67"/>
  <c r="CT6" i="67"/>
  <c r="CT10" i="67"/>
  <c r="CO14" i="67"/>
  <c r="DD19" i="67"/>
  <c r="E19" i="28"/>
  <c r="DK24" i="67"/>
  <c r="DE26" i="67"/>
  <c r="H26" i="76"/>
  <c r="F26" i="30"/>
  <c r="CQ28" i="67"/>
  <c r="H28" i="76"/>
  <c r="F28" i="30"/>
  <c r="DB29" i="67"/>
  <c r="CW31" i="67"/>
  <c r="CJ34" i="67"/>
  <c r="CL36" i="67"/>
  <c r="DE37" i="67"/>
  <c r="H37" i="76"/>
  <c r="F37" i="30"/>
  <c r="DD44" i="67"/>
  <c r="E44" i="28"/>
  <c r="CM45" i="67"/>
  <c r="CR51" i="67"/>
  <c r="CB66" i="67"/>
  <c r="L66" i="156" s="1"/>
  <c r="H56" i="76"/>
  <c r="F56" i="30"/>
  <c r="CK58" i="67"/>
  <c r="CP59" i="67"/>
  <c r="E59" i="28"/>
  <c r="CD109" i="67"/>
  <c r="K61" i="77"/>
  <c r="H65" i="76"/>
  <c r="F65" i="30"/>
  <c r="CN68" i="67"/>
  <c r="DK71" i="67"/>
  <c r="CS72" i="67"/>
  <c r="CB73" i="67"/>
  <c r="L73" i="156" s="1"/>
  <c r="H74" i="76"/>
  <c r="F74" i="30"/>
  <c r="CR76" i="67"/>
  <c r="CZ77" i="67"/>
  <c r="DA79" i="67"/>
  <c r="CK81" i="67"/>
  <c r="DJ88" i="67"/>
  <c r="CW91" i="67"/>
  <c r="K92" i="77"/>
  <c r="DB97" i="67"/>
  <c r="CU98" i="67"/>
  <c r="CT100" i="67"/>
  <c r="DH103" i="67"/>
  <c r="DH104" i="67"/>
  <c r="CQ109" i="67"/>
  <c r="H109" i="76"/>
  <c r="F109" i="30"/>
  <c r="CM110" i="67"/>
  <c r="DA111" i="67"/>
  <c r="CX112" i="67"/>
  <c r="L114" i="30"/>
  <c r="E114" i="28"/>
  <c r="K114" i="28" s="1"/>
  <c r="DI7" i="67"/>
  <c r="DG9" i="67"/>
  <c r="CM12" i="67"/>
  <c r="DH13" i="67"/>
  <c r="CT14" i="67"/>
  <c r="CP17" i="67"/>
  <c r="E17" i="28"/>
  <c r="CO18" i="67"/>
  <c r="DE19" i="67"/>
  <c r="H19" i="76"/>
  <c r="F19" i="30"/>
  <c r="CS27" i="67"/>
  <c r="CT30" i="67"/>
  <c r="CP35" i="67"/>
  <c r="E35" i="28"/>
  <c r="CM36" i="67"/>
  <c r="CK41" i="67"/>
  <c r="DD42" i="67"/>
  <c r="E42" i="28"/>
  <c r="CQ44" i="67"/>
  <c r="H44" i="76"/>
  <c r="F44" i="30"/>
  <c r="CU51" i="67"/>
  <c r="CD102" i="67"/>
  <c r="K54" i="77"/>
  <c r="CB69" i="67"/>
  <c r="L69" i="156" s="1"/>
  <c r="H59" i="76"/>
  <c r="F59" i="30"/>
  <c r="CR61" i="67"/>
  <c r="BY74" i="67"/>
  <c r="CY64" i="67"/>
  <c r="DD69" i="67"/>
  <c r="E69" i="28"/>
  <c r="K73" i="77"/>
  <c r="E77" i="28"/>
  <c r="DD82" i="67"/>
  <c r="E82" i="28"/>
  <c r="K83" i="77"/>
  <c r="K85" i="77"/>
  <c r="CP86" i="67"/>
  <c r="E86" i="28"/>
  <c r="E88" i="28"/>
  <c r="K89" i="77"/>
  <c r="CM92" i="67"/>
  <c r="DH93" i="67"/>
  <c r="CT94" i="67"/>
  <c r="DC97" i="67"/>
  <c r="CU99" i="67"/>
  <c r="CV100" i="67"/>
  <c r="DH102" i="67"/>
  <c r="E108" i="28"/>
  <c r="DK111" i="67"/>
  <c r="DB112" i="67"/>
  <c r="H114" i="76"/>
  <c r="F114" i="30"/>
  <c r="M114" i="30" s="1"/>
  <c r="M114" i="32"/>
  <c r="L114" i="28"/>
  <c r="DD2" i="67"/>
  <c r="G2" i="75"/>
  <c r="E2" i="28"/>
  <c r="CJ8" i="67"/>
  <c r="DA14" i="67"/>
  <c r="E15" i="28"/>
  <c r="CJ16" i="67"/>
  <c r="H17" i="76"/>
  <c r="F17" i="30"/>
  <c r="CS18" i="67"/>
  <c r="CL20" i="67"/>
  <c r="E21" i="28"/>
  <c r="CX22" i="67"/>
  <c r="CT27" i="67"/>
  <c r="DI29" i="67"/>
  <c r="CU34" i="67"/>
  <c r="H35" i="76"/>
  <c r="F35" i="30"/>
  <c r="CO36" i="67"/>
  <c r="DI38" i="67"/>
  <c r="CN41" i="67"/>
  <c r="H42" i="76"/>
  <c r="F42" i="30"/>
  <c r="CO43" i="67"/>
  <c r="CQ46" i="67"/>
  <c r="DH47" i="67"/>
  <c r="DH52" i="67"/>
  <c r="CK54" i="67"/>
  <c r="CZ55" i="67"/>
  <c r="CD105" i="67"/>
  <c r="K57" i="77"/>
  <c r="CS61" i="67"/>
  <c r="CT62" i="67"/>
  <c r="CD110" i="67"/>
  <c r="K62" i="77"/>
  <c r="CZ64" i="67"/>
  <c r="BY77" i="67"/>
  <c r="H69" i="76"/>
  <c r="F69" i="30"/>
  <c r="CM73" i="67"/>
  <c r="K75" i="77"/>
  <c r="CX76" i="67"/>
  <c r="DE77" i="67"/>
  <c r="H77" i="76"/>
  <c r="F77" i="30"/>
  <c r="DC79" i="67"/>
  <c r="DH80" i="67"/>
  <c r="H82" i="76"/>
  <c r="F82" i="30"/>
  <c r="CU83" i="67"/>
  <c r="DH84" i="67"/>
  <c r="H86" i="76"/>
  <c r="F86" i="30"/>
  <c r="K87" i="77"/>
  <c r="H88" i="76"/>
  <c r="F88" i="30"/>
  <c r="CL89" i="67"/>
  <c r="DB95" i="67"/>
  <c r="DK98" i="67"/>
  <c r="CZ99" i="67"/>
  <c r="DH106" i="67"/>
  <c r="E107" i="28"/>
  <c r="DE108" i="67"/>
  <c r="H108" i="76"/>
  <c r="F108" i="30"/>
  <c r="CX110" i="67"/>
  <c r="L113" i="30"/>
  <c r="E113" i="28"/>
  <c r="K113" i="28" s="1"/>
  <c r="CT115" i="67"/>
  <c r="L115" i="32"/>
  <c r="DE2" i="67"/>
  <c r="H2" i="76"/>
  <c r="F2" i="30"/>
  <c r="CP4" i="67"/>
  <c r="DD7" i="67"/>
  <c r="E7" i="28"/>
  <c r="CK8" i="67"/>
  <c r="CP11" i="67"/>
  <c r="E11" i="28"/>
  <c r="DB12" i="67"/>
  <c r="DB14" i="67"/>
  <c r="DE15" i="67"/>
  <c r="H15" i="76"/>
  <c r="F15" i="30"/>
  <c r="CU18" i="67"/>
  <c r="CM20" i="67"/>
  <c r="CQ21" i="67"/>
  <c r="H21" i="76"/>
  <c r="F21" i="30"/>
  <c r="CY22" i="67"/>
  <c r="CP24" i="67"/>
  <c r="E24" i="28"/>
  <c r="DH25" i="67"/>
  <c r="CT26" i="67"/>
  <c r="CX27" i="67"/>
  <c r="CT28" i="67"/>
  <c r="CK32" i="67"/>
  <c r="CT37" i="67"/>
  <c r="DJ38" i="67"/>
  <c r="DE46" i="67"/>
  <c r="DJ48" i="67"/>
  <c r="CB62" i="67"/>
  <c r="L62" i="156" s="1"/>
  <c r="DD51" i="67"/>
  <c r="E51" i="28"/>
  <c r="E55" i="28"/>
  <c r="CT56" i="67"/>
  <c r="CS58" i="67"/>
  <c r="CB72" i="67"/>
  <c r="L72" i="156" s="1"/>
  <c r="CL62" i="67"/>
  <c r="DB64" i="67"/>
  <c r="CT65" i="67"/>
  <c r="CD113" i="67"/>
  <c r="K65" i="77"/>
  <c r="CT74" i="67"/>
  <c r="CP76" i="67"/>
  <c r="E76" i="28"/>
  <c r="CZ76" i="67"/>
  <c r="K78" i="77"/>
  <c r="CP79" i="67"/>
  <c r="E79" i="28"/>
  <c r="DD79" i="67"/>
  <c r="DA81" i="67"/>
  <c r="CN87" i="67"/>
  <c r="CS89" i="67"/>
  <c r="K96" i="77"/>
  <c r="CP97" i="67"/>
  <c r="E97" i="28"/>
  <c r="DB99" i="67"/>
  <c r="CJ105" i="67"/>
  <c r="H107" i="76"/>
  <c r="F107" i="30"/>
  <c r="CT109" i="67"/>
  <c r="CY110" i="67"/>
  <c r="CP112" i="67"/>
  <c r="L112" i="30"/>
  <c r="E112" i="28"/>
  <c r="K112" i="28" s="1"/>
  <c r="CQ113" i="67"/>
  <c r="H113" i="76"/>
  <c r="M113" i="32"/>
  <c r="F113" i="30"/>
  <c r="M113" i="30" s="1"/>
  <c r="L113" i="28"/>
  <c r="CP5" i="67"/>
  <c r="E5" i="28"/>
  <c r="CJ6" i="67"/>
  <c r="H7" i="76"/>
  <c r="F7" i="30"/>
  <c r="DD9" i="67"/>
  <c r="E9" i="28"/>
  <c r="CQ11" i="67"/>
  <c r="H11" i="76"/>
  <c r="F11" i="30"/>
  <c r="CT19" i="67"/>
  <c r="H24" i="76"/>
  <c r="F24" i="30"/>
  <c r="DD29" i="67"/>
  <c r="E29" i="28"/>
  <c r="DD31" i="67"/>
  <c r="E31" i="28"/>
  <c r="CT44" i="67"/>
  <c r="CD98" i="67"/>
  <c r="K50" i="77"/>
  <c r="H51" i="76"/>
  <c r="F51" i="30"/>
  <c r="CB65" i="67"/>
  <c r="L65" i="156" s="1"/>
  <c r="CQ55" i="67"/>
  <c r="H55" i="76"/>
  <c r="F55" i="30"/>
  <c r="CU57" i="67"/>
  <c r="DD58" i="67"/>
  <c r="E58" i="28"/>
  <c r="CT59" i="67"/>
  <c r="CD108" i="67"/>
  <c r="K60" i="77"/>
  <c r="CV61" i="67"/>
  <c r="E66" i="28"/>
  <c r="DF68" i="67"/>
  <c r="BY81" i="67"/>
  <c r="H76" i="76"/>
  <c r="F76" i="30"/>
  <c r="CP78" i="67"/>
  <c r="DE79" i="67"/>
  <c r="H79" i="76"/>
  <c r="F79" i="30"/>
  <c r="DD91" i="67"/>
  <c r="E91" i="28"/>
  <c r="DD95" i="67"/>
  <c r="E95" i="28"/>
  <c r="CQ97" i="67"/>
  <c r="H97" i="76"/>
  <c r="F97" i="30"/>
  <c r="CP101" i="67"/>
  <c r="DG110" i="67"/>
  <c r="DE112" i="67"/>
  <c r="H112" i="76"/>
  <c r="M112" i="32"/>
  <c r="F112" i="30"/>
  <c r="M112" i="30" s="1"/>
  <c r="L112" i="28"/>
  <c r="CT114" i="67"/>
  <c r="L114" i="32"/>
  <c r="CQ5" i="67"/>
  <c r="H5" i="76"/>
  <c r="F5" i="30"/>
  <c r="H9" i="76"/>
  <c r="F9" i="30"/>
  <c r="CZ16" i="67"/>
  <c r="DH17" i="67"/>
  <c r="DA18" i="67"/>
  <c r="DE29" i="67"/>
  <c r="H29" i="76"/>
  <c r="F29" i="30"/>
  <c r="DE31" i="67"/>
  <c r="H31" i="76"/>
  <c r="F31" i="30"/>
  <c r="DD33" i="67"/>
  <c r="E33" i="28"/>
  <c r="CZ34" i="67"/>
  <c r="DH35" i="67"/>
  <c r="CP38" i="67"/>
  <c r="E38" i="28"/>
  <c r="DH42" i="67"/>
  <c r="E48" i="28"/>
  <c r="CJ49" i="67"/>
  <c r="CD101" i="67"/>
  <c r="K53" i="77"/>
  <c r="H58" i="76"/>
  <c r="F58" i="30"/>
  <c r="DK58" i="67"/>
  <c r="E61" i="28"/>
  <c r="E63" i="28"/>
  <c r="DE66" i="67"/>
  <c r="H66" i="76"/>
  <c r="F66" i="30"/>
  <c r="DD67" i="67"/>
  <c r="E67" i="28"/>
  <c r="DH69" i="67"/>
  <c r="K69" i="77"/>
  <c r="DD70" i="67"/>
  <c r="E70" i="28"/>
  <c r="CQ75" i="67"/>
  <c r="K90" i="77"/>
  <c r="DE91" i="67"/>
  <c r="H91" i="76"/>
  <c r="F91" i="30"/>
  <c r="DG92" i="67"/>
  <c r="K93" i="77"/>
  <c r="DE95" i="67"/>
  <c r="H95" i="76"/>
  <c r="F95" i="30"/>
  <c r="CR101" i="67"/>
  <c r="CK102" i="67"/>
  <c r="CZ8" i="67"/>
  <c r="DH15" i="67"/>
  <c r="DA16" i="67"/>
  <c r="CT21" i="67"/>
  <c r="H33" i="76"/>
  <c r="F33" i="30"/>
  <c r="DC34" i="67"/>
  <c r="H38" i="76"/>
  <c r="F38" i="30"/>
  <c r="CP40" i="67"/>
  <c r="E40" i="28"/>
  <c r="DE48" i="67"/>
  <c r="H48" i="76"/>
  <c r="F48" i="30"/>
  <c r="CT50" i="67"/>
  <c r="CN53" i="67"/>
  <c r="DD54" i="67"/>
  <c r="E54" i="28"/>
  <c r="CZ57" i="67"/>
  <c r="CW60" i="67"/>
  <c r="H61" i="76"/>
  <c r="F61" i="30"/>
  <c r="DB61" i="67"/>
  <c r="CR62" i="67"/>
  <c r="DE63" i="67"/>
  <c r="H63" i="76"/>
  <c r="F63" i="30"/>
  <c r="CZ65" i="67"/>
  <c r="DE67" i="67"/>
  <c r="H67" i="76"/>
  <c r="F67" i="30"/>
  <c r="DK68" i="67"/>
  <c r="CQ69" i="67"/>
  <c r="CQ70" i="67"/>
  <c r="H70" i="76"/>
  <c r="F70" i="30"/>
  <c r="CV75" i="67"/>
  <c r="CT78" i="67"/>
  <c r="DD81" i="67"/>
  <c r="E81" i="28"/>
  <c r="K84" i="77"/>
  <c r="DI85" i="67"/>
  <c r="DK92" i="67"/>
  <c r="CN93" i="67"/>
  <c r="K94" i="77"/>
  <c r="CL96" i="67"/>
  <c r="DD99" i="67"/>
  <c r="E99" i="28"/>
  <c r="CN102" i="67"/>
  <c r="CQ103" i="67"/>
  <c r="CO104" i="67"/>
  <c r="CO105" i="67"/>
  <c r="CJ106" i="67"/>
  <c r="DI110" i="67"/>
  <c r="L111" i="30"/>
  <c r="E111" i="28"/>
  <c r="K111" i="28" s="1"/>
  <c r="L113" i="32"/>
  <c r="CJ115" i="67"/>
  <c r="CP18" i="67"/>
  <c r="E18" i="28"/>
  <c r="DH24" i="67"/>
  <c r="CP27" i="67"/>
  <c r="E27" i="28"/>
  <c r="H40" i="76"/>
  <c r="F40" i="30"/>
  <c r="CT51" i="67"/>
  <c r="DE54" i="67"/>
  <c r="H54" i="76"/>
  <c r="F54" i="30"/>
  <c r="DH55" i="67"/>
  <c r="DD57" i="67"/>
  <c r="E57" i="28"/>
  <c r="BY78" i="67"/>
  <c r="DH79" i="67"/>
  <c r="CQ81" i="67"/>
  <c r="H81" i="76"/>
  <c r="F81" i="30"/>
  <c r="CP83" i="67"/>
  <c r="E83" i="28"/>
  <c r="CM84" i="67"/>
  <c r="E85" i="28"/>
  <c r="DF87" i="67"/>
  <c r="CQ96" i="67"/>
  <c r="CT97" i="67"/>
  <c r="H99" i="76"/>
  <c r="F99" i="30"/>
  <c r="CP100" i="67"/>
  <c r="E100" i="28"/>
  <c r="CO102" i="67"/>
  <c r="DE111" i="67"/>
  <c r="H111" i="76"/>
  <c r="F111" i="30"/>
  <c r="M111" i="30" s="1"/>
  <c r="M111" i="32"/>
  <c r="L111" i="28"/>
  <c r="L112" i="32"/>
  <c r="CT9" i="67"/>
  <c r="CK44" i="67"/>
  <c r="E45" i="28"/>
  <c r="CB64" i="67"/>
  <c r="L64" i="156" s="1"/>
  <c r="DE57" i="67"/>
  <c r="H57" i="76"/>
  <c r="F57" i="30"/>
  <c r="DH57" i="67"/>
  <c r="CZ60" i="67"/>
  <c r="BY75" i="67"/>
  <c r="CT66" i="67"/>
  <c r="CD114" i="67"/>
  <c r="K66" i="77"/>
  <c r="BY79" i="67"/>
  <c r="CV69" i="67"/>
  <c r="BY82" i="67"/>
  <c r="K80" i="77"/>
  <c r="DE83" i="67"/>
  <c r="H83" i="76"/>
  <c r="F83" i="30"/>
  <c r="CO84" i="67"/>
  <c r="H85" i="76"/>
  <c r="F85" i="30"/>
  <c r="CT91" i="67"/>
  <c r="DD92" i="67"/>
  <c r="E92" i="28"/>
  <c r="DH95" i="67"/>
  <c r="CR96" i="67"/>
  <c r="CP98" i="67"/>
  <c r="E98" i="28"/>
  <c r="DE100" i="67"/>
  <c r="H100" i="76"/>
  <c r="F100" i="30"/>
  <c r="DE104" i="67"/>
  <c r="CZ105" i="67"/>
  <c r="DD110" i="67"/>
  <c r="L110" i="30"/>
  <c r="E110" i="28"/>
  <c r="K110" i="28" s="1"/>
  <c r="DE3" i="67"/>
  <c r="H3" i="76"/>
  <c r="F3" i="30"/>
  <c r="CP12" i="67"/>
  <c r="E12" i="28"/>
  <c r="DD22" i="67"/>
  <c r="E22" i="28"/>
  <c r="DE27" i="67"/>
  <c r="H27" i="76"/>
  <c r="F27" i="30"/>
  <c r="CT31" i="67"/>
  <c r="E34" i="28"/>
  <c r="DD36" i="67"/>
  <c r="E36" i="28"/>
  <c r="CQ12" i="67"/>
  <c r="H12" i="76"/>
  <c r="F12" i="30"/>
  <c r="H22" i="76"/>
  <c r="F22" i="30"/>
  <c r="CW26" i="67"/>
  <c r="DD32" i="67"/>
  <c r="DH33" i="67"/>
  <c r="H34" i="76"/>
  <c r="F34" i="30"/>
  <c r="CQ36" i="67"/>
  <c r="H36" i="76"/>
  <c r="F36" i="30"/>
  <c r="E41" i="28"/>
  <c r="CJ42" i="67"/>
  <c r="DD43" i="67"/>
  <c r="E43" i="28"/>
  <c r="CO44" i="67"/>
  <c r="H45" i="76"/>
  <c r="F45" i="30"/>
  <c r="DH48" i="67"/>
  <c r="CS49" i="67"/>
  <c r="E50" i="28"/>
  <c r="DC50" i="67"/>
  <c r="CD100" i="67"/>
  <c r="K52" i="77"/>
  <c r="CB68" i="67"/>
  <c r="L68" i="156" s="1"/>
  <c r="DD60" i="67"/>
  <c r="E60" i="28"/>
  <c r="DB60" i="67"/>
  <c r="DH61" i="67"/>
  <c r="DE62" i="67"/>
  <c r="DH63" i="67"/>
  <c r="CD111" i="67"/>
  <c r="K63" i="77"/>
  <c r="DD64" i="67"/>
  <c r="E64" i="28"/>
  <c r="DJ65" i="67"/>
  <c r="CT67" i="67"/>
  <c r="CD115" i="67"/>
  <c r="K67" i="77"/>
  <c r="CP68" i="67"/>
  <c r="E68" i="28"/>
  <c r="CW69" i="67"/>
  <c r="K70" i="77"/>
  <c r="K74" i="77"/>
  <c r="K77" i="77"/>
  <c r="CM80" i="67"/>
  <c r="K88" i="77"/>
  <c r="E89" i="28"/>
  <c r="DE92" i="67"/>
  <c r="H92" i="76"/>
  <c r="F92" i="30"/>
  <c r="DC93" i="67"/>
  <c r="CY94" i="67"/>
  <c r="CT96" i="67"/>
  <c r="CQ98" i="67"/>
  <c r="H98" i="76"/>
  <c r="F98" i="30"/>
  <c r="DE101" i="67"/>
  <c r="CT102" i="67"/>
  <c r="DK105" i="67"/>
  <c r="CQ110" i="67"/>
  <c r="H110" i="76"/>
  <c r="M110" i="32"/>
  <c r="F110" i="30"/>
  <c r="M110" i="30" s="1"/>
  <c r="L110" i="28"/>
  <c r="CT7" i="67"/>
  <c r="CP14" i="67"/>
  <c r="E14" i="28"/>
  <c r="H14" i="76"/>
  <c r="F14" i="30"/>
  <c r="H18" i="76"/>
  <c r="F18" i="30"/>
  <c r="CT29" i="67"/>
  <c r="CU2" i="67"/>
  <c r="DH3" i="67"/>
  <c r="E8" i="28"/>
  <c r="CW13" i="67"/>
  <c r="DD16" i="67"/>
  <c r="E16" i="28"/>
  <c r="CT17" i="67"/>
  <c r="DD20" i="67"/>
  <c r="E20" i="28"/>
  <c r="DE32" i="67"/>
  <c r="DE39" i="67"/>
  <c r="CT40" i="67"/>
  <c r="H41" i="76"/>
  <c r="F41" i="30"/>
  <c r="DE43" i="67"/>
  <c r="H43" i="76"/>
  <c r="F43" i="30"/>
  <c r="E46" i="28"/>
  <c r="CT49" i="67"/>
  <c r="H50" i="76"/>
  <c r="F50" i="30"/>
  <c r="DJ50" i="67"/>
  <c r="CJ52" i="67"/>
  <c r="CP53" i="67"/>
  <c r="E53" i="28"/>
  <c r="DD53" i="67"/>
  <c r="DH54" i="67"/>
  <c r="CD104" i="67"/>
  <c r="K56" i="77"/>
  <c r="CB71" i="67"/>
  <c r="L71" i="156" s="1"/>
  <c r="DE60" i="67"/>
  <c r="H60" i="76"/>
  <c r="F60" i="30"/>
  <c r="DG60" i="67"/>
  <c r="DK62" i="67"/>
  <c r="CQ64" i="67"/>
  <c r="H64" i="76"/>
  <c r="F64" i="30"/>
  <c r="CY66" i="67"/>
  <c r="CL67" i="67"/>
  <c r="CQ68" i="67"/>
  <c r="H68" i="76"/>
  <c r="F68" i="30"/>
  <c r="E71" i="28"/>
  <c r="E72" i="28"/>
  <c r="DD75" i="67"/>
  <c r="E75" i="28"/>
  <c r="CS80" i="67"/>
  <c r="K82" i="77"/>
  <c r="CQ84" i="67"/>
  <c r="K86" i="77"/>
  <c r="DD87" i="67"/>
  <c r="E87" i="28"/>
  <c r="CJ88" i="67"/>
  <c r="H89" i="76"/>
  <c r="F89" i="30"/>
  <c r="CW90" i="67"/>
  <c r="CM107" i="67"/>
  <c r="CT108" i="67"/>
  <c r="CT111" i="67"/>
  <c r="L111" i="32"/>
  <c r="CP113" i="67"/>
  <c r="CQ114" i="67"/>
  <c r="CW115" i="67"/>
  <c r="T95" i="65"/>
  <c r="S90" i="65"/>
  <c r="S74" i="65"/>
  <c r="U68" i="65"/>
  <c r="S19" i="65"/>
  <c r="T105" i="65"/>
  <c r="T8" i="65"/>
  <c r="S24" i="65"/>
  <c r="U18" i="65"/>
  <c r="T13" i="65"/>
  <c r="S8" i="65"/>
  <c r="T110" i="65"/>
  <c r="S105" i="65"/>
  <c r="U99" i="65"/>
  <c r="T94" i="65"/>
  <c r="S89" i="65"/>
  <c r="U83" i="65"/>
  <c r="T78" i="65"/>
  <c r="S73" i="65"/>
  <c r="U67" i="65"/>
  <c r="T30" i="65"/>
  <c r="S114" i="65"/>
  <c r="U24" i="65"/>
  <c r="T24" i="65"/>
  <c r="U23" i="65"/>
  <c r="T18" i="65"/>
  <c r="S13" i="65"/>
  <c r="U7" i="65"/>
  <c r="U104" i="65"/>
  <c r="T99" i="65"/>
  <c r="S94" i="65"/>
  <c r="U88" i="65"/>
  <c r="S30" i="65"/>
  <c r="U113" i="65"/>
  <c r="T89" i="65"/>
  <c r="U28" i="65"/>
  <c r="T23" i="65"/>
  <c r="S18" i="65"/>
  <c r="U12" i="65"/>
  <c r="T7" i="65"/>
  <c r="U93" i="65"/>
  <c r="U29" i="65"/>
  <c r="T113" i="65"/>
  <c r="T100" i="65"/>
  <c r="T114" i="65"/>
  <c r="T29" i="65"/>
  <c r="S113" i="65"/>
  <c r="U94" i="65"/>
  <c r="S28" i="65"/>
  <c r="U22" i="65"/>
  <c r="T17" i="65"/>
  <c r="S12" i="65"/>
  <c r="S109" i="65"/>
  <c r="U103" i="65"/>
  <c r="T98" i="65"/>
  <c r="S93" i="65"/>
  <c r="U87" i="65"/>
  <c r="T82" i="65"/>
  <c r="S77" i="65"/>
  <c r="U71" i="65"/>
  <c r="T66" i="65"/>
  <c r="S61" i="65"/>
  <c r="U55" i="65"/>
  <c r="T50" i="65"/>
  <c r="S45" i="65"/>
  <c r="U39" i="65"/>
  <c r="T34" i="65"/>
  <c r="S29" i="65"/>
  <c r="U112" i="65"/>
  <c r="U27" i="65"/>
  <c r="T22" i="65"/>
  <c r="S17" i="65"/>
  <c r="U11" i="65"/>
  <c r="U108" i="65"/>
  <c r="T103" i="65"/>
  <c r="S98" i="65"/>
  <c r="U92" i="65"/>
  <c r="T87" i="65"/>
  <c r="S82" i="65"/>
  <c r="U76" i="65"/>
  <c r="T71" i="65"/>
  <c r="S66" i="65"/>
  <c r="U60" i="65"/>
  <c r="T55" i="65"/>
  <c r="S50" i="65"/>
  <c r="U44" i="65"/>
  <c r="T39" i="65"/>
  <c r="S34" i="65"/>
  <c r="U117" i="65"/>
  <c r="T112" i="65"/>
  <c r="U13" i="65"/>
  <c r="T27" i="65"/>
  <c r="S22" i="65"/>
  <c r="U16" i="65"/>
  <c r="T11" i="65"/>
  <c r="T108" i="65"/>
  <c r="S103" i="65"/>
  <c r="U97" i="65"/>
  <c r="T92" i="65"/>
  <c r="S87" i="65"/>
  <c r="U81" i="65"/>
  <c r="T76" i="65"/>
  <c r="S71" i="65"/>
  <c r="U65" i="65"/>
  <c r="T60" i="65"/>
  <c r="S55" i="65"/>
  <c r="U49" i="65"/>
  <c r="T44" i="65"/>
  <c r="S39" i="65"/>
  <c r="U33" i="65"/>
  <c r="T117" i="65"/>
  <c r="S112" i="65"/>
  <c r="S14" i="65"/>
  <c r="U107" i="65"/>
  <c r="T102" i="65"/>
  <c r="U8" i="65"/>
  <c r="T19" i="65"/>
  <c r="U89" i="65"/>
  <c r="U90" i="65"/>
  <c r="T85" i="65"/>
  <c r="U74" i="65"/>
  <c r="T25" i="65"/>
  <c r="S20" i="65"/>
  <c r="U14" i="65"/>
  <c r="T9" i="65"/>
  <c r="U111" i="65"/>
  <c r="T90" i="65"/>
  <c r="U31" i="65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K2" i="67"/>
  <c r="CM6" i="67"/>
  <c r="CK14" i="67"/>
  <c r="DD17" i="67"/>
  <c r="DA22" i="67"/>
  <c r="CW23" i="67"/>
  <c r="CM24" i="67"/>
  <c r="DK25" i="67"/>
  <c r="CJ28" i="67"/>
  <c r="DA30" i="67"/>
  <c r="CL35" i="67"/>
  <c r="CW36" i="67"/>
  <c r="CJ46" i="67"/>
  <c r="CX46" i="67"/>
  <c r="CV46" i="67"/>
  <c r="CK48" i="67"/>
  <c r="CO51" i="67"/>
  <c r="CR55" i="67"/>
  <c r="CW63" i="67"/>
  <c r="DK63" i="67"/>
  <c r="DG70" i="67"/>
  <c r="CS70" i="67"/>
  <c r="CT72" i="67"/>
  <c r="DH72" i="67"/>
  <c r="CX81" i="67"/>
  <c r="CJ81" i="67"/>
  <c r="CW88" i="67"/>
  <c r="DK88" i="67"/>
  <c r="CR108" i="67"/>
  <c r="DF108" i="67"/>
  <c r="CV110" i="67"/>
  <c r="DJ110" i="67"/>
  <c r="DJ3" i="67"/>
  <c r="CN6" i="67"/>
  <c r="DH8" i="67"/>
  <c r="DF9" i="67"/>
  <c r="CR11" i="67"/>
  <c r="CZ13" i="67"/>
  <c r="CZ18" i="67"/>
  <c r="DC22" i="67"/>
  <c r="CV27" i="67"/>
  <c r="CK28" i="67"/>
  <c r="DH29" i="67"/>
  <c r="DB30" i="67"/>
  <c r="CU31" i="67"/>
  <c r="CT33" i="67"/>
  <c r="CR34" i="67"/>
  <c r="CX36" i="67"/>
  <c r="DI44" i="67"/>
  <c r="CP51" i="67"/>
  <c r="CU54" i="67"/>
  <c r="DI54" i="67"/>
  <c r="DF57" i="67"/>
  <c r="CO58" i="67"/>
  <c r="DA59" i="67"/>
  <c r="DF60" i="67"/>
  <c r="DA61" i="67"/>
  <c r="CT63" i="67"/>
  <c r="CV85" i="67"/>
  <c r="CM103" i="67"/>
  <c r="DA103" i="67"/>
  <c r="CU106" i="67"/>
  <c r="CQ58" i="67"/>
  <c r="DE58" i="67"/>
  <c r="CN77" i="67"/>
  <c r="DB77" i="67"/>
  <c r="CZ81" i="67"/>
  <c r="CL81" i="67"/>
  <c r="CO86" i="67"/>
  <c r="DC86" i="67"/>
  <c r="DD93" i="67"/>
  <c r="CP93" i="67"/>
  <c r="CK95" i="67"/>
  <c r="CY95" i="67"/>
  <c r="DE10" i="67"/>
  <c r="DB31" i="67"/>
  <c r="DE93" i="67"/>
  <c r="CQ93" i="67"/>
  <c r="CP7" i="67"/>
  <c r="DF10" i="67"/>
  <c r="DC13" i="67"/>
  <c r="DK17" i="67"/>
  <c r="CP20" i="67"/>
  <c r="CJ21" i="67"/>
  <c r="DI22" i="67"/>
  <c r="CN25" i="67"/>
  <c r="DF30" i="67"/>
  <c r="DC31" i="67"/>
  <c r="CY33" i="67"/>
  <c r="CW35" i="67"/>
  <c r="CM43" i="67"/>
  <c r="DA43" i="67"/>
  <c r="CX43" i="67"/>
  <c r="DJ45" i="67"/>
  <c r="CV45" i="67"/>
  <c r="DI50" i="67"/>
  <c r="CK53" i="67"/>
  <c r="CY53" i="67"/>
  <c r="DK56" i="67"/>
  <c r="DA58" i="67"/>
  <c r="DH60" i="67"/>
  <c r="CT60" i="67"/>
  <c r="CM62" i="67"/>
  <c r="DI63" i="67"/>
  <c r="DA65" i="67"/>
  <c r="CP69" i="67"/>
  <c r="DK72" i="67"/>
  <c r="CP77" i="67"/>
  <c r="DD77" i="67"/>
  <c r="CR82" i="67"/>
  <c r="DF82" i="67"/>
  <c r="DH9" i="67"/>
  <c r="CJ67" i="67"/>
  <c r="CX67" i="67"/>
  <c r="DH87" i="67"/>
  <c r="CT87" i="67"/>
  <c r="CN2" i="67"/>
  <c r="CM3" i="67"/>
  <c r="DJ5" i="67"/>
  <c r="CW6" i="67"/>
  <c r="CR7" i="67"/>
  <c r="CP16" i="67"/>
  <c r="CS20" i="67"/>
  <c r="DJ23" i="67"/>
  <c r="CX24" i="67"/>
  <c r="CP25" i="67"/>
  <c r="DD27" i="67"/>
  <c r="CS28" i="67"/>
  <c r="DG30" i="67"/>
  <c r="DI32" i="67"/>
  <c r="DC33" i="67"/>
  <c r="CO33" i="67"/>
  <c r="CZ33" i="67"/>
  <c r="DK39" i="67"/>
  <c r="CY42" i="67"/>
  <c r="DK45" i="67"/>
  <c r="CW45" i="67"/>
  <c r="DI47" i="67"/>
  <c r="CU47" i="67"/>
  <c r="CX51" i="67"/>
  <c r="CL53" i="67"/>
  <c r="CT58" i="67"/>
  <c r="DH58" i="67"/>
  <c r="DI60" i="67"/>
  <c r="CU60" i="67"/>
  <c r="DD65" i="67"/>
  <c r="DD66" i="67"/>
  <c r="CP66" i="67"/>
  <c r="CV74" i="67"/>
  <c r="DD85" i="67"/>
  <c r="CP85" i="67"/>
  <c r="CX91" i="67"/>
  <c r="CJ91" i="67"/>
  <c r="CP91" i="67"/>
  <c r="DH92" i="67"/>
  <c r="DG97" i="67"/>
  <c r="CS97" i="67"/>
  <c r="DE107" i="67"/>
  <c r="CQ107" i="67"/>
  <c r="DJ17" i="67"/>
  <c r="CO2" i="67"/>
  <c r="CN3" i="67"/>
  <c r="DK5" i="67"/>
  <c r="CZ6" i="67"/>
  <c r="CO8" i="67"/>
  <c r="DD11" i="67"/>
  <c r="CU12" i="67"/>
  <c r="CQ15" i="67"/>
  <c r="CQ16" i="67"/>
  <c r="CM17" i="67"/>
  <c r="DJ18" i="67"/>
  <c r="CX19" i="67"/>
  <c r="CU20" i="67"/>
  <c r="CU28" i="67"/>
  <c r="CO29" i="67"/>
  <c r="DJ32" i="67"/>
  <c r="DA34" i="67"/>
  <c r="CO35" i="67"/>
  <c r="DC35" i="67"/>
  <c r="CW41" i="67"/>
  <c r="CN42" i="67"/>
  <c r="DB42" i="67"/>
  <c r="CZ42" i="67"/>
  <c r="DK50" i="67"/>
  <c r="CS51" i="67"/>
  <c r="DG51" i="67"/>
  <c r="CS52" i="67"/>
  <c r="CM53" i="67"/>
  <c r="DA53" i="67"/>
  <c r="DE55" i="67"/>
  <c r="CU58" i="67"/>
  <c r="DI58" i="67"/>
  <c r="CP62" i="67"/>
  <c r="DH67" i="67"/>
  <c r="CS69" i="67"/>
  <c r="DC71" i="67"/>
  <c r="CO71" i="67"/>
  <c r="CK80" i="67"/>
  <c r="CY80" i="67"/>
  <c r="CQ85" i="67"/>
  <c r="DE85" i="67"/>
  <c r="CO112" i="67"/>
  <c r="DC112" i="67"/>
  <c r="CX114" i="67"/>
  <c r="CJ114" i="67"/>
  <c r="CQ82" i="67"/>
  <c r="DE82" i="67"/>
  <c r="CP2" i="67"/>
  <c r="CO3" i="67"/>
  <c r="CL4" i="67"/>
  <c r="CV7" i="67"/>
  <c r="CQ8" i="67"/>
  <c r="CN9" i="67"/>
  <c r="DE11" i="67"/>
  <c r="CV12" i="67"/>
  <c r="CR15" i="67"/>
  <c r="CT16" i="67"/>
  <c r="CY19" i="67"/>
  <c r="CV20" i="67"/>
  <c r="DF27" i="67"/>
  <c r="CP29" i="67"/>
  <c r="DK30" i="67"/>
  <c r="DK32" i="67"/>
  <c r="DA42" i="67"/>
  <c r="CS45" i="67"/>
  <c r="CW47" i="67"/>
  <c r="DK47" i="67"/>
  <c r="CT52" i="67"/>
  <c r="CJ64" i="67"/>
  <c r="DK67" i="67"/>
  <c r="DF70" i="67"/>
  <c r="DD71" i="67"/>
  <c r="CP71" i="67"/>
  <c r="DG84" i="67"/>
  <c r="DF85" i="67"/>
  <c r="CR85" i="67"/>
  <c r="CU97" i="67"/>
  <c r="DI97" i="67"/>
  <c r="CS98" i="67"/>
  <c r="CO101" i="67"/>
  <c r="CX102" i="67"/>
  <c r="DB96" i="67"/>
  <c r="CN96" i="67"/>
  <c r="CK99" i="67"/>
  <c r="CY99" i="67"/>
  <c r="CS47" i="67"/>
  <c r="DG47" i="67"/>
  <c r="CJ84" i="67"/>
  <c r="CX84" i="67"/>
  <c r="CZ92" i="67"/>
  <c r="CL92" i="67"/>
  <c r="CR2" i="67"/>
  <c r="CP3" i="67"/>
  <c r="CL5" i="67"/>
  <c r="CR8" i="67"/>
  <c r="CP9" i="67"/>
  <c r="CU15" i="67"/>
  <c r="CW16" i="67"/>
  <c r="CW20" i="67"/>
  <c r="CU21" i="67"/>
  <c r="DD24" i="67"/>
  <c r="CV25" i="67"/>
  <c r="CR29" i="67"/>
  <c r="CJ30" i="67"/>
  <c r="DE34" i="67"/>
  <c r="CQ34" i="67"/>
  <c r="DH34" i="67"/>
  <c r="DF38" i="67"/>
  <c r="DC41" i="67"/>
  <c r="CJ45" i="67"/>
  <c r="CX45" i="67"/>
  <c r="DF46" i="67"/>
  <c r="CR46" i="67"/>
  <c r="CU52" i="67"/>
  <c r="DC53" i="67"/>
  <c r="CO53" i="67"/>
  <c r="CX62" i="67"/>
  <c r="CJ62" i="67"/>
  <c r="CV64" i="67"/>
  <c r="DJ64" i="67"/>
  <c r="DI70" i="67"/>
  <c r="DE71" i="67"/>
  <c r="CQ71" i="67"/>
  <c r="DD74" i="67"/>
  <c r="CP74" i="67"/>
  <c r="CS75" i="67"/>
  <c r="DG75" i="67"/>
  <c r="DH77" i="67"/>
  <c r="CT77" i="67"/>
  <c r="CT79" i="67"/>
  <c r="DJ82" i="67"/>
  <c r="CV82" i="67"/>
  <c r="CK83" i="67"/>
  <c r="CY83" i="67"/>
  <c r="CO83" i="67"/>
  <c r="DC88" i="67"/>
  <c r="CO88" i="67"/>
  <c r="CJ90" i="67"/>
  <c r="CX90" i="67"/>
  <c r="CJ108" i="67"/>
  <c r="CX108" i="67"/>
  <c r="CK43" i="67"/>
  <c r="CY43" i="67"/>
  <c r="DJ105" i="67"/>
  <c r="CV105" i="67"/>
  <c r="CQ3" i="67"/>
  <c r="CS4" i="67"/>
  <c r="CM5" i="67"/>
  <c r="CJ10" i="67"/>
  <c r="CJ13" i="67"/>
  <c r="CS17" i="67"/>
  <c r="CV21" i="67"/>
  <c r="CN22" i="67"/>
  <c r="CJ26" i="67"/>
  <c r="DK27" i="67"/>
  <c r="CL30" i="67"/>
  <c r="DK33" i="67"/>
  <c r="DI36" i="67"/>
  <c r="CU36" i="67"/>
  <c r="CK37" i="67"/>
  <c r="DE42" i="67"/>
  <c r="CQ42" i="67"/>
  <c r="DH45" i="67"/>
  <c r="CO54" i="67"/>
  <c r="DJ59" i="67"/>
  <c r="CV59" i="67"/>
  <c r="DI68" i="67"/>
  <c r="CU68" i="67"/>
  <c r="CX69" i="67"/>
  <c r="CJ69" i="67"/>
  <c r="DJ70" i="67"/>
  <c r="DE74" i="67"/>
  <c r="CQ74" i="67"/>
  <c r="DK76" i="67"/>
  <c r="CW76" i="67"/>
  <c r="CK78" i="67"/>
  <c r="CU79" i="67"/>
  <c r="CQ83" i="67"/>
  <c r="CW93" i="67"/>
  <c r="DK93" i="67"/>
  <c r="CR99" i="67"/>
  <c r="DF99" i="67"/>
  <c r="CJ100" i="67"/>
  <c r="CK104" i="67"/>
  <c r="DG109" i="67"/>
  <c r="CS109" i="67"/>
  <c r="CT3" i="67"/>
  <c r="DC7" i="67"/>
  <c r="CM10" i="67"/>
  <c r="DC12" i="67"/>
  <c r="CJ18" i="67"/>
  <c r="DF19" i="67"/>
  <c r="DG24" i="67"/>
  <c r="CL26" i="67"/>
  <c r="DJ31" i="67"/>
  <c r="CV31" i="67"/>
  <c r="DG34" i="67"/>
  <c r="CS34" i="67"/>
  <c r="DH41" i="67"/>
  <c r="DI45" i="67"/>
  <c r="CR52" i="67"/>
  <c r="DF52" i="67"/>
  <c r="CP54" i="67"/>
  <c r="DK59" i="67"/>
  <c r="CW59" i="67"/>
  <c r="DC69" i="67"/>
  <c r="CR74" i="67"/>
  <c r="DF74" i="67"/>
  <c r="CU75" i="67"/>
  <c r="DI75" i="67"/>
  <c r="CM78" i="67"/>
  <c r="CT81" i="67"/>
  <c r="DH81" i="67"/>
  <c r="DK86" i="67"/>
  <c r="CW86" i="67"/>
  <c r="DE88" i="67"/>
  <c r="CQ88" i="67"/>
  <c r="DE102" i="67"/>
  <c r="CQ102" i="67"/>
  <c r="DD105" i="67"/>
  <c r="DC25" i="67"/>
  <c r="CJ37" i="67"/>
  <c r="CX37" i="67"/>
  <c r="CX55" i="67"/>
  <c r="CJ55" i="67"/>
  <c r="CZ69" i="67"/>
  <c r="CL69" i="67"/>
  <c r="CJ73" i="67"/>
  <c r="CX73" i="67"/>
  <c r="CS74" i="67"/>
  <c r="DG74" i="67"/>
  <c r="DK103" i="67"/>
  <c r="CW103" i="67"/>
  <c r="DI109" i="67"/>
  <c r="CU109" i="67"/>
  <c r="CR5" i="67"/>
  <c r="CJ56" i="67"/>
  <c r="CX56" i="67"/>
  <c r="DA69" i="67"/>
  <c r="CM69" i="67"/>
  <c r="DE4" i="67"/>
  <c r="DJ6" i="67"/>
  <c r="CJ32" i="67"/>
  <c r="CX32" i="67"/>
  <c r="DF37" i="67"/>
  <c r="DC40" i="67"/>
  <c r="DE41" i="67"/>
  <c r="CQ41" i="67"/>
  <c r="DK46" i="67"/>
  <c r="CW46" i="67"/>
  <c r="CK50" i="67"/>
  <c r="CY50" i="67"/>
  <c r="CO62" i="67"/>
  <c r="DC62" i="67"/>
  <c r="DB69" i="67"/>
  <c r="CN69" i="67"/>
  <c r="DH71" i="67"/>
  <c r="CQ72" i="67"/>
  <c r="DE72" i="67"/>
  <c r="DG87" i="67"/>
  <c r="DF91" i="67"/>
  <c r="CR91" i="67"/>
  <c r="DJ92" i="67"/>
  <c r="CV92" i="67"/>
  <c r="DE105" i="67"/>
  <c r="CQ105" i="67"/>
  <c r="CK6" i="67"/>
  <c r="DA9" i="67"/>
  <c r="CL11" i="67"/>
  <c r="DH20" i="67"/>
  <c r="DH28" i="67"/>
  <c r="DG38" i="67"/>
  <c r="CS38" i="67"/>
  <c r="DD40" i="67"/>
  <c r="DF41" i="67"/>
  <c r="CR41" i="67"/>
  <c r="CJ44" i="67"/>
  <c r="CX44" i="67"/>
  <c r="CK56" i="67"/>
  <c r="CL58" i="67"/>
  <c r="CP61" i="67"/>
  <c r="DD61" i="67"/>
  <c r="CU61" i="67"/>
  <c r="DI67" i="67"/>
  <c r="CU67" i="67"/>
  <c r="DC68" i="67"/>
  <c r="CN75" i="67"/>
  <c r="CS79" i="67"/>
  <c r="DG79" i="67"/>
  <c r="CX89" i="67"/>
  <c r="CJ89" i="67"/>
  <c r="DC98" i="67"/>
  <c r="CO98" i="67"/>
  <c r="CM113" i="67"/>
  <c r="DA113" i="67"/>
  <c r="DG2" i="67"/>
  <c r="CY10" i="67"/>
  <c r="DJ15" i="67"/>
  <c r="DK21" i="67"/>
  <c r="CZ22" i="67"/>
  <c r="CL24" i="67"/>
  <c r="CJ35" i="67"/>
  <c r="CK36" i="67"/>
  <c r="CY36" i="67"/>
  <c r="DH38" i="67"/>
  <c r="CT38" i="67"/>
  <c r="CZ40" i="67"/>
  <c r="CL40" i="67"/>
  <c r="CQ45" i="67"/>
  <c r="DE45" i="67"/>
  <c r="CS46" i="67"/>
  <c r="CW48" i="67"/>
  <c r="DK48" i="67"/>
  <c r="CN50" i="67"/>
  <c r="CM56" i="67"/>
  <c r="DA56" i="67"/>
  <c r="CL56" i="67"/>
  <c r="CJ59" i="67"/>
  <c r="CQ61" i="67"/>
  <c r="DE61" i="67"/>
  <c r="DJ67" i="67"/>
  <c r="CV67" i="67"/>
  <c r="DA76" i="67"/>
  <c r="CM76" i="67"/>
  <c r="CP82" i="67"/>
  <c r="CK89" i="67"/>
  <c r="CY89" i="67"/>
  <c r="CX72" i="67"/>
  <c r="CZ102" i="67"/>
  <c r="CU53" i="67"/>
  <c r="DJ79" i="67"/>
  <c r="DG91" i="67"/>
  <c r="CJ94" i="67"/>
  <c r="CM97" i="67"/>
  <c r="CP104" i="67"/>
  <c r="DA112" i="67"/>
  <c r="DF49" i="67"/>
  <c r="CP57" i="67"/>
  <c r="CM60" i="67"/>
  <c r="DA72" i="67"/>
  <c r="CZ80" i="67"/>
  <c r="CP81" i="67"/>
  <c r="DG82" i="67"/>
  <c r="CX86" i="67"/>
  <c r="DH91" i="67"/>
  <c r="DK95" i="67"/>
  <c r="DA96" i="67"/>
  <c r="CZ104" i="67"/>
  <c r="CK109" i="67"/>
  <c r="CZ111" i="67"/>
  <c r="CX113" i="67"/>
  <c r="DB73" i="67"/>
  <c r="DB80" i="67"/>
  <c r="CZ86" i="67"/>
  <c r="CQ106" i="67"/>
  <c r="CY113" i="67"/>
  <c r="CR114" i="67"/>
  <c r="CP115" i="67"/>
  <c r="DI49" i="67"/>
  <c r="CV66" i="67"/>
  <c r="DC70" i="67"/>
  <c r="DD73" i="67"/>
  <c r="CU76" i="67"/>
  <c r="DF77" i="67"/>
  <c r="DF80" i="67"/>
  <c r="DB84" i="67"/>
  <c r="CV87" i="67"/>
  <c r="DK102" i="67"/>
  <c r="CR106" i="67"/>
  <c r="CR109" i="67"/>
  <c r="DH111" i="67"/>
  <c r="CU114" i="67"/>
  <c r="CQ115" i="67"/>
  <c r="DE36" i="67"/>
  <c r="CZ37" i="67"/>
  <c r="CZ38" i="67"/>
  <c r="DF43" i="67"/>
  <c r="CZ44" i="67"/>
  <c r="CY45" i="67"/>
  <c r="DH62" i="67"/>
  <c r="CW66" i="67"/>
  <c r="CQ79" i="67"/>
  <c r="CW81" i="67"/>
  <c r="CK82" i="67"/>
  <c r="CW87" i="67"/>
  <c r="DB92" i="67"/>
  <c r="CS93" i="67"/>
  <c r="CO95" i="67"/>
  <c r="CV97" i="67"/>
  <c r="DI103" i="67"/>
  <c r="CL108" i="67"/>
  <c r="DE110" i="67"/>
  <c r="DI111" i="67"/>
  <c r="CY114" i="67"/>
  <c r="CS115" i="67"/>
  <c r="DF33" i="67"/>
  <c r="DF36" i="67"/>
  <c r="DA38" i="67"/>
  <c r="CY39" i="67"/>
  <c r="CL61" i="67"/>
  <c r="DI62" i="67"/>
  <c r="DE70" i="67"/>
  <c r="DJ73" i="67"/>
  <c r="CL75" i="67"/>
  <c r="DK77" i="67"/>
  <c r="CR79" i="67"/>
  <c r="CL82" i="67"/>
  <c r="DF83" i="67"/>
  <c r="DD86" i="67"/>
  <c r="CZ87" i="67"/>
  <c r="CT93" i="67"/>
  <c r="CP95" i="67"/>
  <c r="DG96" i="67"/>
  <c r="CW97" i="67"/>
  <c r="CR98" i="67"/>
  <c r="DJ104" i="67"/>
  <c r="CT106" i="67"/>
  <c r="CJ107" i="67"/>
  <c r="CO108" i="67"/>
  <c r="DF110" i="67"/>
  <c r="DK112" i="67"/>
  <c r="DC113" i="67"/>
  <c r="DC109" i="67"/>
  <c r="DK113" i="67"/>
  <c r="CM83" i="67"/>
  <c r="CK86" i="67"/>
  <c r="DG94" i="67"/>
  <c r="DE98" i="67"/>
  <c r="CJ78" i="67"/>
  <c r="CN83" i="67"/>
  <c r="DG114" i="67"/>
  <c r="CN44" i="67"/>
  <c r="DB52" i="67"/>
  <c r="DC55" i="67"/>
  <c r="CX61" i="67"/>
  <c r="DA64" i="67"/>
  <c r="DI65" i="67"/>
  <c r="CP67" i="67"/>
  <c r="CK68" i="67"/>
  <c r="CM71" i="67"/>
  <c r="CL78" i="67"/>
  <c r="CO92" i="67"/>
  <c r="DK94" i="67"/>
  <c r="CJ97" i="67"/>
  <c r="DH98" i="67"/>
  <c r="DA99" i="67"/>
  <c r="CY101" i="67"/>
  <c r="CT103" i="67"/>
  <c r="CO111" i="67"/>
  <c r="DI115" i="67"/>
  <c r="CW8" i="67"/>
  <c r="DK8" i="67"/>
  <c r="DB10" i="67"/>
  <c r="CN10" i="67"/>
  <c r="CV10" i="67"/>
  <c r="CW11" i="67"/>
  <c r="CK20" i="67"/>
  <c r="CY20" i="67"/>
  <c r="CN37" i="67"/>
  <c r="DB37" i="67"/>
  <c r="CJ5" i="67"/>
  <c r="CX5" i="67"/>
  <c r="CW10" i="67"/>
  <c r="CS12" i="67"/>
  <c r="DG12" i="67"/>
  <c r="DJ40" i="67"/>
  <c r="CV40" i="67"/>
  <c r="CS15" i="67"/>
  <c r="CQ2" i="67"/>
  <c r="DF6" i="67"/>
  <c r="CR6" i="67"/>
  <c r="DJ13" i="67"/>
  <c r="CX14" i="67"/>
  <c r="CJ14" i="67"/>
  <c r="CT15" i="67"/>
  <c r="CN20" i="67"/>
  <c r="DB20" i="67"/>
  <c r="DB46" i="67"/>
  <c r="CN46" i="67"/>
  <c r="CM2" i="67"/>
  <c r="DA2" i="67"/>
  <c r="CM4" i="67"/>
  <c r="DC9" i="67"/>
  <c r="CO9" i="67"/>
  <c r="CW9" i="67"/>
  <c r="CV33" i="67"/>
  <c r="DJ33" i="67"/>
  <c r="DI3" i="67"/>
  <c r="CU3" i="67"/>
  <c r="CN4" i="67"/>
  <c r="CT11" i="67"/>
  <c r="DH11" i="67"/>
  <c r="DK12" i="67"/>
  <c r="CR14" i="67"/>
  <c r="CP15" i="67"/>
  <c r="DD15" i="67"/>
  <c r="DF16" i="67"/>
  <c r="CV19" i="67"/>
  <c r="DJ19" i="67"/>
  <c r="CU24" i="67"/>
  <c r="DI24" i="67"/>
  <c r="CL25" i="67"/>
  <c r="CZ25" i="67"/>
  <c r="CR78" i="67"/>
  <c r="DF78" i="67"/>
  <c r="DG3" i="67"/>
  <c r="CK4" i="67"/>
  <c r="CY4" i="67"/>
  <c r="CO4" i="67"/>
  <c r="DD6" i="67"/>
  <c r="CJ7" i="67"/>
  <c r="CS14" i="67"/>
  <c r="DG16" i="67"/>
  <c r="CV24" i="67"/>
  <c r="DJ24" i="67"/>
  <c r="CM25" i="67"/>
  <c r="DA25" i="67"/>
  <c r="CV26" i="67"/>
  <c r="DJ26" i="67"/>
  <c r="CL28" i="67"/>
  <c r="CZ28" i="67"/>
  <c r="DK29" i="67"/>
  <c r="CW29" i="67"/>
  <c r="CK40" i="67"/>
  <c r="CY40" i="67"/>
  <c r="CK7" i="67"/>
  <c r="CU10" i="67"/>
  <c r="DI10" i="67"/>
  <c r="CY13" i="67"/>
  <c r="CK13" i="67"/>
  <c r="CQ18" i="67"/>
  <c r="DE18" i="67"/>
  <c r="DD8" i="67"/>
  <c r="CP8" i="67"/>
  <c r="CW22" i="67"/>
  <c r="DK22" i="67"/>
  <c r="CN23" i="67"/>
  <c r="DB23" i="67"/>
  <c r="DG5" i="67"/>
  <c r="CS5" i="67"/>
  <c r="CZ12" i="67"/>
  <c r="CL12" i="67"/>
  <c r="CT12" i="67"/>
  <c r="CQ14" i="67"/>
  <c r="DE14" i="67"/>
  <c r="CT18" i="67"/>
  <c r="DH18" i="67"/>
  <c r="CO23" i="67"/>
  <c r="DC23" i="67"/>
  <c r="DI27" i="67"/>
  <c r="CU27" i="67"/>
  <c r="CW38" i="67"/>
  <c r="DK38" i="67"/>
  <c r="DH39" i="67"/>
  <c r="CT39" i="67"/>
  <c r="DE5" i="67"/>
  <c r="CV9" i="67"/>
  <c r="DJ9" i="67"/>
  <c r="CL19" i="67"/>
  <c r="CZ19" i="67"/>
  <c r="CP21" i="67"/>
  <c r="DD21" i="67"/>
  <c r="DF25" i="67"/>
  <c r="CR25" i="67"/>
  <c r="CY26" i="67"/>
  <c r="CK26" i="67"/>
  <c r="CL3" i="67"/>
  <c r="CZ3" i="67"/>
  <c r="CQ17" i="67"/>
  <c r="DE17" i="67"/>
  <c r="DH31" i="67"/>
  <c r="DJ2" i="67"/>
  <c r="CV2" i="67"/>
  <c r="DH2" i="67"/>
  <c r="DB8" i="67"/>
  <c r="CR45" i="67"/>
  <c r="DF45" i="67"/>
  <c r="DE7" i="67"/>
  <c r="CQ7" i="67"/>
  <c r="DA11" i="67"/>
  <c r="CM11" i="67"/>
  <c r="CU11" i="67"/>
  <c r="CX12" i="67"/>
  <c r="CR13" i="67"/>
  <c r="DF13" i="67"/>
  <c r="DK15" i="67"/>
  <c r="CS21" i="67"/>
  <c r="DG21" i="67"/>
  <c r="DH4" i="67"/>
  <c r="CT4" i="67"/>
  <c r="DF4" i="67"/>
  <c r="CK5" i="67"/>
  <c r="CV11" i="67"/>
  <c r="CO16" i="67"/>
  <c r="DC16" i="67"/>
  <c r="CT23" i="67"/>
  <c r="DH23" i="67"/>
  <c r="CY30" i="67"/>
  <c r="CK30" i="67"/>
  <c r="DC49" i="67"/>
  <c r="CO49" i="67"/>
  <c r="DD45" i="67"/>
  <c r="CP45" i="67"/>
  <c r="DG48" i="67"/>
  <c r="CM54" i="67"/>
  <c r="DA54" i="67"/>
  <c r="DG22" i="67"/>
  <c r="CS23" i="67"/>
  <c r="DG23" i="67"/>
  <c r="CQ25" i="67"/>
  <c r="DE25" i="67"/>
  <c r="DH26" i="67"/>
  <c r="CY27" i="67"/>
  <c r="DG31" i="67"/>
  <c r="CV36" i="67"/>
  <c r="DA46" i="67"/>
  <c r="CM46" i="67"/>
  <c r="CT89" i="67"/>
  <c r="DH89" i="67"/>
  <c r="DI19" i="67"/>
  <c r="DB21" i="67"/>
  <c r="CY23" i="67"/>
  <c r="DB27" i="67"/>
  <c r="CW28" i="67"/>
  <c r="CJ31" i="67"/>
  <c r="CX31" i="67"/>
  <c r="CM31" i="67"/>
  <c r="CT35" i="67"/>
  <c r="DA37" i="67"/>
  <c r="CU40" i="67"/>
  <c r="DC46" i="67"/>
  <c r="CQ53" i="67"/>
  <c r="DE53" i="67"/>
  <c r="CT55" i="67"/>
  <c r="DC65" i="67"/>
  <c r="CO65" i="67"/>
  <c r="DF66" i="67"/>
  <c r="CR66" i="67"/>
  <c r="DG73" i="67"/>
  <c r="CS73" i="67"/>
  <c r="DG100" i="67"/>
  <c r="CS100" i="67"/>
  <c r="DB17" i="67"/>
  <c r="DD18" i="67"/>
  <c r="CX20" i="67"/>
  <c r="CZ23" i="67"/>
  <c r="CX25" i="67"/>
  <c r="CQ29" i="67"/>
  <c r="CO32" i="67"/>
  <c r="CP34" i="67"/>
  <c r="DD34" i="67"/>
  <c r="CU35" i="67"/>
  <c r="CU37" i="67"/>
  <c r="DI37" i="67"/>
  <c r="CJ38" i="67"/>
  <c r="CO39" i="67"/>
  <c r="CP46" i="67"/>
  <c r="DD46" i="67"/>
  <c r="CQ47" i="67"/>
  <c r="CQ49" i="67"/>
  <c r="DE49" i="67"/>
  <c r="CR53" i="67"/>
  <c r="DF53" i="67"/>
  <c r="CU55" i="67"/>
  <c r="CY57" i="67"/>
  <c r="CK57" i="67"/>
  <c r="CY61" i="67"/>
  <c r="CK61" i="67"/>
  <c r="CT73" i="67"/>
  <c r="DH73" i="67"/>
  <c r="DA85" i="67"/>
  <c r="CM85" i="67"/>
  <c r="CZ2" i="67"/>
  <c r="CY3" i="67"/>
  <c r="CX4" i="67"/>
  <c r="DK7" i="67"/>
  <c r="DJ8" i="67"/>
  <c r="DI9" i="67"/>
  <c r="DH10" i="67"/>
  <c r="DG11" i="67"/>
  <c r="DF12" i="67"/>
  <c r="DE13" i="67"/>
  <c r="DD14" i="67"/>
  <c r="DC15" i="67"/>
  <c r="DB16" i="67"/>
  <c r="DC17" i="67"/>
  <c r="DE21" i="67"/>
  <c r="CQ26" i="67"/>
  <c r="CL32" i="67"/>
  <c r="CZ32" i="67"/>
  <c r="CN33" i="67"/>
  <c r="DB33" i="67"/>
  <c r="CS33" i="67"/>
  <c r="CV35" i="67"/>
  <c r="CV37" i="67"/>
  <c r="DJ37" i="67"/>
  <c r="CL39" i="67"/>
  <c r="CZ39" i="67"/>
  <c r="CK51" i="67"/>
  <c r="CY51" i="67"/>
  <c r="DD63" i="67"/>
  <c r="CP63" i="67"/>
  <c r="DE65" i="67"/>
  <c r="CQ65" i="67"/>
  <c r="DJ68" i="67"/>
  <c r="CU72" i="67"/>
  <c r="DI72" i="67"/>
  <c r="CR26" i="67"/>
  <c r="CP31" i="67"/>
  <c r="DE35" i="67"/>
  <c r="CQ35" i="67"/>
  <c r="CS36" i="67"/>
  <c r="DG36" i="67"/>
  <c r="CS39" i="67"/>
  <c r="CX40" i="67"/>
  <c r="CO42" i="67"/>
  <c r="DC42" i="67"/>
  <c r="DH43" i="67"/>
  <c r="CT43" i="67"/>
  <c r="CL51" i="67"/>
  <c r="CZ51" i="67"/>
  <c r="CW55" i="67"/>
  <c r="DK55" i="67"/>
  <c r="CM57" i="67"/>
  <c r="DA57" i="67"/>
  <c r="CJ57" i="67"/>
  <c r="CX60" i="67"/>
  <c r="CO21" i="67"/>
  <c r="CV22" i="67"/>
  <c r="CT24" i="67"/>
  <c r="CS26" i="67"/>
  <c r="CV28" i="67"/>
  <c r="DJ28" i="67"/>
  <c r="CR35" i="67"/>
  <c r="DF35" i="67"/>
  <c r="CT36" i="67"/>
  <c r="DH36" i="67"/>
  <c r="CJ41" i="67"/>
  <c r="DI43" i="67"/>
  <c r="CU43" i="67"/>
  <c r="DG43" i="67"/>
  <c r="CZ47" i="67"/>
  <c r="CL47" i="67"/>
  <c r="DH64" i="67"/>
  <c r="CT64" i="67"/>
  <c r="CW19" i="67"/>
  <c r="CM27" i="67"/>
  <c r="CQ33" i="67"/>
  <c r="DE33" i="67"/>
  <c r="CQ40" i="67"/>
  <c r="DE40" i="67"/>
  <c r="DA47" i="67"/>
  <c r="CM47" i="67"/>
  <c r="DD88" i="67"/>
  <c r="CP88" i="67"/>
  <c r="CR18" i="67"/>
  <c r="CT22" i="67"/>
  <c r="DH22" i="67"/>
  <c r="CM23" i="67"/>
  <c r="CR24" i="67"/>
  <c r="DF24" i="67"/>
  <c r="CK25" i="67"/>
  <c r="CY29" i="67"/>
  <c r="DF40" i="67"/>
  <c r="CR40" i="67"/>
  <c r="CM41" i="67"/>
  <c r="CW43" i="67"/>
  <c r="DK43" i="67"/>
  <c r="DB47" i="67"/>
  <c r="CN47" i="67"/>
  <c r="DG40" i="67"/>
  <c r="CS40" i="67"/>
  <c r="DC47" i="67"/>
  <c r="CO47" i="67"/>
  <c r="DJ58" i="67"/>
  <c r="CV58" i="67"/>
  <c r="CZ59" i="67"/>
  <c r="CL59" i="67"/>
  <c r="DK74" i="67"/>
  <c r="CW74" i="67"/>
  <c r="CV29" i="67"/>
  <c r="DJ29" i="67"/>
  <c r="DH40" i="67"/>
  <c r="CL41" i="67"/>
  <c r="CZ41" i="67"/>
  <c r="CP50" i="67"/>
  <c r="DD50" i="67"/>
  <c r="DK65" i="67"/>
  <c r="CW65" i="67"/>
  <c r="DF44" i="67"/>
  <c r="CR44" i="67"/>
  <c r="DC48" i="67"/>
  <c r="CO48" i="67"/>
  <c r="CQ50" i="67"/>
  <c r="DE50" i="67"/>
  <c r="CV52" i="67"/>
  <c r="DJ52" i="67"/>
  <c r="CO56" i="67"/>
  <c r="CY62" i="67"/>
  <c r="CK62" i="67"/>
  <c r="DJ42" i="67"/>
  <c r="CV42" i="67"/>
  <c r="DG44" i="67"/>
  <c r="CS44" i="67"/>
  <c r="DD48" i="67"/>
  <c r="CP48" i="67"/>
  <c r="CW52" i="67"/>
  <c r="DK52" i="67"/>
  <c r="CX54" i="67"/>
  <c r="CJ54" i="67"/>
  <c r="CP56" i="67"/>
  <c r="CL66" i="67"/>
  <c r="CZ66" i="67"/>
  <c r="DD80" i="67"/>
  <c r="CP80" i="67"/>
  <c r="DC19" i="67"/>
  <c r="CO28" i="67"/>
  <c r="DF32" i="67"/>
  <c r="DK34" i="67"/>
  <c r="CK35" i="67"/>
  <c r="DI39" i="67"/>
  <c r="DI42" i="67"/>
  <c r="CY79" i="67"/>
  <c r="CK79" i="67"/>
  <c r="CU23" i="67"/>
  <c r="CS25" i="67"/>
  <c r="DE30" i="67"/>
  <c r="CW37" i="67"/>
  <c r="DC38" i="67"/>
  <c r="CP41" i="67"/>
  <c r="DD41" i="67"/>
  <c r="DJ44" i="67"/>
  <c r="DC45" i="67"/>
  <c r="CO45" i="67"/>
  <c r="CU46" i="67"/>
  <c r="CR48" i="67"/>
  <c r="DF48" i="67"/>
  <c r="CR56" i="67"/>
  <c r="DF56" i="67"/>
  <c r="CR90" i="67"/>
  <c r="DF90" i="67"/>
  <c r="DB72" i="67"/>
  <c r="CN72" i="67"/>
  <c r="CO72" i="67"/>
  <c r="DC72" i="67"/>
  <c r="DI87" i="67"/>
  <c r="CU87" i="67"/>
  <c r="CK98" i="67"/>
  <c r="CY98" i="67"/>
  <c r="DA33" i="67"/>
  <c r="DB34" i="67"/>
  <c r="DD35" i="67"/>
  <c r="CN40" i="67"/>
  <c r="CN43" i="67"/>
  <c r="DB43" i="67"/>
  <c r="CN45" i="67"/>
  <c r="CL46" i="67"/>
  <c r="CJ48" i="67"/>
  <c r="CX48" i="67"/>
  <c r="DG55" i="67"/>
  <c r="CP58" i="67"/>
  <c r="DD72" i="67"/>
  <c r="CP72" i="67"/>
  <c r="CX77" i="67"/>
  <c r="CJ77" i="67"/>
  <c r="CM44" i="67"/>
  <c r="DA44" i="67"/>
  <c r="CO52" i="67"/>
  <c r="DB56" i="67"/>
  <c r="CJ68" i="67"/>
  <c r="CX68" i="67"/>
  <c r="CY77" i="67"/>
  <c r="CK77" i="67"/>
  <c r="CL45" i="67"/>
  <c r="CZ45" i="67"/>
  <c r="DH46" i="67"/>
  <c r="CN49" i="67"/>
  <c r="CJ53" i="67"/>
  <c r="CV54" i="67"/>
  <c r="DE59" i="67"/>
  <c r="CQ59" i="67"/>
  <c r="CN59" i="67"/>
  <c r="CN63" i="67"/>
  <c r="DF64" i="67"/>
  <c r="DF72" i="67"/>
  <c r="CR72" i="67"/>
  <c r="CR75" i="67"/>
  <c r="DF75" i="67"/>
  <c r="CO78" i="67"/>
  <c r="DC78" i="67"/>
  <c r="CV107" i="67"/>
  <c r="DJ107" i="67"/>
  <c r="CK46" i="67"/>
  <c r="CY46" i="67"/>
  <c r="CJ50" i="67"/>
  <c r="CW54" i="67"/>
  <c r="CO63" i="67"/>
  <c r="DG64" i="67"/>
  <c r="CQ66" i="67"/>
  <c r="DI69" i="67"/>
  <c r="CK71" i="67"/>
  <c r="DE73" i="67"/>
  <c r="CQ73" i="67"/>
  <c r="CV83" i="67"/>
  <c r="DJ83" i="67"/>
  <c r="CK47" i="67"/>
  <c r="CY47" i="67"/>
  <c r="CS59" i="67"/>
  <c r="DG59" i="67"/>
  <c r="CR73" i="67"/>
  <c r="DF73" i="67"/>
  <c r="DC76" i="67"/>
  <c r="CU78" i="67"/>
  <c r="CZ85" i="67"/>
  <c r="CL85" i="67"/>
  <c r="CQ89" i="67"/>
  <c r="DE89" i="67"/>
  <c r="DC90" i="67"/>
  <c r="CV62" i="67"/>
  <c r="DJ62" i="67"/>
  <c r="CK63" i="67"/>
  <c r="CY63" i="67"/>
  <c r="CW64" i="67"/>
  <c r="DK64" i="67"/>
  <c r="DA66" i="67"/>
  <c r="CM66" i="67"/>
  <c r="CS56" i="67"/>
  <c r="DG56" i="67"/>
  <c r="CL63" i="67"/>
  <c r="CZ63" i="67"/>
  <c r="CS65" i="67"/>
  <c r="DG65" i="67"/>
  <c r="DB66" i="67"/>
  <c r="CN66" i="67"/>
  <c r="DI82" i="67"/>
  <c r="CU82" i="67"/>
  <c r="CU84" i="67"/>
  <c r="DI84" i="67"/>
  <c r="CP96" i="67"/>
  <c r="DD96" i="67"/>
  <c r="DC100" i="67"/>
  <c r="CO100" i="67"/>
  <c r="CM63" i="67"/>
  <c r="DA63" i="67"/>
  <c r="CO66" i="67"/>
  <c r="DC66" i="67"/>
  <c r="CL71" i="67"/>
  <c r="CZ71" i="67"/>
  <c r="CX93" i="67"/>
  <c r="CJ93" i="67"/>
  <c r="CP42" i="67"/>
  <c r="DK51" i="67"/>
  <c r="CK67" i="67"/>
  <c r="CY67" i="67"/>
  <c r="DH68" i="67"/>
  <c r="CT68" i="67"/>
  <c r="CU74" i="67"/>
  <c r="DI74" i="67"/>
  <c r="CZ74" i="67"/>
  <c r="CW82" i="67"/>
  <c r="DK82" i="67"/>
  <c r="DH30" i="67"/>
  <c r="DB36" i="67"/>
  <c r="DH70" i="67"/>
  <c r="CT70" i="67"/>
  <c r="CO81" i="67"/>
  <c r="DC60" i="67"/>
  <c r="CS76" i="67"/>
  <c r="DG76" i="67"/>
  <c r="DC77" i="67"/>
  <c r="CX87" i="67"/>
  <c r="CJ87" i="67"/>
  <c r="DB57" i="67"/>
  <c r="DH59" i="67"/>
  <c r="CN65" i="67"/>
  <c r="CJ75" i="67"/>
  <c r="CX75" i="67"/>
  <c r="CT76" i="67"/>
  <c r="DH76" i="67"/>
  <c r="CU81" i="67"/>
  <c r="DI81" i="67"/>
  <c r="DF88" i="67"/>
  <c r="CR88" i="67"/>
  <c r="DD94" i="67"/>
  <c r="CP94" i="67"/>
  <c r="CU100" i="67"/>
  <c r="DI100" i="67"/>
  <c r="CP102" i="67"/>
  <c r="DD102" i="67"/>
  <c r="DK49" i="67"/>
  <c r="DF50" i="67"/>
  <c r="DA51" i="67"/>
  <c r="DG53" i="67"/>
  <c r="DB54" i="67"/>
  <c r="DH56" i="67"/>
  <c r="DC57" i="67"/>
  <c r="CX58" i="67"/>
  <c r="DI59" i="67"/>
  <c r="CO61" i="67"/>
  <c r="CY75" i="67"/>
  <c r="DB78" i="67"/>
  <c r="DJ81" i="67"/>
  <c r="CV81" i="67"/>
  <c r="DG105" i="67"/>
  <c r="CS105" i="67"/>
  <c r="CX47" i="67"/>
  <c r="DG50" i="67"/>
  <c r="DB51" i="67"/>
  <c r="CP60" i="67"/>
  <c r="CJ63" i="67"/>
  <c r="DF71" i="67"/>
  <c r="CL83" i="67"/>
  <c r="CZ83" i="67"/>
  <c r="CL84" i="67"/>
  <c r="DG85" i="67"/>
  <c r="CS85" i="67"/>
  <c r="DC110" i="67"/>
  <c r="CO110" i="67"/>
  <c r="CQ60" i="67"/>
  <c r="DG71" i="67"/>
  <c r="CM75" i="67"/>
  <c r="DA75" i="67"/>
  <c r="CX80" i="67"/>
  <c r="CU88" i="67"/>
  <c r="DI88" i="67"/>
  <c r="CU105" i="67"/>
  <c r="DI105" i="67"/>
  <c r="CO73" i="67"/>
  <c r="DC73" i="67"/>
  <c r="CN74" i="67"/>
  <c r="DE78" i="67"/>
  <c r="CV80" i="67"/>
  <c r="DJ80" i="67"/>
  <c r="CU101" i="67"/>
  <c r="DI101" i="67"/>
  <c r="DI66" i="67"/>
  <c r="CL72" i="67"/>
  <c r="CZ72" i="67"/>
  <c r="CZ79" i="67"/>
  <c r="DK80" i="67"/>
  <c r="CW80" i="67"/>
  <c r="DB89" i="67"/>
  <c r="CN89" i="67"/>
  <c r="CW101" i="67"/>
  <c r="DK101" i="67"/>
  <c r="CM108" i="67"/>
  <c r="DA108" i="67"/>
  <c r="DC89" i="67"/>
  <c r="CO89" i="67"/>
  <c r="DD89" i="67"/>
  <c r="CP89" i="67"/>
  <c r="DD107" i="67"/>
  <c r="CP107" i="67"/>
  <c r="CP108" i="67"/>
  <c r="DD108" i="67"/>
  <c r="DG107" i="67"/>
  <c r="CK69" i="67"/>
  <c r="CY69" i="67"/>
  <c r="CJ70" i="67"/>
  <c r="CX70" i="67"/>
  <c r="CU71" i="67"/>
  <c r="CK73" i="67"/>
  <c r="CQ76" i="67"/>
  <c r="DE76" i="67"/>
  <c r="CX83" i="67"/>
  <c r="CN85" i="67"/>
  <c r="DB85" i="67"/>
  <c r="CK91" i="67"/>
  <c r="CY91" i="67"/>
  <c r="CY93" i="67"/>
  <c r="CK93" i="67"/>
  <c r="CQ94" i="67"/>
  <c r="DE94" i="67"/>
  <c r="CW99" i="67"/>
  <c r="DK99" i="67"/>
  <c r="CM101" i="67"/>
  <c r="CK115" i="67"/>
  <c r="CY115" i="67"/>
  <c r="CV71" i="67"/>
  <c r="CL73" i="67"/>
  <c r="CW84" i="67"/>
  <c r="DK84" i="67"/>
  <c r="CV89" i="67"/>
  <c r="DJ89" i="67"/>
  <c r="CZ91" i="67"/>
  <c r="CL91" i="67"/>
  <c r="CZ93" i="67"/>
  <c r="CL93" i="67"/>
  <c r="CK103" i="67"/>
  <c r="CY103" i="67"/>
  <c r="CQ86" i="67"/>
  <c r="DE86" i="67"/>
  <c r="CM87" i="67"/>
  <c r="DA87" i="67"/>
  <c r="DA91" i="67"/>
  <c r="CM91" i="67"/>
  <c r="DA93" i="67"/>
  <c r="CM93" i="67"/>
  <c r="CX111" i="67"/>
  <c r="CJ111" i="67"/>
  <c r="CS83" i="67"/>
  <c r="DG83" i="67"/>
  <c r="DF86" i="67"/>
  <c r="CR86" i="67"/>
  <c r="CL90" i="67"/>
  <c r="CZ90" i="67"/>
  <c r="CK92" i="67"/>
  <c r="CY92" i="67"/>
  <c r="CJ95" i="67"/>
  <c r="CX95" i="67"/>
  <c r="DI113" i="67"/>
  <c r="CU113" i="67"/>
  <c r="CT83" i="67"/>
  <c r="DH83" i="67"/>
  <c r="CO87" i="67"/>
  <c r="DC87" i="67"/>
  <c r="DA90" i="67"/>
  <c r="CM90" i="67"/>
  <c r="DI94" i="67"/>
  <c r="CU94" i="67"/>
  <c r="CM100" i="67"/>
  <c r="DA100" i="67"/>
  <c r="CJ71" i="67"/>
  <c r="DB81" i="67"/>
  <c r="CT82" i="67"/>
  <c r="DH82" i="67"/>
  <c r="CK84" i="67"/>
  <c r="CY84" i="67"/>
  <c r="CT86" i="67"/>
  <c r="DH86" i="67"/>
  <c r="CK87" i="67"/>
  <c r="DB90" i="67"/>
  <c r="CN90" i="67"/>
  <c r="DF94" i="67"/>
  <c r="CZ95" i="67"/>
  <c r="CL95" i="67"/>
  <c r="DD98" i="67"/>
  <c r="CO103" i="67"/>
  <c r="DC103" i="67"/>
  <c r="CW79" i="67"/>
  <c r="DK79" i="67"/>
  <c r="DC80" i="67"/>
  <c r="CK85" i="67"/>
  <c r="CY85" i="67"/>
  <c r="CS86" i="67"/>
  <c r="CP90" i="67"/>
  <c r="DD90" i="67"/>
  <c r="CQ80" i="67"/>
  <c r="CR89" i="67"/>
  <c r="DF89" i="67"/>
  <c r="DI92" i="67"/>
  <c r="CU92" i="67"/>
  <c r="DK96" i="67"/>
  <c r="CW96" i="67"/>
  <c r="CM74" i="67"/>
  <c r="CT88" i="67"/>
  <c r="DH88" i="67"/>
  <c r="DB98" i="67"/>
  <c r="CN98" i="67"/>
  <c r="CM98" i="67"/>
  <c r="CX99" i="67"/>
  <c r="CT104" i="67"/>
  <c r="DJ109" i="67"/>
  <c r="CV109" i="67"/>
  <c r="DJ96" i="67"/>
  <c r="DI104" i="67"/>
  <c r="CU104" i="67"/>
  <c r="CL115" i="67"/>
  <c r="CZ115" i="67"/>
  <c r="DF93" i="67"/>
  <c r="CP111" i="67"/>
  <c r="DD111" i="67"/>
  <c r="CT84" i="67"/>
  <c r="DE97" i="67"/>
  <c r="DG99" i="67"/>
  <c r="CY100" i="67"/>
  <c r="DA102" i="67"/>
  <c r="CN88" i="67"/>
  <c r="DB88" i="67"/>
  <c r="DI90" i="67"/>
  <c r="DJ99" i="67"/>
  <c r="CZ100" i="67"/>
  <c r="CN107" i="67"/>
  <c r="DB107" i="67"/>
  <c r="DH99" i="67"/>
  <c r="CT99" i="67"/>
  <c r="CL101" i="67"/>
  <c r="CJ103" i="67"/>
  <c r="CX103" i="67"/>
  <c r="DK104" i="67"/>
  <c r="CO106" i="67"/>
  <c r="DC106" i="67"/>
  <c r="DC107" i="67"/>
  <c r="CO107" i="67"/>
  <c r="DH112" i="67"/>
  <c r="CT112" i="67"/>
  <c r="DB113" i="67"/>
  <c r="CN113" i="67"/>
  <c r="CM89" i="67"/>
  <c r="DA89" i="67"/>
  <c r="CX98" i="67"/>
  <c r="CN100" i="67"/>
  <c r="DB100" i="67"/>
  <c r="CT101" i="67"/>
  <c r="DH101" i="67"/>
  <c r="DF84" i="67"/>
  <c r="CV91" i="67"/>
  <c r="DA95" i="67"/>
  <c r="CL98" i="67"/>
  <c r="DI102" i="67"/>
  <c r="CU102" i="67"/>
  <c r="CS104" i="67"/>
  <c r="CT105" i="67"/>
  <c r="CW106" i="67"/>
  <c r="DK106" i="67"/>
  <c r="DK107" i="67"/>
  <c r="CW107" i="67"/>
  <c r="DA109" i="67"/>
  <c r="CM109" i="67"/>
  <c r="CZ112" i="67"/>
  <c r="CL112" i="67"/>
  <c r="DD114" i="67"/>
  <c r="CP114" i="67"/>
  <c r="CN108" i="67"/>
  <c r="CQ111" i="67"/>
  <c r="CR111" i="67"/>
  <c r="CV113" i="67"/>
  <c r="CP110" i="67"/>
  <c r="CS111" i="67"/>
  <c r="CV114" i="67"/>
  <c r="DJ114" i="67"/>
  <c r="CX92" i="67"/>
  <c r="CQ108" i="67"/>
  <c r="CN109" i="67"/>
  <c r="CW114" i="67"/>
  <c r="CV101" i="67"/>
  <c r="DB104" i="67"/>
  <c r="DA105" i="67"/>
  <c r="CP106" i="67"/>
  <c r="DK108" i="67"/>
  <c r="CW108" i="67"/>
  <c r="CP103" i="67"/>
  <c r="CR112" i="67"/>
  <c r="DF112" i="67"/>
  <c r="CR105" i="67"/>
  <c r="DI108" i="67"/>
  <c r="CL109" i="67"/>
  <c r="CZ109" i="67"/>
  <c r="CN110" i="67"/>
  <c r="DB110" i="67"/>
  <c r="CT113" i="67"/>
  <c r="DH113" i="67"/>
  <c r="DF115" i="67"/>
  <c r="CR115" i="67"/>
  <c r="DA106" i="67"/>
  <c r="CZ107" i="67"/>
  <c r="CY108" i="67"/>
  <c r="CX109" i="67"/>
  <c r="CZ110" i="67"/>
  <c r="DB111" i="67"/>
  <c r="DD112" i="67"/>
  <c r="DH114" i="67"/>
  <c r="DJ115" i="67"/>
  <c r="O53" i="151" l="1"/>
  <c r="O51" i="151"/>
  <c r="O96" i="151"/>
  <c r="O61" i="151"/>
  <c r="X10" i="57"/>
  <c r="X12" i="57"/>
  <c r="O8" i="57"/>
  <c r="O85" i="151"/>
  <c r="O81" i="151"/>
  <c r="F48" i="25"/>
  <c r="F48" i="74"/>
  <c r="E48" i="25"/>
  <c r="E48" i="74"/>
  <c r="H49" i="25"/>
  <c r="H49" i="74"/>
  <c r="L49" i="25"/>
  <c r="L49" i="74"/>
  <c r="K48" i="25"/>
  <c r="K48" i="74"/>
  <c r="I49" i="25"/>
  <c r="I49" i="74"/>
  <c r="D49" i="25"/>
  <c r="D49" i="74"/>
  <c r="H48" i="25"/>
  <c r="H48" i="74"/>
  <c r="I48" i="25"/>
  <c r="I48" i="74"/>
  <c r="C49" i="25"/>
  <c r="C49" i="74"/>
  <c r="E49" i="25"/>
  <c r="E49" i="74"/>
  <c r="G49" i="25"/>
  <c r="G49" i="74"/>
  <c r="J49" i="25"/>
  <c r="J49" i="74"/>
  <c r="L48" i="25"/>
  <c r="L48" i="74"/>
  <c r="J48" i="25"/>
  <c r="J48" i="74"/>
  <c r="C48" i="25"/>
  <c r="C48" i="74"/>
  <c r="D48" i="25"/>
  <c r="D48" i="74"/>
  <c r="K49" i="25"/>
  <c r="K49" i="74"/>
  <c r="F49" i="25"/>
  <c r="F49" i="74"/>
  <c r="G48" i="25"/>
  <c r="G48" i="74"/>
  <c r="J108" i="156"/>
  <c r="I108" i="155"/>
  <c r="J108" i="76"/>
  <c r="I108" i="36"/>
  <c r="P108" i="36" s="1"/>
  <c r="I108" i="32"/>
  <c r="P108" i="32" s="1"/>
  <c r="P129" i="65"/>
  <c r="H127" i="155"/>
  <c r="N127" i="155" s="1"/>
  <c r="G127" i="152"/>
  <c r="P90" i="36"/>
  <c r="I138" i="36"/>
  <c r="P138" i="36" s="1"/>
  <c r="L9" i="74"/>
  <c r="AL14" i="57"/>
  <c r="AN14" i="57" s="1"/>
  <c r="P85" i="36"/>
  <c r="I133" i="36"/>
  <c r="P133" i="36" s="1"/>
  <c r="I103" i="155"/>
  <c r="J103" i="156"/>
  <c r="J103" i="76"/>
  <c r="I103" i="36"/>
  <c r="P103" i="36" s="1"/>
  <c r="I103" i="32"/>
  <c r="P103" i="32" s="1"/>
  <c r="I112" i="155"/>
  <c r="J112" i="156"/>
  <c r="J112" i="76"/>
  <c r="I112" i="36"/>
  <c r="P112" i="36" s="1"/>
  <c r="I112" i="32"/>
  <c r="P112" i="32" s="1"/>
  <c r="I120" i="155"/>
  <c r="J120" i="156"/>
  <c r="J120" i="76"/>
  <c r="I120" i="36"/>
  <c r="P120" i="36" s="1"/>
  <c r="I120" i="32"/>
  <c r="P120" i="32" s="1"/>
  <c r="W32" i="57"/>
  <c r="W33" i="57"/>
  <c r="J109" i="156"/>
  <c r="I109" i="155"/>
  <c r="J109" i="76"/>
  <c r="I109" i="36"/>
  <c r="P109" i="36" s="1"/>
  <c r="I109" i="32"/>
  <c r="P109" i="32" s="1"/>
  <c r="K120" i="77"/>
  <c r="P86" i="36"/>
  <c r="I134" i="36"/>
  <c r="P134" i="36" s="1"/>
  <c r="P124" i="65"/>
  <c r="H122" i="155"/>
  <c r="N122" i="155" s="1"/>
  <c r="G122" i="152"/>
  <c r="I135" i="36"/>
  <c r="P135" i="36" s="1"/>
  <c r="P87" i="36"/>
  <c r="I136" i="36"/>
  <c r="P136" i="36" s="1"/>
  <c r="P88" i="36"/>
  <c r="J106" i="156"/>
  <c r="I106" i="155"/>
  <c r="J106" i="76"/>
  <c r="I106" i="32"/>
  <c r="P106" i="32" s="1"/>
  <c r="I106" i="36"/>
  <c r="P106" i="36" s="1"/>
  <c r="P134" i="65"/>
  <c r="H132" i="155"/>
  <c r="N132" i="155" s="1"/>
  <c r="G132" i="152"/>
  <c r="I119" i="155"/>
  <c r="J119" i="156"/>
  <c r="I119" i="36"/>
  <c r="P119" i="36" s="1"/>
  <c r="J119" i="76"/>
  <c r="I119" i="32"/>
  <c r="P119" i="32" s="1"/>
  <c r="N33" i="57"/>
  <c r="N32" i="57"/>
  <c r="P125" i="65"/>
  <c r="H123" i="155"/>
  <c r="N123" i="155" s="1"/>
  <c r="G123" i="152"/>
  <c r="P8" i="57"/>
  <c r="P82" i="36"/>
  <c r="I130" i="36"/>
  <c r="P130" i="36" s="1"/>
  <c r="P81" i="36"/>
  <c r="I129" i="36"/>
  <c r="P129" i="36" s="1"/>
  <c r="I123" i="36"/>
  <c r="P123" i="36" s="1"/>
  <c r="P75" i="36"/>
  <c r="P93" i="36"/>
  <c r="I141" i="36"/>
  <c r="P141" i="36" s="1"/>
  <c r="P77" i="36"/>
  <c r="I125" i="36"/>
  <c r="P125" i="36" s="1"/>
  <c r="I115" i="155"/>
  <c r="J115" i="156"/>
  <c r="I115" i="36"/>
  <c r="P115" i="36" s="1"/>
  <c r="J115" i="76"/>
  <c r="I115" i="32"/>
  <c r="P115" i="32" s="1"/>
  <c r="J114" i="156"/>
  <c r="I114" i="155"/>
  <c r="J114" i="76"/>
  <c r="I114" i="32"/>
  <c r="P114" i="32" s="1"/>
  <c r="I114" i="36"/>
  <c r="P114" i="36" s="1"/>
  <c r="I99" i="155"/>
  <c r="J99" i="156"/>
  <c r="I99" i="36"/>
  <c r="P99" i="36" s="1"/>
  <c r="J99" i="76"/>
  <c r="I99" i="32"/>
  <c r="P99" i="32" s="1"/>
  <c r="I107" i="155"/>
  <c r="J107" i="156"/>
  <c r="J107" i="76"/>
  <c r="I107" i="36"/>
  <c r="P107" i="36" s="1"/>
  <c r="I107" i="32"/>
  <c r="P107" i="32" s="1"/>
  <c r="P127" i="65"/>
  <c r="H125" i="155"/>
  <c r="N125" i="155" s="1"/>
  <c r="G125" i="152"/>
  <c r="P126" i="65"/>
  <c r="H124" i="155"/>
  <c r="N124" i="155" s="1"/>
  <c r="G124" i="152"/>
  <c r="I118" i="155"/>
  <c r="J118" i="156"/>
  <c r="I118" i="36"/>
  <c r="P118" i="36" s="1"/>
  <c r="I118" i="32"/>
  <c r="P118" i="32" s="1"/>
  <c r="J118" i="76"/>
  <c r="I132" i="36"/>
  <c r="P132" i="36" s="1"/>
  <c r="P84" i="36"/>
  <c r="I143" i="36"/>
  <c r="P143" i="36" s="1"/>
  <c r="P95" i="36"/>
  <c r="J100" i="156"/>
  <c r="J100" i="76"/>
  <c r="I100" i="155"/>
  <c r="I100" i="36"/>
  <c r="P100" i="36" s="1"/>
  <c r="I100" i="32"/>
  <c r="P100" i="32" s="1"/>
  <c r="J104" i="156"/>
  <c r="I104" i="155"/>
  <c r="J104" i="76"/>
  <c r="I104" i="36"/>
  <c r="P104" i="36" s="1"/>
  <c r="I104" i="32"/>
  <c r="P104" i="32" s="1"/>
  <c r="P97" i="36"/>
  <c r="I145" i="36"/>
  <c r="P145" i="36" s="1"/>
  <c r="P128" i="65"/>
  <c r="H126" i="155"/>
  <c r="N126" i="155" s="1"/>
  <c r="G126" i="152"/>
  <c r="P13" i="57"/>
  <c r="O56" i="151"/>
  <c r="P96" i="36"/>
  <c r="I144" i="36"/>
  <c r="P144" i="36" s="1"/>
  <c r="P78" i="36"/>
  <c r="I126" i="36"/>
  <c r="P126" i="36" s="1"/>
  <c r="J113" i="156"/>
  <c r="I113" i="155"/>
  <c r="J113" i="76"/>
  <c r="I113" i="36"/>
  <c r="P113" i="36" s="1"/>
  <c r="I113" i="32"/>
  <c r="P113" i="32" s="1"/>
  <c r="J110" i="156"/>
  <c r="I110" i="155"/>
  <c r="J110" i="76"/>
  <c r="I110" i="36"/>
  <c r="P110" i="36" s="1"/>
  <c r="I110" i="32"/>
  <c r="P110" i="32" s="1"/>
  <c r="P130" i="65"/>
  <c r="H128" i="155"/>
  <c r="N128" i="155" s="1"/>
  <c r="G128" i="152"/>
  <c r="P132" i="65"/>
  <c r="H130" i="155"/>
  <c r="N130" i="155" s="1"/>
  <c r="G130" i="152"/>
  <c r="J117" i="156"/>
  <c r="I117" i="155"/>
  <c r="J117" i="76"/>
  <c r="I117" i="36"/>
  <c r="P117" i="36" s="1"/>
  <c r="I117" i="32"/>
  <c r="P117" i="32" s="1"/>
  <c r="Y10" i="57"/>
  <c r="I127" i="36"/>
  <c r="P127" i="36" s="1"/>
  <c r="P79" i="36"/>
  <c r="P80" i="36"/>
  <c r="I128" i="36"/>
  <c r="P128" i="36" s="1"/>
  <c r="P135" i="65"/>
  <c r="G133" i="152"/>
  <c r="H133" i="155"/>
  <c r="N133" i="155" s="1"/>
  <c r="Y8" i="57"/>
  <c r="P131" i="65"/>
  <c r="H129" i="155"/>
  <c r="N129" i="155" s="1"/>
  <c r="G129" i="152"/>
  <c r="I139" i="36"/>
  <c r="P139" i="36" s="1"/>
  <c r="P91" i="36"/>
  <c r="J98" i="156"/>
  <c r="I98" i="155"/>
  <c r="J98" i="76"/>
  <c r="I98" i="32"/>
  <c r="P98" i="32" s="1"/>
  <c r="I98" i="36"/>
  <c r="P98" i="36" s="1"/>
  <c r="I111" i="155"/>
  <c r="J111" i="156"/>
  <c r="J111" i="76"/>
  <c r="I111" i="36"/>
  <c r="P111" i="36" s="1"/>
  <c r="I111" i="32"/>
  <c r="P111" i="32" s="1"/>
  <c r="J101" i="156"/>
  <c r="I101" i="155"/>
  <c r="J101" i="76"/>
  <c r="I101" i="36"/>
  <c r="P101" i="36" s="1"/>
  <c r="I101" i="32"/>
  <c r="P101" i="32" s="1"/>
  <c r="J102" i="156"/>
  <c r="I102" i="155"/>
  <c r="J102" i="76"/>
  <c r="I102" i="36"/>
  <c r="P102" i="36" s="1"/>
  <c r="I102" i="32"/>
  <c r="P102" i="32" s="1"/>
  <c r="P133" i="65"/>
  <c r="H131" i="155"/>
  <c r="N131" i="155" s="1"/>
  <c r="G131" i="152"/>
  <c r="J116" i="156"/>
  <c r="J116" i="76"/>
  <c r="I116" i="155"/>
  <c r="I116" i="32"/>
  <c r="P116" i="32" s="1"/>
  <c r="I116" i="36"/>
  <c r="P116" i="36" s="1"/>
  <c r="P92" i="36"/>
  <c r="I140" i="36"/>
  <c r="P140" i="36" s="1"/>
  <c r="P74" i="36"/>
  <c r="I122" i="36"/>
  <c r="P122" i="36" s="1"/>
  <c r="AM33" i="57"/>
  <c r="AM32" i="57"/>
  <c r="P94" i="36"/>
  <c r="I142" i="36"/>
  <c r="P142" i="36" s="1"/>
  <c r="I105" i="155"/>
  <c r="J105" i="156"/>
  <c r="J105" i="76"/>
  <c r="I105" i="36"/>
  <c r="P105" i="36" s="1"/>
  <c r="I105" i="32"/>
  <c r="P105" i="32" s="1"/>
  <c r="J121" i="156"/>
  <c r="I121" i="155"/>
  <c r="J121" i="76"/>
  <c r="I121" i="36"/>
  <c r="P121" i="36" s="1"/>
  <c r="I121" i="32"/>
  <c r="P121" i="32" s="1"/>
  <c r="P76" i="36"/>
  <c r="I124" i="36"/>
  <c r="P124" i="36" s="1"/>
  <c r="P89" i="36"/>
  <c r="I137" i="36"/>
  <c r="P137" i="36" s="1"/>
  <c r="I131" i="36"/>
  <c r="P131" i="36" s="1"/>
  <c r="P83" i="36"/>
  <c r="M32" i="57"/>
  <c r="M33" i="57"/>
  <c r="O33" i="57" s="1"/>
  <c r="O14" i="57"/>
  <c r="P14" i="57" s="1"/>
  <c r="K9" i="74"/>
  <c r="AL13" i="57"/>
  <c r="AN13" i="57" s="1"/>
  <c r="Y11" i="57"/>
  <c r="P12" i="57"/>
  <c r="AL9" i="57"/>
  <c r="AN9" i="57" s="1"/>
  <c r="G9" i="74"/>
  <c r="AL6" i="57"/>
  <c r="AN6" i="57" s="1"/>
  <c r="D9" i="74"/>
  <c r="F9" i="74"/>
  <c r="AL8" i="57"/>
  <c r="AN8" i="57" s="1"/>
  <c r="P7" i="57"/>
  <c r="J9" i="74"/>
  <c r="AL12" i="57"/>
  <c r="AN12" i="57" s="1"/>
  <c r="Y12" i="57"/>
  <c r="Y7" i="57"/>
  <c r="Y9" i="57"/>
  <c r="V33" i="57"/>
  <c r="V32" i="57"/>
  <c r="X14" i="57"/>
  <c r="Y14" i="57" s="1"/>
  <c r="I9" i="74"/>
  <c r="AL11" i="57"/>
  <c r="AN11" i="57" s="1"/>
  <c r="AL5" i="57"/>
  <c r="C9" i="74"/>
  <c r="E9" i="74"/>
  <c r="AL7" i="57"/>
  <c r="AN7" i="57" s="1"/>
  <c r="AL10" i="57"/>
  <c r="H9" i="74"/>
  <c r="Y13" i="57"/>
  <c r="AX47" i="17"/>
  <c r="AM47" i="17"/>
  <c r="O72" i="151"/>
  <c r="O55" i="151"/>
  <c r="J34" i="75"/>
  <c r="G34" i="38"/>
  <c r="G34" i="28"/>
  <c r="J68" i="154"/>
  <c r="S68" i="154" s="1"/>
  <c r="J68" i="153"/>
  <c r="S68" i="153" s="1"/>
  <c r="J37" i="75"/>
  <c r="G37" i="38"/>
  <c r="G37" i="28"/>
  <c r="H117" i="154"/>
  <c r="Q117" i="154" s="1"/>
  <c r="H117" i="152"/>
  <c r="N117" i="152" s="1"/>
  <c r="H117" i="153"/>
  <c r="Q117" i="153" s="1"/>
  <c r="H117" i="30"/>
  <c r="O117" i="30" s="1"/>
  <c r="H117" i="34"/>
  <c r="O117" i="34" s="1"/>
  <c r="H117" i="151"/>
  <c r="N117" i="151" s="1"/>
  <c r="O117" i="151" s="1"/>
  <c r="BU87" i="67"/>
  <c r="I103" i="65"/>
  <c r="AJ100" i="67"/>
  <c r="N87" i="152"/>
  <c r="H135" i="152"/>
  <c r="N135" i="152" s="1"/>
  <c r="BP87" i="67"/>
  <c r="J29" i="25"/>
  <c r="V12" i="24"/>
  <c r="X12" i="24" s="1"/>
  <c r="J7" i="25"/>
  <c r="T8" i="25" s="1"/>
  <c r="G51" i="25"/>
  <c r="BO9" i="17"/>
  <c r="C31" i="25"/>
  <c r="BU91" i="67"/>
  <c r="J115" i="75"/>
  <c r="G115" i="38"/>
  <c r="G115" i="28"/>
  <c r="O92" i="151"/>
  <c r="H123" i="152"/>
  <c r="N123" i="152" s="1"/>
  <c r="N75" i="152"/>
  <c r="G89" i="38"/>
  <c r="J89" i="75"/>
  <c r="G89" i="28"/>
  <c r="G81" i="38"/>
  <c r="J81" i="75"/>
  <c r="G81" i="28"/>
  <c r="O73" i="151"/>
  <c r="BO92" i="67"/>
  <c r="G63" i="38"/>
  <c r="J63" i="75"/>
  <c r="G63" i="28"/>
  <c r="BW87" i="67"/>
  <c r="J46" i="75"/>
  <c r="G46" i="38"/>
  <c r="G46" i="28"/>
  <c r="G49" i="38"/>
  <c r="J49" i="75"/>
  <c r="G49" i="28"/>
  <c r="G79" i="38"/>
  <c r="J79" i="75"/>
  <c r="G79" i="28"/>
  <c r="G24" i="38"/>
  <c r="G24" i="28"/>
  <c r="J24" i="75"/>
  <c r="J43" i="75"/>
  <c r="G43" i="38"/>
  <c r="G43" i="28"/>
  <c r="J70" i="75"/>
  <c r="G70" i="38"/>
  <c r="G70" i="28"/>
  <c r="H105" i="154"/>
  <c r="Q105" i="154" s="1"/>
  <c r="H105" i="152"/>
  <c r="N105" i="152" s="1"/>
  <c r="H105" i="153"/>
  <c r="Q105" i="153" s="1"/>
  <c r="H105" i="34"/>
  <c r="H105" i="151"/>
  <c r="N105" i="151" s="1"/>
  <c r="O105" i="151" s="1"/>
  <c r="H105" i="30"/>
  <c r="G65" i="38"/>
  <c r="J65" i="75"/>
  <c r="G65" i="28"/>
  <c r="G87" i="38"/>
  <c r="J87" i="75"/>
  <c r="G87" i="28"/>
  <c r="H113" i="154"/>
  <c r="Q113" i="154" s="1"/>
  <c r="H113" i="153"/>
  <c r="Q113" i="153" s="1"/>
  <c r="H113" i="152"/>
  <c r="N113" i="152" s="1"/>
  <c r="H113" i="151"/>
  <c r="N113" i="151" s="1"/>
  <c r="H113" i="30"/>
  <c r="H113" i="34"/>
  <c r="J63" i="153"/>
  <c r="S63" i="153" s="1"/>
  <c r="J63" i="154"/>
  <c r="S63" i="154" s="1"/>
  <c r="J108" i="75"/>
  <c r="G108" i="38"/>
  <c r="G108" i="28"/>
  <c r="H120" i="153"/>
  <c r="Q120" i="153" s="1"/>
  <c r="H120" i="151"/>
  <c r="N120" i="151" s="1"/>
  <c r="O120" i="151" s="1"/>
  <c r="H120" i="34"/>
  <c r="O120" i="34" s="1"/>
  <c r="H120" i="30"/>
  <c r="O120" i="30" s="1"/>
  <c r="H120" i="152"/>
  <c r="N120" i="152" s="1"/>
  <c r="H120" i="154"/>
  <c r="Q120" i="154" s="1"/>
  <c r="J20" i="75"/>
  <c r="G20" i="38"/>
  <c r="G20" i="28"/>
  <c r="BV94" i="67"/>
  <c r="BQ88" i="67"/>
  <c r="BV93" i="67"/>
  <c r="J67" i="75"/>
  <c r="G67" i="38"/>
  <c r="G67" i="28"/>
  <c r="BR94" i="67"/>
  <c r="BQ94" i="67"/>
  <c r="J66" i="75"/>
  <c r="G66" i="38"/>
  <c r="G66" i="28"/>
  <c r="J31" i="25"/>
  <c r="V7" i="24"/>
  <c r="X7" i="24" s="1"/>
  <c r="E7" i="25"/>
  <c r="M7" i="24"/>
  <c r="E6" i="25"/>
  <c r="C7" i="25"/>
  <c r="V5" i="24"/>
  <c r="X5" i="24" s="1"/>
  <c r="BV91" i="67"/>
  <c r="BO93" i="67"/>
  <c r="BZ77" i="67"/>
  <c r="O67" i="151"/>
  <c r="O74" i="151"/>
  <c r="BN86" i="67"/>
  <c r="BT90" i="67"/>
  <c r="O87" i="151"/>
  <c r="O79" i="151"/>
  <c r="BZ75" i="67"/>
  <c r="G111" i="38"/>
  <c r="J111" i="75"/>
  <c r="G111" i="28"/>
  <c r="H142" i="152"/>
  <c r="N142" i="152" s="1"/>
  <c r="N94" i="152"/>
  <c r="BU96" i="67"/>
  <c r="BO91" i="67"/>
  <c r="Q77" i="154"/>
  <c r="H125" i="154"/>
  <c r="Q125" i="154" s="1"/>
  <c r="BT88" i="67"/>
  <c r="J66" i="154"/>
  <c r="S66" i="154" s="1"/>
  <c r="J66" i="153"/>
  <c r="S66" i="153" s="1"/>
  <c r="BS96" i="67"/>
  <c r="J4" i="75"/>
  <c r="G4" i="38"/>
  <c r="G4" i="28"/>
  <c r="BV86" i="67"/>
  <c r="BW93" i="67"/>
  <c r="I9" i="25"/>
  <c r="S10" i="25" s="1"/>
  <c r="AM11" i="24"/>
  <c r="L7" i="25"/>
  <c r="V14" i="24"/>
  <c r="V25" i="24" s="1"/>
  <c r="F51" i="25"/>
  <c r="BO8" i="17"/>
  <c r="BP8" i="17" s="1"/>
  <c r="BQ8" i="17" s="1"/>
  <c r="AL21" i="57" s="1"/>
  <c r="BN87" i="67"/>
  <c r="H144" i="152"/>
  <c r="N144" i="152" s="1"/>
  <c r="N96" i="152"/>
  <c r="BN94" i="67"/>
  <c r="CA75" i="67"/>
  <c r="BQ91" i="67"/>
  <c r="G33" i="38"/>
  <c r="J33" i="75"/>
  <c r="G33" i="28"/>
  <c r="Q80" i="154"/>
  <c r="H128" i="154"/>
  <c r="Q128" i="154" s="1"/>
  <c r="BT97" i="67"/>
  <c r="J86" i="75"/>
  <c r="G86" i="28"/>
  <c r="G86" i="38"/>
  <c r="J70" i="154"/>
  <c r="S70" i="154" s="1"/>
  <c r="J70" i="153"/>
  <c r="S70" i="153" s="1"/>
  <c r="G64" i="38"/>
  <c r="G64" i="28"/>
  <c r="J64" i="75"/>
  <c r="J60" i="75"/>
  <c r="G60" i="38"/>
  <c r="G60" i="28"/>
  <c r="H111" i="154"/>
  <c r="Q111" i="154" s="1"/>
  <c r="H111" i="152"/>
  <c r="N111" i="152" s="1"/>
  <c r="H111" i="153"/>
  <c r="Q111" i="153" s="1"/>
  <c r="H111" i="30"/>
  <c r="H111" i="34"/>
  <c r="H111" i="151"/>
  <c r="N111" i="151" s="1"/>
  <c r="O111" i="151" s="1"/>
  <c r="J110" i="75"/>
  <c r="G110" i="38"/>
  <c r="G110" i="28"/>
  <c r="J62" i="154"/>
  <c r="S62" i="154" s="1"/>
  <c r="J62" i="153"/>
  <c r="S62" i="153" s="1"/>
  <c r="Q133" i="65"/>
  <c r="M131" i="152"/>
  <c r="H122" i="152"/>
  <c r="N122" i="152" s="1"/>
  <c r="N74" i="152"/>
  <c r="BN90" i="67"/>
  <c r="BO97" i="67"/>
  <c r="H135" i="154"/>
  <c r="Q135" i="154" s="1"/>
  <c r="Q87" i="154"/>
  <c r="BN89" i="67"/>
  <c r="G104" i="38"/>
  <c r="J104" i="75"/>
  <c r="G104" i="28"/>
  <c r="J77" i="75"/>
  <c r="G77" i="38"/>
  <c r="G77" i="28"/>
  <c r="BS94" i="67"/>
  <c r="I7" i="25"/>
  <c r="S8" i="25" s="1"/>
  <c r="V11" i="24"/>
  <c r="X11" i="24" s="1"/>
  <c r="D51" i="25"/>
  <c r="BO6" i="17"/>
  <c r="BP6" i="17" s="1"/>
  <c r="BQ6" i="17" s="1"/>
  <c r="AL19" i="57" s="1"/>
  <c r="J28" i="75"/>
  <c r="G28" i="38"/>
  <c r="G28" i="28"/>
  <c r="Q96" i="154"/>
  <c r="H144" i="154"/>
  <c r="Q144" i="154" s="1"/>
  <c r="BX89" i="67"/>
  <c r="Q75" i="154"/>
  <c r="H123" i="154"/>
  <c r="Q123" i="154" s="1"/>
  <c r="BW96" i="67"/>
  <c r="H142" i="154"/>
  <c r="Q142" i="154" s="1"/>
  <c r="Q94" i="154"/>
  <c r="O84" i="151"/>
  <c r="J78" i="75"/>
  <c r="G78" i="38"/>
  <c r="G78" i="28"/>
  <c r="BQ90" i="67"/>
  <c r="BV95" i="67"/>
  <c r="CA76" i="67"/>
  <c r="N79" i="152"/>
  <c r="H127" i="152"/>
  <c r="N127" i="152" s="1"/>
  <c r="BN97" i="67"/>
  <c r="CA83" i="67"/>
  <c r="BR86" i="67"/>
  <c r="I29" i="25"/>
  <c r="F31" i="25"/>
  <c r="M8" i="24"/>
  <c r="F6" i="25"/>
  <c r="J6" i="25"/>
  <c r="T7" i="25" s="1"/>
  <c r="M12" i="24"/>
  <c r="AM5" i="24"/>
  <c r="AO5" i="24" s="1"/>
  <c r="C9" i="25"/>
  <c r="BP86" i="67"/>
  <c r="G25" i="38"/>
  <c r="J25" i="75"/>
  <c r="G25" i="28"/>
  <c r="BZ79" i="67"/>
  <c r="BP93" i="67"/>
  <c r="J14" i="75"/>
  <c r="G14" i="38"/>
  <c r="G14" i="28"/>
  <c r="BS90" i="67"/>
  <c r="BV88" i="67"/>
  <c r="O76" i="151"/>
  <c r="CA80" i="67"/>
  <c r="J107" i="75"/>
  <c r="G107" i="38"/>
  <c r="G107" i="28"/>
  <c r="G56" i="38"/>
  <c r="G56" i="28"/>
  <c r="J56" i="75"/>
  <c r="J38" i="75"/>
  <c r="G38" i="28"/>
  <c r="G38" i="38"/>
  <c r="J69" i="153"/>
  <c r="S69" i="153" s="1"/>
  <c r="J69" i="154"/>
  <c r="S69" i="154" s="1"/>
  <c r="H103" i="154"/>
  <c r="Q103" i="154" s="1"/>
  <c r="H103" i="151"/>
  <c r="N103" i="151" s="1"/>
  <c r="O103" i="151" s="1"/>
  <c r="H103" i="153"/>
  <c r="Q103" i="153" s="1"/>
  <c r="H103" i="152"/>
  <c r="N103" i="152" s="1"/>
  <c r="H103" i="30"/>
  <c r="H103" i="34"/>
  <c r="H116" i="152"/>
  <c r="N116" i="152" s="1"/>
  <c r="H116" i="154"/>
  <c r="Q116" i="154" s="1"/>
  <c r="H116" i="153"/>
  <c r="Q116" i="153" s="1"/>
  <c r="H116" i="34"/>
  <c r="O116" i="34" s="1"/>
  <c r="H116" i="151"/>
  <c r="N116" i="151" s="1"/>
  <c r="O116" i="151" s="1"/>
  <c r="H116" i="30"/>
  <c r="O116" i="30" s="1"/>
  <c r="BW86" i="67"/>
  <c r="H122" i="154"/>
  <c r="Q122" i="154" s="1"/>
  <c r="Q74" i="154"/>
  <c r="BP89" i="67"/>
  <c r="G32" i="38"/>
  <c r="G32" i="28"/>
  <c r="J32" i="75"/>
  <c r="BQ96" i="67"/>
  <c r="BS87" i="67"/>
  <c r="J58" i="75"/>
  <c r="G58" i="38"/>
  <c r="G58" i="28"/>
  <c r="O60" i="151"/>
  <c r="BX92" i="67"/>
  <c r="BP88" i="67"/>
  <c r="J29" i="75"/>
  <c r="G29" i="38"/>
  <c r="G29" i="28"/>
  <c r="G103" i="38"/>
  <c r="J103" i="75"/>
  <c r="G103" i="28"/>
  <c r="BT93" i="67"/>
  <c r="BS93" i="67"/>
  <c r="H9" i="25"/>
  <c r="AM10" i="24"/>
  <c r="AO10" i="24" s="1"/>
  <c r="E9" i="25"/>
  <c r="AM7" i="24"/>
  <c r="AO7" i="24" s="1"/>
  <c r="BX90" i="67"/>
  <c r="BS91" i="67"/>
  <c r="BW90" i="67"/>
  <c r="BW97" i="67"/>
  <c r="J18" i="75"/>
  <c r="G18" i="38"/>
  <c r="G18" i="28"/>
  <c r="O82" i="151"/>
  <c r="N95" i="152"/>
  <c r="H143" i="152"/>
  <c r="N143" i="152" s="1"/>
  <c r="BV89" i="67"/>
  <c r="J27" i="75"/>
  <c r="G27" i="38"/>
  <c r="G27" i="28"/>
  <c r="G112" i="38"/>
  <c r="G112" i="28"/>
  <c r="J112" i="75"/>
  <c r="BW95" i="67"/>
  <c r="J44" i="75"/>
  <c r="G44" i="38"/>
  <c r="G44" i="28"/>
  <c r="H101" i="154"/>
  <c r="Q101" i="154" s="1"/>
  <c r="H101" i="153"/>
  <c r="Q101" i="153" s="1"/>
  <c r="H101" i="152"/>
  <c r="N101" i="152" s="1"/>
  <c r="H101" i="30"/>
  <c r="H101" i="151"/>
  <c r="N101" i="151" s="1"/>
  <c r="O101" i="151" s="1"/>
  <c r="H101" i="34"/>
  <c r="J50" i="75"/>
  <c r="G50" i="38"/>
  <c r="G50" i="28"/>
  <c r="G73" i="38"/>
  <c r="J73" i="75"/>
  <c r="G73" i="28"/>
  <c r="J22" i="75"/>
  <c r="G22" i="38"/>
  <c r="G22" i="28"/>
  <c r="J114" i="75"/>
  <c r="G114" i="38"/>
  <c r="G114" i="28"/>
  <c r="J75" i="75"/>
  <c r="G75" i="38"/>
  <c r="G75" i="28"/>
  <c r="J92" i="75"/>
  <c r="G92" i="38"/>
  <c r="G92" i="28"/>
  <c r="H98" i="153"/>
  <c r="Q98" i="153" s="1"/>
  <c r="H98" i="154"/>
  <c r="Q98" i="154" s="1"/>
  <c r="H98" i="152"/>
  <c r="N98" i="152" s="1"/>
  <c r="H98" i="30"/>
  <c r="H98" i="34"/>
  <c r="H98" i="151"/>
  <c r="N98" i="151" s="1"/>
  <c r="D141" i="65"/>
  <c r="N141" i="65" s="1"/>
  <c r="H119" i="154"/>
  <c r="Q119" i="154" s="1"/>
  <c r="H119" i="151"/>
  <c r="N119" i="151" s="1"/>
  <c r="O119" i="151" s="1"/>
  <c r="H119" i="152"/>
  <c r="N119" i="152" s="1"/>
  <c r="H119" i="153"/>
  <c r="Q119" i="153" s="1"/>
  <c r="H119" i="30"/>
  <c r="O119" i="30" s="1"/>
  <c r="H119" i="34"/>
  <c r="O119" i="34" s="1"/>
  <c r="BU95" i="67"/>
  <c r="BO90" i="67"/>
  <c r="BX93" i="67"/>
  <c r="CA85" i="67"/>
  <c r="Q79" i="154"/>
  <c r="H127" i="154"/>
  <c r="Q127" i="154" s="1"/>
  <c r="BP96" i="67"/>
  <c r="BZ76" i="67"/>
  <c r="J13" i="75"/>
  <c r="G13" i="38"/>
  <c r="G13" i="28"/>
  <c r="BZ81" i="67"/>
  <c r="I31" i="25"/>
  <c r="AO11" i="24"/>
  <c r="K7" i="25"/>
  <c r="U8" i="25" s="1"/>
  <c r="V13" i="24"/>
  <c r="X13" i="24" s="1"/>
  <c r="BN95" i="67"/>
  <c r="CA79" i="67"/>
  <c r="BX97" i="67"/>
  <c r="BR92" i="67"/>
  <c r="H143" i="154"/>
  <c r="Q143" i="154" s="1"/>
  <c r="Q95" i="154"/>
  <c r="BU89" i="67"/>
  <c r="J62" i="75"/>
  <c r="G62" i="38"/>
  <c r="G62" i="28"/>
  <c r="G17" i="38"/>
  <c r="J17" i="75"/>
  <c r="G17" i="28"/>
  <c r="BV87" i="67"/>
  <c r="H108" i="153"/>
  <c r="Q108" i="153" s="1"/>
  <c r="H108" i="154"/>
  <c r="Q108" i="154" s="1"/>
  <c r="H108" i="152"/>
  <c r="N108" i="152" s="1"/>
  <c r="H108" i="151"/>
  <c r="N108" i="151" s="1"/>
  <c r="O108" i="151" s="1"/>
  <c r="H108" i="34"/>
  <c r="H108" i="30"/>
  <c r="J53" i="75"/>
  <c r="G53" i="38"/>
  <c r="G53" i="28"/>
  <c r="J100" i="75"/>
  <c r="G100" i="38"/>
  <c r="G100" i="28"/>
  <c r="G16" i="38"/>
  <c r="G16" i="28"/>
  <c r="J16" i="75"/>
  <c r="J12" i="75"/>
  <c r="G12" i="38"/>
  <c r="G12" i="28"/>
  <c r="J30" i="75"/>
  <c r="G30" i="38"/>
  <c r="G30" i="28"/>
  <c r="H107" i="154"/>
  <c r="Q107" i="154" s="1"/>
  <c r="H107" i="153"/>
  <c r="Q107" i="153" s="1"/>
  <c r="H107" i="151"/>
  <c r="N107" i="151" s="1"/>
  <c r="O107" i="151" s="1"/>
  <c r="H107" i="152"/>
  <c r="N107" i="152" s="1"/>
  <c r="H107" i="34"/>
  <c r="H107" i="30"/>
  <c r="E142" i="65"/>
  <c r="O142" i="65" s="1"/>
  <c r="O71" i="151"/>
  <c r="G80" i="38"/>
  <c r="J80" i="75"/>
  <c r="G80" i="28"/>
  <c r="BU86" i="67"/>
  <c r="H139" i="152"/>
  <c r="N139" i="152" s="1"/>
  <c r="N91" i="152"/>
  <c r="J45" i="75"/>
  <c r="G45" i="38"/>
  <c r="G45" i="28"/>
  <c r="J93" i="75"/>
  <c r="G93" i="38"/>
  <c r="G93" i="28"/>
  <c r="BU93" i="67"/>
  <c r="BU92" i="67"/>
  <c r="F29" i="25"/>
  <c r="J61" i="75"/>
  <c r="G61" i="38"/>
  <c r="G61" i="28"/>
  <c r="CA77" i="67"/>
  <c r="O65" i="151"/>
  <c r="BV96" i="67"/>
  <c r="BS89" i="67"/>
  <c r="O50" i="151"/>
  <c r="BX94" i="67"/>
  <c r="BN91" i="67"/>
  <c r="G40" i="38"/>
  <c r="G40" i="28"/>
  <c r="J40" i="75"/>
  <c r="J59" i="75"/>
  <c r="G59" i="38"/>
  <c r="G59" i="28"/>
  <c r="G96" i="38"/>
  <c r="G96" i="28"/>
  <c r="J96" i="75"/>
  <c r="J72" i="154"/>
  <c r="S72" i="154" s="1"/>
  <c r="J72" i="153"/>
  <c r="S72" i="153" s="1"/>
  <c r="H102" i="154"/>
  <c r="Q102" i="154" s="1"/>
  <c r="H102" i="153"/>
  <c r="Q102" i="153" s="1"/>
  <c r="H102" i="30"/>
  <c r="H102" i="151"/>
  <c r="N102" i="151" s="1"/>
  <c r="O102" i="151" s="1"/>
  <c r="H102" i="34"/>
  <c r="H102" i="152"/>
  <c r="N102" i="152" s="1"/>
  <c r="Q124" i="65"/>
  <c r="M122" i="152"/>
  <c r="Q135" i="65"/>
  <c r="M133" i="152"/>
  <c r="K117" i="77"/>
  <c r="BQ89" i="67"/>
  <c r="BP97" i="67"/>
  <c r="J35" i="75"/>
  <c r="G35" i="38"/>
  <c r="G35" i="28"/>
  <c r="O68" i="151"/>
  <c r="L9" i="25"/>
  <c r="AM14" i="24"/>
  <c r="AO14" i="24" s="1"/>
  <c r="H31" i="25"/>
  <c r="F7" i="25"/>
  <c r="V8" i="24"/>
  <c r="X8" i="24" s="1"/>
  <c r="K6" i="25"/>
  <c r="U7" i="25" s="1"/>
  <c r="M13" i="24"/>
  <c r="BP94" i="67"/>
  <c r="BO94" i="67"/>
  <c r="J90" i="75"/>
  <c r="G90" i="38"/>
  <c r="G90" i="28"/>
  <c r="O91" i="151"/>
  <c r="O59" i="151"/>
  <c r="O57" i="151"/>
  <c r="G55" i="38"/>
  <c r="J55" i="75"/>
  <c r="G55" i="28"/>
  <c r="G48" i="38"/>
  <c r="G48" i="28"/>
  <c r="J48" i="75"/>
  <c r="J21" i="75"/>
  <c r="G21" i="38"/>
  <c r="G21" i="28"/>
  <c r="J91" i="75"/>
  <c r="G91" i="38"/>
  <c r="G91" i="28"/>
  <c r="G97" i="38"/>
  <c r="G97" i="28"/>
  <c r="J97" i="75"/>
  <c r="J71" i="153"/>
  <c r="S71" i="153" s="1"/>
  <c r="J71" i="154"/>
  <c r="S71" i="154" s="1"/>
  <c r="H115" i="154"/>
  <c r="Q115" i="154" s="1"/>
  <c r="H115" i="153"/>
  <c r="Q115" i="153" s="1"/>
  <c r="H115" i="34"/>
  <c r="H115" i="152"/>
  <c r="N115" i="152" s="1"/>
  <c r="H115" i="151"/>
  <c r="N115" i="151" s="1"/>
  <c r="O115" i="151" s="1"/>
  <c r="H115" i="30"/>
  <c r="H110" i="154"/>
  <c r="Q110" i="154" s="1"/>
  <c r="H110" i="153"/>
  <c r="Q110" i="153" s="1"/>
  <c r="H110" i="34"/>
  <c r="H110" i="30"/>
  <c r="H110" i="151"/>
  <c r="N110" i="151" s="1"/>
  <c r="O110" i="151" s="1"/>
  <c r="H110" i="152"/>
  <c r="N110" i="152" s="1"/>
  <c r="H109" i="154"/>
  <c r="Q109" i="154" s="1"/>
  <c r="H109" i="153"/>
  <c r="Q109" i="153" s="1"/>
  <c r="H109" i="152"/>
  <c r="N109" i="152" s="1"/>
  <c r="H109" i="30"/>
  <c r="H109" i="151"/>
  <c r="N109" i="151" s="1"/>
  <c r="O109" i="151" s="1"/>
  <c r="H109" i="34"/>
  <c r="G7" i="38"/>
  <c r="J7" i="75"/>
  <c r="G7" i="28"/>
  <c r="G41" i="38"/>
  <c r="J41" i="75"/>
  <c r="G41" i="28"/>
  <c r="J54" i="75"/>
  <c r="G54" i="38"/>
  <c r="G54" i="28"/>
  <c r="Q127" i="65"/>
  <c r="M125" i="152"/>
  <c r="Q125" i="65"/>
  <c r="M123" i="152"/>
  <c r="BR88" i="67"/>
  <c r="BZ78" i="67"/>
  <c r="BS95" i="67"/>
  <c r="BZ83" i="67"/>
  <c r="BR87" i="67"/>
  <c r="BO88" i="67"/>
  <c r="BV92" i="67"/>
  <c r="BO87" i="67"/>
  <c r="L29" i="25"/>
  <c r="W25" i="24"/>
  <c r="W24" i="24"/>
  <c r="H29" i="25"/>
  <c r="J51" i="25"/>
  <c r="BO12" i="17"/>
  <c r="BP12" i="17" s="1"/>
  <c r="BQ12" i="17" s="1"/>
  <c r="AL25" i="57" s="1"/>
  <c r="H145" i="152"/>
  <c r="N145" i="152" s="1"/>
  <c r="N97" i="152"/>
  <c r="BU90" i="67"/>
  <c r="N86" i="152"/>
  <c r="H134" i="152"/>
  <c r="N134" i="152" s="1"/>
  <c r="H131" i="152"/>
  <c r="N131" i="152" s="1"/>
  <c r="N83" i="152"/>
  <c r="BV97" i="67"/>
  <c r="BN93" i="67"/>
  <c r="BX88" i="67"/>
  <c r="BZ84" i="67"/>
  <c r="BN92" i="67"/>
  <c r="BX87" i="67"/>
  <c r="BP90" i="67"/>
  <c r="H112" i="153"/>
  <c r="Q112" i="153" s="1"/>
  <c r="H112" i="151"/>
  <c r="N112" i="151" s="1"/>
  <c r="O112" i="151" s="1"/>
  <c r="H112" i="154"/>
  <c r="Q112" i="154" s="1"/>
  <c r="H112" i="30"/>
  <c r="H112" i="34"/>
  <c r="H112" i="152"/>
  <c r="N112" i="152" s="1"/>
  <c r="Q132" i="65"/>
  <c r="M130" i="152"/>
  <c r="BW94" i="67"/>
  <c r="BR96" i="67"/>
  <c r="G39" i="38"/>
  <c r="J39" i="75"/>
  <c r="G39" i="28"/>
  <c r="H139" i="154"/>
  <c r="Q139" i="154" s="1"/>
  <c r="Q91" i="154"/>
  <c r="BR95" i="67"/>
  <c r="K9" i="25"/>
  <c r="U10" i="25" s="1"/>
  <c r="AM13" i="24"/>
  <c r="AO13" i="24" s="1"/>
  <c r="L6" i="25"/>
  <c r="V7" i="25" s="1"/>
  <c r="M14" i="24"/>
  <c r="D7" i="25"/>
  <c r="V6" i="24"/>
  <c r="X6" i="24" s="1"/>
  <c r="H51" i="25"/>
  <c r="BO10" i="17"/>
  <c r="BP10" i="17" s="1"/>
  <c r="BQ10" i="17" s="1"/>
  <c r="AL23" i="57" s="1"/>
  <c r="E31" i="25"/>
  <c r="Q97" i="154"/>
  <c r="H145" i="154"/>
  <c r="Q145" i="154" s="1"/>
  <c r="BR93" i="67"/>
  <c r="O66" i="151"/>
  <c r="BQ93" i="67"/>
  <c r="H126" i="152"/>
  <c r="N126" i="152" s="1"/>
  <c r="N78" i="152"/>
  <c r="BT91" i="67"/>
  <c r="J98" i="75"/>
  <c r="G98" i="38"/>
  <c r="G98" i="28"/>
  <c r="BW88" i="67"/>
  <c r="Q88" i="154"/>
  <c r="H136" i="154"/>
  <c r="Q136" i="154" s="1"/>
  <c r="H141" i="152"/>
  <c r="N141" i="152" s="1"/>
  <c r="N93" i="152"/>
  <c r="BX86" i="67"/>
  <c r="G71" i="38"/>
  <c r="J71" i="75"/>
  <c r="G71" i="28"/>
  <c r="G88" i="38"/>
  <c r="J88" i="75"/>
  <c r="G88" i="28"/>
  <c r="Q126" i="65"/>
  <c r="M124" i="152"/>
  <c r="J3" i="75"/>
  <c r="G3" i="38"/>
  <c r="G3" i="28"/>
  <c r="J84" i="75"/>
  <c r="G84" i="38"/>
  <c r="G84" i="28"/>
  <c r="J51" i="75"/>
  <c r="G51" i="38"/>
  <c r="G51" i="28"/>
  <c r="G9" i="38"/>
  <c r="J9" i="75"/>
  <c r="G9" i="28"/>
  <c r="G8" i="38"/>
  <c r="J8" i="75"/>
  <c r="G8" i="28"/>
  <c r="H118" i="154"/>
  <c r="Q118" i="154" s="1"/>
  <c r="H118" i="153"/>
  <c r="Q118" i="153" s="1"/>
  <c r="H118" i="30"/>
  <c r="O118" i="30" s="1"/>
  <c r="H118" i="152"/>
  <c r="N118" i="152" s="1"/>
  <c r="H118" i="34"/>
  <c r="O118" i="34" s="1"/>
  <c r="H118" i="151"/>
  <c r="N118" i="151" s="1"/>
  <c r="O118" i="151" s="1"/>
  <c r="BZ74" i="67"/>
  <c r="BZ85" i="67"/>
  <c r="J26" i="75"/>
  <c r="G26" i="38"/>
  <c r="G26" i="28"/>
  <c r="J10" i="75"/>
  <c r="G10" i="38"/>
  <c r="G10" i="28"/>
  <c r="J6" i="75"/>
  <c r="G6" i="28"/>
  <c r="G6" i="38"/>
  <c r="BT86" i="67"/>
  <c r="BQ87" i="67"/>
  <c r="BN96" i="67"/>
  <c r="BQ86" i="67"/>
  <c r="L31" i="25"/>
  <c r="AN25" i="24"/>
  <c r="AN24" i="24"/>
  <c r="G9" i="25"/>
  <c r="AM9" i="24"/>
  <c r="AO9" i="24" s="1"/>
  <c r="BP9" i="17"/>
  <c r="BQ9" i="17" s="1"/>
  <c r="AL22" i="57" s="1"/>
  <c r="V9" i="24"/>
  <c r="X9" i="24" s="1"/>
  <c r="G7" i="25"/>
  <c r="M10" i="24"/>
  <c r="H6" i="25"/>
  <c r="K51" i="25"/>
  <c r="BO13" i="17"/>
  <c r="BP13" i="17" s="1"/>
  <c r="BQ13" i="17" s="1"/>
  <c r="AB17" i="23"/>
  <c r="I51" i="25"/>
  <c r="BO11" i="17"/>
  <c r="BP11" i="17" s="1"/>
  <c r="BQ11" i="17" s="1"/>
  <c r="AL24" i="57" s="1"/>
  <c r="C51" i="25"/>
  <c r="BO5" i="17"/>
  <c r="BP5" i="17" s="1"/>
  <c r="BQ5" i="17" s="1"/>
  <c r="AL18" i="57" s="1"/>
  <c r="H129" i="152"/>
  <c r="N129" i="152" s="1"/>
  <c r="N81" i="152"/>
  <c r="BP92" i="67"/>
  <c r="BX95" i="67"/>
  <c r="BP91" i="67"/>
  <c r="O90" i="151"/>
  <c r="BU88" i="67"/>
  <c r="BR97" i="67"/>
  <c r="H100" i="152"/>
  <c r="N100" i="152" s="1"/>
  <c r="H100" i="154"/>
  <c r="Q100" i="154" s="1"/>
  <c r="H100" i="153"/>
  <c r="Q100" i="153" s="1"/>
  <c r="H100" i="151"/>
  <c r="N100" i="151" s="1"/>
  <c r="O100" i="151" s="1"/>
  <c r="H100" i="34"/>
  <c r="H100" i="30"/>
  <c r="J83" i="75"/>
  <c r="G83" i="38"/>
  <c r="G83" i="28"/>
  <c r="G105" i="38"/>
  <c r="J105" i="75"/>
  <c r="G105" i="28"/>
  <c r="J36" i="75"/>
  <c r="G36" i="38"/>
  <c r="G36" i="28"/>
  <c r="G109" i="38"/>
  <c r="J109" i="75"/>
  <c r="G109" i="28"/>
  <c r="Q134" i="65"/>
  <c r="M132" i="152"/>
  <c r="Q128" i="65"/>
  <c r="M126" i="152"/>
  <c r="K119" i="77"/>
  <c r="H121" i="154"/>
  <c r="Q121" i="154" s="1"/>
  <c r="H121" i="152"/>
  <c r="N121" i="152" s="1"/>
  <c r="H121" i="34"/>
  <c r="O121" i="34" s="1"/>
  <c r="H121" i="30"/>
  <c r="O121" i="30" s="1"/>
  <c r="H121" i="153"/>
  <c r="Q121" i="153" s="1"/>
  <c r="H121" i="151"/>
  <c r="N121" i="151" s="1"/>
  <c r="O121" i="151" s="1"/>
  <c r="BS88" i="67"/>
  <c r="H140" i="152"/>
  <c r="N140" i="152" s="1"/>
  <c r="N92" i="152"/>
  <c r="BT95" i="67"/>
  <c r="CA81" i="67"/>
  <c r="BT94" i="67"/>
  <c r="BW92" i="67"/>
  <c r="Q84" i="154"/>
  <c r="H132" i="154"/>
  <c r="Q132" i="154" s="1"/>
  <c r="BW91" i="67"/>
  <c r="K29" i="25"/>
  <c r="G29" i="25"/>
  <c r="V10" i="24"/>
  <c r="H7" i="25"/>
  <c r="M11" i="24"/>
  <c r="I6" i="25"/>
  <c r="S7" i="25" s="1"/>
  <c r="H137" i="152"/>
  <c r="N137" i="152" s="1"/>
  <c r="N89" i="152"/>
  <c r="BT92" i="67"/>
  <c r="CA84" i="67"/>
  <c r="BS92" i="67"/>
  <c r="H134" i="154"/>
  <c r="Q134" i="154" s="1"/>
  <c r="Q86" i="154"/>
  <c r="N88" i="152"/>
  <c r="H136" i="152"/>
  <c r="N136" i="152" s="1"/>
  <c r="BZ82" i="67"/>
  <c r="O64" i="151"/>
  <c r="BZ80" i="67"/>
  <c r="J5" i="75"/>
  <c r="G5" i="38"/>
  <c r="G5" i="28"/>
  <c r="J94" i="75"/>
  <c r="G94" i="28"/>
  <c r="G94" i="38"/>
  <c r="J76" i="75"/>
  <c r="G76" i="38"/>
  <c r="G76" i="28"/>
  <c r="J11" i="75"/>
  <c r="G11" i="38"/>
  <c r="G11" i="28"/>
  <c r="J2" i="75"/>
  <c r="G2" i="38"/>
  <c r="G2" i="28"/>
  <c r="H104" i="153"/>
  <c r="Q104" i="153" s="1"/>
  <c r="H104" i="151"/>
  <c r="N104" i="151" s="1"/>
  <c r="O104" i="151" s="1"/>
  <c r="H104" i="152"/>
  <c r="N104" i="152" s="1"/>
  <c r="H104" i="34"/>
  <c r="H104" i="30"/>
  <c r="H104" i="154"/>
  <c r="Q104" i="154" s="1"/>
  <c r="H106" i="154"/>
  <c r="Q106" i="154" s="1"/>
  <c r="H106" i="153"/>
  <c r="Q106" i="153" s="1"/>
  <c r="H106" i="152"/>
  <c r="N106" i="152" s="1"/>
  <c r="H106" i="151"/>
  <c r="N106" i="151" s="1"/>
  <c r="O106" i="151" s="1"/>
  <c r="H106" i="34"/>
  <c r="H106" i="30"/>
  <c r="J68" i="75"/>
  <c r="G68" i="38"/>
  <c r="G68" i="28"/>
  <c r="G57" i="38"/>
  <c r="J57" i="75"/>
  <c r="G57" i="28"/>
  <c r="J106" i="75"/>
  <c r="G106" i="38"/>
  <c r="G106" i="28"/>
  <c r="Q130" i="65"/>
  <c r="M128" i="152"/>
  <c r="Q129" i="65"/>
  <c r="M127" i="152"/>
  <c r="G95" i="38"/>
  <c r="J95" i="75"/>
  <c r="G95" i="28"/>
  <c r="CA78" i="67"/>
  <c r="Q92" i="154"/>
  <c r="H140" i="154"/>
  <c r="Q140" i="154" s="1"/>
  <c r="BT87" i="67"/>
  <c r="BU94" i="67"/>
  <c r="BO96" i="67"/>
  <c r="N90" i="152"/>
  <c r="H138" i="152"/>
  <c r="N138" i="152" s="1"/>
  <c r="N84" i="152"/>
  <c r="H132" i="152"/>
  <c r="N132" i="152" s="1"/>
  <c r="BP95" i="67"/>
  <c r="K31" i="25"/>
  <c r="F9" i="25"/>
  <c r="AM8" i="24"/>
  <c r="AO8" i="24" s="1"/>
  <c r="BO14" i="17"/>
  <c r="BP14" i="17" s="1"/>
  <c r="L51" i="25"/>
  <c r="D9" i="25"/>
  <c r="AM6" i="24"/>
  <c r="AO6" i="24" s="1"/>
  <c r="D31" i="25"/>
  <c r="J101" i="75"/>
  <c r="G101" i="38"/>
  <c r="G101" i="28"/>
  <c r="H137" i="154"/>
  <c r="Q137" i="154" s="1"/>
  <c r="Q89" i="154"/>
  <c r="H129" i="154"/>
  <c r="Q129" i="154" s="1"/>
  <c r="Q81" i="154"/>
  <c r="G72" i="38"/>
  <c r="G72" i="28"/>
  <c r="J72" i="75"/>
  <c r="BW89" i="67"/>
  <c r="BQ92" i="67"/>
  <c r="G15" i="38"/>
  <c r="J15" i="75"/>
  <c r="G15" i="28"/>
  <c r="BX96" i="67"/>
  <c r="BR91" i="67"/>
  <c r="O52" i="151"/>
  <c r="BR90" i="67"/>
  <c r="BS97" i="67"/>
  <c r="H141" i="154"/>
  <c r="Q141" i="154" s="1"/>
  <c r="Q93" i="154"/>
  <c r="BR89" i="67"/>
  <c r="J99" i="75"/>
  <c r="G99" i="38"/>
  <c r="G99" i="28"/>
  <c r="J74" i="75"/>
  <c r="G74" i="38"/>
  <c r="G74" i="28"/>
  <c r="G47" i="38"/>
  <c r="J47" i="75"/>
  <c r="G47" i="28"/>
  <c r="J64" i="154"/>
  <c r="S64" i="154" s="1"/>
  <c r="J64" i="153"/>
  <c r="S64" i="153" s="1"/>
  <c r="J73" i="154"/>
  <c r="S73" i="154" s="1"/>
  <c r="J73" i="153"/>
  <c r="S73" i="153" s="1"/>
  <c r="J67" i="153"/>
  <c r="S67" i="153" s="1"/>
  <c r="J67" i="154"/>
  <c r="S67" i="154" s="1"/>
  <c r="BQ97" i="67"/>
  <c r="N82" i="152"/>
  <c r="H130" i="152"/>
  <c r="N130" i="152" s="1"/>
  <c r="J42" i="75"/>
  <c r="G42" i="38"/>
  <c r="G42" i="28"/>
  <c r="CA74" i="67"/>
  <c r="H124" i="152"/>
  <c r="N124" i="152" s="1"/>
  <c r="N76" i="152"/>
  <c r="BX91" i="67"/>
  <c r="BN88" i="67"/>
  <c r="J9" i="25"/>
  <c r="T10" i="25" s="1"/>
  <c r="AM12" i="24"/>
  <c r="AO12" i="24" s="1"/>
  <c r="E51" i="25"/>
  <c r="BO7" i="17"/>
  <c r="BP7" i="17" s="1"/>
  <c r="BQ7" i="17" s="1"/>
  <c r="AL20" i="57" s="1"/>
  <c r="AB6" i="23"/>
  <c r="Q83" i="154"/>
  <c r="H131" i="154"/>
  <c r="Q131" i="154" s="1"/>
  <c r="CA82" i="67"/>
  <c r="O98" i="151"/>
  <c r="O113" i="151"/>
  <c r="N85" i="152"/>
  <c r="H133" i="152"/>
  <c r="N133" i="152" s="1"/>
  <c r="H125" i="152"/>
  <c r="N125" i="152" s="1"/>
  <c r="N77" i="152"/>
  <c r="G23" i="38"/>
  <c r="J23" i="75"/>
  <c r="G23" i="28"/>
  <c r="J85" i="75"/>
  <c r="G85" i="38"/>
  <c r="G85" i="28"/>
  <c r="J82" i="75"/>
  <c r="G82" i="38"/>
  <c r="G82" i="28"/>
  <c r="G31" i="38"/>
  <c r="J31" i="75"/>
  <c r="G31" i="28"/>
  <c r="H114" i="153"/>
  <c r="Q114" i="153" s="1"/>
  <c r="H114" i="154"/>
  <c r="Q114" i="154" s="1"/>
  <c r="H114" i="152"/>
  <c r="N114" i="152" s="1"/>
  <c r="H114" i="151"/>
  <c r="N114" i="151" s="1"/>
  <c r="O114" i="151" s="1"/>
  <c r="H114" i="30"/>
  <c r="H114" i="34"/>
  <c r="J65" i="154"/>
  <c r="S65" i="154" s="1"/>
  <c r="J65" i="153"/>
  <c r="S65" i="153" s="1"/>
  <c r="H99" i="154"/>
  <c r="Q99" i="154" s="1"/>
  <c r="H99" i="153"/>
  <c r="Q99" i="153" s="1"/>
  <c r="H99" i="151"/>
  <c r="N99" i="151" s="1"/>
  <c r="O99" i="151" s="1"/>
  <c r="H99" i="34"/>
  <c r="H99" i="152"/>
  <c r="N99" i="152" s="1"/>
  <c r="H99" i="30"/>
  <c r="J19" i="75"/>
  <c r="G19" i="38"/>
  <c r="G19" i="28"/>
  <c r="J102" i="75"/>
  <c r="G102" i="38"/>
  <c r="G102" i="28"/>
  <c r="Q131" i="65"/>
  <c r="M129" i="152"/>
  <c r="J69" i="75"/>
  <c r="G69" i="38"/>
  <c r="G69" i="28"/>
  <c r="Q82" i="154"/>
  <c r="H130" i="154"/>
  <c r="Q130" i="154" s="1"/>
  <c r="BO89" i="67"/>
  <c r="BS86" i="67"/>
  <c r="BQ95" i="67"/>
  <c r="H138" i="154"/>
  <c r="Q138" i="154" s="1"/>
  <c r="Q90" i="154"/>
  <c r="Q76" i="154"/>
  <c r="H124" i="154"/>
  <c r="Q124" i="154" s="1"/>
  <c r="BO95" i="67"/>
  <c r="L28" i="25"/>
  <c r="N24" i="24"/>
  <c r="N25" i="24"/>
  <c r="G31" i="25"/>
  <c r="M6" i="24"/>
  <c r="D6" i="25"/>
  <c r="C6" i="25"/>
  <c r="M5" i="24"/>
  <c r="D29" i="25"/>
  <c r="BO86" i="67"/>
  <c r="J52" i="75"/>
  <c r="G52" i="38"/>
  <c r="G52" i="28"/>
  <c r="H126" i="154"/>
  <c r="Q126" i="154" s="1"/>
  <c r="Q78" i="154"/>
  <c r="BV90" i="67"/>
  <c r="G113" i="38"/>
  <c r="G113" i="28"/>
  <c r="J113" i="75"/>
  <c r="BU97" i="67"/>
  <c r="H128" i="152"/>
  <c r="N128" i="152" s="1"/>
  <c r="N80" i="152"/>
  <c r="BT89" i="67"/>
  <c r="Q85" i="154"/>
  <c r="H133" i="154"/>
  <c r="Q133" i="154" s="1"/>
  <c r="BT96" i="67"/>
  <c r="S11" i="67"/>
  <c r="X7" i="67"/>
  <c r="X3" i="67"/>
  <c r="X10" i="67"/>
  <c r="S6" i="67"/>
  <c r="D6" i="151" s="1"/>
  <c r="P6" i="151" s="1"/>
  <c r="Q6" i="151" s="1"/>
  <c r="S10" i="67"/>
  <c r="D10" i="151" s="1"/>
  <c r="P10" i="151" s="1"/>
  <c r="Q10" i="151" s="1"/>
  <c r="X6" i="67"/>
  <c r="X13" i="67"/>
  <c r="X9" i="67"/>
  <c r="S5" i="67"/>
  <c r="S13" i="67"/>
  <c r="S9" i="67"/>
  <c r="X5" i="67"/>
  <c r="D5" i="153" s="1"/>
  <c r="X12" i="67"/>
  <c r="X8" i="67"/>
  <c r="S4" i="67"/>
  <c r="S12" i="67"/>
  <c r="S8" i="67"/>
  <c r="X4" i="67"/>
  <c r="X11" i="67"/>
  <c r="S7" i="67"/>
  <c r="D7" i="152" s="1"/>
  <c r="S3" i="67"/>
  <c r="X2" i="67"/>
  <c r="AX5" i="17"/>
  <c r="S2" i="67"/>
  <c r="AM5" i="17"/>
  <c r="K116" i="77"/>
  <c r="EU104" i="4"/>
  <c r="EV104" i="4"/>
  <c r="EV115" i="4"/>
  <c r="EU115" i="4"/>
  <c r="EV111" i="4"/>
  <c r="EU111" i="4"/>
  <c r="EU100" i="4"/>
  <c r="EV100" i="4"/>
  <c r="EU114" i="4"/>
  <c r="EV114" i="4"/>
  <c r="EU101" i="4"/>
  <c r="EV101" i="4"/>
  <c r="EU108" i="4"/>
  <c r="EV108" i="4"/>
  <c r="EU98" i="4"/>
  <c r="EV98" i="4"/>
  <c r="EU113" i="4"/>
  <c r="EV113" i="4"/>
  <c r="EU110" i="4"/>
  <c r="EV110" i="4"/>
  <c r="EV105" i="4"/>
  <c r="EU105" i="4"/>
  <c r="EV102" i="4"/>
  <c r="EU102" i="4"/>
  <c r="EV109" i="4"/>
  <c r="EU109" i="4"/>
  <c r="EU106" i="4"/>
  <c r="EV106" i="4"/>
  <c r="EV103" i="4"/>
  <c r="EU103" i="4"/>
  <c r="EU99" i="4"/>
  <c r="EV99" i="4"/>
  <c r="EV112" i="4"/>
  <c r="EU112" i="4"/>
  <c r="EV107" i="4"/>
  <c r="EU107" i="4"/>
  <c r="EV121" i="4"/>
  <c r="EU121" i="4"/>
  <c r="EU120" i="4"/>
  <c r="EV120" i="4"/>
  <c r="EU119" i="4"/>
  <c r="EV119" i="4"/>
  <c r="EU118" i="4"/>
  <c r="EV118" i="4"/>
  <c r="EU117" i="4"/>
  <c r="EV117" i="4"/>
  <c r="EV116" i="4"/>
  <c r="EU116" i="4"/>
  <c r="C45" i="72"/>
  <c r="I46" i="72"/>
  <c r="D138" i="65"/>
  <c r="N138" i="65" s="1"/>
  <c r="G146" i="65"/>
  <c r="D136" i="65"/>
  <c r="N136" i="65" s="1"/>
  <c r="D145" i="65"/>
  <c r="N145" i="65" s="1"/>
  <c r="G137" i="65"/>
  <c r="D137" i="65"/>
  <c r="N137" i="65" s="1"/>
  <c r="G144" i="65"/>
  <c r="E144" i="65"/>
  <c r="O144" i="65" s="1"/>
  <c r="E143" i="65"/>
  <c r="O143" i="65" s="1"/>
  <c r="E147" i="65"/>
  <c r="O147" i="65" s="1"/>
  <c r="E139" i="65"/>
  <c r="O139" i="65" s="1"/>
  <c r="C10" i="25"/>
  <c r="C8" i="74"/>
  <c r="C8" i="25"/>
  <c r="F147" i="65"/>
  <c r="E146" i="65"/>
  <c r="O146" i="65" s="1"/>
  <c r="F136" i="65"/>
  <c r="F137" i="65"/>
  <c r="F141" i="65"/>
  <c r="G139" i="65"/>
  <c r="G136" i="65"/>
  <c r="D146" i="65"/>
  <c r="N146" i="65" s="1"/>
  <c r="D144" i="65"/>
  <c r="N144" i="65" s="1"/>
  <c r="F138" i="65"/>
  <c r="G145" i="65"/>
  <c r="G138" i="65"/>
  <c r="F146" i="65"/>
  <c r="F145" i="65"/>
  <c r="G140" i="65"/>
  <c r="E140" i="65"/>
  <c r="O140" i="65" s="1"/>
  <c r="G141" i="65"/>
  <c r="D142" i="65"/>
  <c r="N142" i="65" s="1"/>
  <c r="E141" i="65"/>
  <c r="O141" i="65" s="1"/>
  <c r="E136" i="65"/>
  <c r="O136" i="65" s="1"/>
  <c r="G147" i="65"/>
  <c r="F144" i="65"/>
  <c r="F139" i="65"/>
  <c r="D147" i="65"/>
  <c r="N147" i="65" s="1"/>
  <c r="E137" i="65"/>
  <c r="O137" i="65" s="1"/>
  <c r="D143" i="65"/>
  <c r="N143" i="65" s="1"/>
  <c r="E138" i="65"/>
  <c r="O138" i="65" s="1"/>
  <c r="F142" i="65"/>
  <c r="G142" i="65"/>
  <c r="F140" i="65"/>
  <c r="G143" i="65"/>
  <c r="F143" i="65"/>
  <c r="D139" i="65"/>
  <c r="N139" i="65" s="1"/>
  <c r="D140" i="65"/>
  <c r="N140" i="65" s="1"/>
  <c r="CB80" i="67"/>
  <c r="L80" i="156" s="1"/>
  <c r="BY94" i="67"/>
  <c r="K101" i="77"/>
  <c r="K109" i="77"/>
  <c r="CB75" i="67"/>
  <c r="L75" i="156" s="1"/>
  <c r="K102" i="77"/>
  <c r="BY95" i="67"/>
  <c r="K105" i="77"/>
  <c r="CB85" i="67"/>
  <c r="L85" i="156" s="1"/>
  <c r="BY91" i="67"/>
  <c r="K108" i="77"/>
  <c r="CB84" i="67"/>
  <c r="L84" i="156" s="1"/>
  <c r="BY87" i="67"/>
  <c r="BY90" i="67"/>
  <c r="K110" i="77"/>
  <c r="CB78" i="67"/>
  <c r="L78" i="156" s="1"/>
  <c r="K104" i="77"/>
  <c r="CB81" i="67"/>
  <c r="L81" i="156" s="1"/>
  <c r="CB76" i="67"/>
  <c r="L76" i="156" s="1"/>
  <c r="K103" i="77"/>
  <c r="CB79" i="67"/>
  <c r="L79" i="156" s="1"/>
  <c r="BY92" i="67"/>
  <c r="K115" i="77"/>
  <c r="K113" i="77"/>
  <c r="CB74" i="67"/>
  <c r="L74" i="156" s="1"/>
  <c r="BY86" i="67"/>
  <c r="BY97" i="67"/>
  <c r="CB83" i="67"/>
  <c r="L83" i="156" s="1"/>
  <c r="BY89" i="67"/>
  <c r="K106" i="77"/>
  <c r="K111" i="77"/>
  <c r="CB77" i="67"/>
  <c r="L77" i="156" s="1"/>
  <c r="BY88" i="67"/>
  <c r="K100" i="77"/>
  <c r="K107" i="77"/>
  <c r="CB82" i="67"/>
  <c r="L82" i="156" s="1"/>
  <c r="K99" i="77"/>
  <c r="K114" i="77"/>
  <c r="BY93" i="67"/>
  <c r="K98" i="77"/>
  <c r="BY96" i="67"/>
  <c r="K112" i="77"/>
  <c r="L38" i="148"/>
  <c r="L39" i="148"/>
  <c r="L40" i="148"/>
  <c r="L41" i="148"/>
  <c r="L42" i="148"/>
  <c r="L43" i="148"/>
  <c r="L44" i="148"/>
  <c r="L45" i="148"/>
  <c r="L46" i="148"/>
  <c r="K60" i="148"/>
  <c r="K58" i="148"/>
  <c r="K57" i="148"/>
  <c r="K56" i="148"/>
  <c r="K55" i="148"/>
  <c r="K54" i="148"/>
  <c r="K53" i="148"/>
  <c r="K52" i="148"/>
  <c r="K51" i="148"/>
  <c r="K49" i="148"/>
  <c r="K48" i="148"/>
  <c r="K47" i="148"/>
  <c r="K46" i="148"/>
  <c r="K45" i="148"/>
  <c r="K44" i="148"/>
  <c r="K43" i="148"/>
  <c r="K42" i="148"/>
  <c r="K41" i="148"/>
  <c r="K39" i="148"/>
  <c r="K38" i="148"/>
  <c r="K37" i="148"/>
  <c r="K36" i="148"/>
  <c r="K35" i="148"/>
  <c r="K34" i="148"/>
  <c r="K33" i="148"/>
  <c r="K32" i="148"/>
  <c r="K31" i="148"/>
  <c r="K30" i="148"/>
  <c r="K28" i="148"/>
  <c r="K27" i="148"/>
  <c r="K26" i="148"/>
  <c r="K25" i="148"/>
  <c r="K24" i="148"/>
  <c r="K23" i="148"/>
  <c r="K22" i="148"/>
  <c r="K21" i="148"/>
  <c r="K20" i="148"/>
  <c r="K19" i="148"/>
  <c r="K18" i="148"/>
  <c r="K16" i="148"/>
  <c r="K15" i="148"/>
  <c r="K14" i="148"/>
  <c r="K13" i="148"/>
  <c r="K12" i="148"/>
  <c r="K11" i="148"/>
  <c r="K10" i="148"/>
  <c r="K9" i="148"/>
  <c r="K8" i="148"/>
  <c r="K7" i="148"/>
  <c r="K6" i="148"/>
  <c r="O12" i="148"/>
  <c r="N12" i="148"/>
  <c r="M12" i="148"/>
  <c r="O11" i="148"/>
  <c r="N11" i="148"/>
  <c r="M11" i="148"/>
  <c r="O10" i="148"/>
  <c r="N10" i="148"/>
  <c r="M10" i="148"/>
  <c r="O9" i="148"/>
  <c r="N9" i="148"/>
  <c r="M9" i="148"/>
  <c r="O8" i="148"/>
  <c r="N8" i="148"/>
  <c r="M8" i="148"/>
  <c r="O7" i="148"/>
  <c r="N7" i="148"/>
  <c r="M7" i="148"/>
  <c r="X24" i="23"/>
  <c r="X25" i="23"/>
  <c r="X27" i="23"/>
  <c r="AF27" i="23"/>
  <c r="D25" i="23"/>
  <c r="W2" i="25"/>
  <c r="X2" i="25"/>
  <c r="V2" i="25"/>
  <c r="R5" i="25"/>
  <c r="R4" i="25"/>
  <c r="V24" i="24" l="1"/>
  <c r="Y29" i="57"/>
  <c r="Y23" i="57"/>
  <c r="D6" i="152"/>
  <c r="Y19" i="57"/>
  <c r="AO18" i="24"/>
  <c r="X33" i="57"/>
  <c r="Y26" i="57"/>
  <c r="Y21" i="57"/>
  <c r="Y28" i="57"/>
  <c r="Y27" i="57"/>
  <c r="Y20" i="57"/>
  <c r="Y22" i="57"/>
  <c r="Y24" i="57"/>
  <c r="Y25" i="57"/>
  <c r="Y18" i="57"/>
  <c r="AO14" i="57"/>
  <c r="P146" i="65"/>
  <c r="H144" i="155"/>
  <c r="N144" i="155" s="1"/>
  <c r="G144" i="152"/>
  <c r="P141" i="65"/>
  <c r="H139" i="155"/>
  <c r="N139" i="155" s="1"/>
  <c r="G139" i="152"/>
  <c r="P137" i="65"/>
  <c r="H135" i="155"/>
  <c r="N135" i="155" s="1"/>
  <c r="G135" i="152"/>
  <c r="P143" i="65"/>
  <c r="H141" i="155"/>
  <c r="N141" i="155" s="1"/>
  <c r="G141" i="152"/>
  <c r="P138" i="65"/>
  <c r="H136" i="155"/>
  <c r="N136" i="155" s="1"/>
  <c r="G136" i="152"/>
  <c r="P139" i="65"/>
  <c r="H137" i="155"/>
  <c r="N137" i="155" s="1"/>
  <c r="G137" i="152"/>
  <c r="P136" i="65"/>
  <c r="H134" i="155"/>
  <c r="N134" i="155" s="1"/>
  <c r="G134" i="152"/>
  <c r="M134" i="152" s="1"/>
  <c r="X32" i="57"/>
  <c r="O32" i="57"/>
  <c r="P145" i="65"/>
  <c r="H143" i="155"/>
  <c r="N143" i="155" s="1"/>
  <c r="G143" i="152"/>
  <c r="P144" i="65"/>
  <c r="H142" i="155"/>
  <c r="N142" i="155" s="1"/>
  <c r="G142" i="152"/>
  <c r="P140" i="65"/>
  <c r="H138" i="155"/>
  <c r="N138" i="155" s="1"/>
  <c r="G138" i="152"/>
  <c r="P142" i="65"/>
  <c r="H140" i="155"/>
  <c r="N140" i="155" s="1"/>
  <c r="G140" i="152"/>
  <c r="P147" i="65"/>
  <c r="H145" i="155"/>
  <c r="N145" i="155" s="1"/>
  <c r="G145" i="152"/>
  <c r="AL32" i="57"/>
  <c r="AN32" i="57" s="1"/>
  <c r="AN10" i="57"/>
  <c r="DS6" i="4"/>
  <c r="AL33" i="57"/>
  <c r="AN33" i="57" s="1"/>
  <c r="AN5" i="57"/>
  <c r="AO8" i="57"/>
  <c r="AO9" i="57"/>
  <c r="AO13" i="57"/>
  <c r="X18" i="57"/>
  <c r="X19" i="57" s="1"/>
  <c r="X20" i="57" s="1"/>
  <c r="X21" i="57" s="1"/>
  <c r="X22" i="57" s="1"/>
  <c r="X23" i="57" s="1"/>
  <c r="X24" i="57" s="1"/>
  <c r="X25" i="57" s="1"/>
  <c r="X26" i="57" s="1"/>
  <c r="X27" i="57" s="1"/>
  <c r="X28" i="57" s="1"/>
  <c r="X29" i="57" s="1"/>
  <c r="AM18" i="24"/>
  <c r="AL26" i="57"/>
  <c r="D3" i="152"/>
  <c r="DS10" i="4"/>
  <c r="V10" i="25"/>
  <c r="V8" i="25"/>
  <c r="D8" i="156"/>
  <c r="D9" i="156"/>
  <c r="D12" i="155"/>
  <c r="D4" i="155"/>
  <c r="D13" i="156"/>
  <c r="D6" i="156"/>
  <c r="D11" i="155"/>
  <c r="D3" i="155"/>
  <c r="D12" i="156"/>
  <c r="D10" i="155"/>
  <c r="D2" i="155"/>
  <c r="D7" i="155"/>
  <c r="D5" i="156"/>
  <c r="D6" i="155"/>
  <c r="N41" i="148"/>
  <c r="D2" i="156"/>
  <c r="D11" i="156"/>
  <c r="D9" i="155"/>
  <c r="D10" i="156"/>
  <c r="AQ47" i="17"/>
  <c r="AN47" i="17"/>
  <c r="D4" i="152"/>
  <c r="D4" i="156"/>
  <c r="D13" i="155"/>
  <c r="D3" i="156"/>
  <c r="BB47" i="17"/>
  <c r="AY47" i="17"/>
  <c r="D6" i="154"/>
  <c r="D8" i="155"/>
  <c r="D5" i="155"/>
  <c r="D7" i="156"/>
  <c r="DS3" i="4"/>
  <c r="D6" i="153"/>
  <c r="DS7" i="4"/>
  <c r="D7" i="151"/>
  <c r="P7" i="151" s="1"/>
  <c r="Q7" i="151" s="1"/>
  <c r="X25" i="24"/>
  <c r="D8" i="154"/>
  <c r="D13" i="153"/>
  <c r="D9" i="151"/>
  <c r="P9" i="151" s="1"/>
  <c r="Q9" i="151" s="1"/>
  <c r="D4" i="153"/>
  <c r="DS4" i="4"/>
  <c r="D11" i="152"/>
  <c r="D4" i="151"/>
  <c r="P4" i="151" s="1"/>
  <c r="Q4" i="151" s="1"/>
  <c r="D11" i="153"/>
  <c r="D5" i="154"/>
  <c r="D12" i="154"/>
  <c r="D7" i="153"/>
  <c r="D4" i="154"/>
  <c r="DS8" i="4"/>
  <c r="DS13" i="4"/>
  <c r="X14" i="24"/>
  <c r="Y14" i="24" s="1"/>
  <c r="DS11" i="4"/>
  <c r="D11" i="151"/>
  <c r="P11" i="151" s="1"/>
  <c r="Q11" i="151" s="1"/>
  <c r="D3" i="151"/>
  <c r="P3" i="151" s="1"/>
  <c r="Q3" i="151" s="1"/>
  <c r="D11" i="154"/>
  <c r="D8" i="151"/>
  <c r="P8" i="151" s="1"/>
  <c r="Q8" i="151" s="1"/>
  <c r="AP9" i="24"/>
  <c r="D8" i="153"/>
  <c r="D13" i="151"/>
  <c r="P13" i="151" s="1"/>
  <c r="Q13" i="151" s="1"/>
  <c r="D9" i="152"/>
  <c r="D13" i="152"/>
  <c r="DS9" i="4"/>
  <c r="D13" i="154"/>
  <c r="D9" i="153"/>
  <c r="D9" i="154"/>
  <c r="D10" i="152"/>
  <c r="AP7" i="24"/>
  <c r="BP15" i="17"/>
  <c r="BQ14" i="17"/>
  <c r="AL27" i="57" s="1"/>
  <c r="AP12" i="24"/>
  <c r="AP13" i="24"/>
  <c r="AP14" i="24"/>
  <c r="Q136" i="65"/>
  <c r="BT99" i="67"/>
  <c r="BW104" i="67"/>
  <c r="BR109" i="67"/>
  <c r="BV109" i="67"/>
  <c r="CA91" i="67"/>
  <c r="BS103" i="67"/>
  <c r="BV105" i="67"/>
  <c r="BV102" i="67"/>
  <c r="BX108" i="67"/>
  <c r="BT104" i="67"/>
  <c r="J76" i="153"/>
  <c r="S76" i="153" s="1"/>
  <c r="J76" i="154"/>
  <c r="S76" i="154" s="1"/>
  <c r="Q139" i="65"/>
  <c r="M137" i="152"/>
  <c r="Q137" i="65"/>
  <c r="M135" i="152"/>
  <c r="D7" i="154"/>
  <c r="BT108" i="67"/>
  <c r="BS98" i="67"/>
  <c r="BZ90" i="67"/>
  <c r="BP109" i="67"/>
  <c r="BN103" i="67"/>
  <c r="BP108" i="67"/>
  <c r="BW98" i="67"/>
  <c r="BP105" i="67"/>
  <c r="BW108" i="67"/>
  <c r="BQ103" i="67"/>
  <c r="BS108" i="67"/>
  <c r="BN107" i="67"/>
  <c r="BO101" i="67"/>
  <c r="BT106" i="67"/>
  <c r="BQ98" i="67"/>
  <c r="BO99" i="67"/>
  <c r="BR100" i="67"/>
  <c r="AP10" i="24"/>
  <c r="AP11" i="24"/>
  <c r="BX106" i="67"/>
  <c r="BS99" i="67"/>
  <c r="BO109" i="67"/>
  <c r="CA87" i="67"/>
  <c r="BZ89" i="67"/>
  <c r="BQ100" i="67"/>
  <c r="BP99" i="67"/>
  <c r="CA89" i="67"/>
  <c r="BV101" i="67"/>
  <c r="BX102" i="67"/>
  <c r="CA92" i="67"/>
  <c r="CA88" i="67"/>
  <c r="BU103" i="67"/>
  <c r="D10" i="154"/>
  <c r="J81" i="153"/>
  <c r="S81" i="153" s="1"/>
  <c r="J81" i="154"/>
  <c r="S81" i="154" s="1"/>
  <c r="Q146" i="65"/>
  <c r="M144" i="152"/>
  <c r="D10" i="153"/>
  <c r="BX98" i="67"/>
  <c r="BR108" i="67"/>
  <c r="BX99" i="67"/>
  <c r="BQ101" i="67"/>
  <c r="BS106" i="67"/>
  <c r="BZ94" i="67"/>
  <c r="BR101" i="67"/>
  <c r="BP107" i="67"/>
  <c r="CA90" i="67"/>
  <c r="CA93" i="67"/>
  <c r="BP103" i="67"/>
  <c r="BN108" i="67"/>
  <c r="BT103" i="67"/>
  <c r="BV104" i="67"/>
  <c r="BU101" i="67"/>
  <c r="BW107" i="67"/>
  <c r="BQ108" i="67"/>
  <c r="BV100" i="67"/>
  <c r="BZ91" i="67"/>
  <c r="BN102" i="67"/>
  <c r="BN106" i="67"/>
  <c r="BO105" i="67"/>
  <c r="BV106" i="67"/>
  <c r="J84" i="153"/>
  <c r="S84" i="153" s="1"/>
  <c r="J84" i="154"/>
  <c r="S84" i="154" s="1"/>
  <c r="CA86" i="67"/>
  <c r="BU100" i="67"/>
  <c r="BP102" i="67"/>
  <c r="J74" i="154"/>
  <c r="S74" i="154" s="1"/>
  <c r="J74" i="153"/>
  <c r="S74" i="153" s="1"/>
  <c r="J85" i="153"/>
  <c r="S85" i="153" s="1"/>
  <c r="J85" i="154"/>
  <c r="S85" i="154" s="1"/>
  <c r="J80" i="153"/>
  <c r="S80" i="153" s="1"/>
  <c r="J80" i="154"/>
  <c r="S80" i="154" s="1"/>
  <c r="Q141" i="65"/>
  <c r="M139" i="152"/>
  <c r="D8" i="152"/>
  <c r="BT101" i="67"/>
  <c r="BW106" i="67"/>
  <c r="BN104" i="67"/>
  <c r="AM25" i="24"/>
  <c r="AO25" i="24" s="1"/>
  <c r="AM24" i="24"/>
  <c r="AO24" i="24" s="1"/>
  <c r="BV107" i="67"/>
  <c r="BX101" i="67"/>
  <c r="BT100" i="67"/>
  <c r="BZ87" i="67"/>
  <c r="BQ106" i="67"/>
  <c r="J82" i="154"/>
  <c r="S82" i="154" s="1"/>
  <c r="J82" i="153"/>
  <c r="S82" i="153" s="1"/>
  <c r="BV103" i="67"/>
  <c r="J78" i="154"/>
  <c r="S78" i="154" s="1"/>
  <c r="J78" i="153"/>
  <c r="S78" i="153" s="1"/>
  <c r="BO98" i="67"/>
  <c r="BQ104" i="67"/>
  <c r="AP8" i="24"/>
  <c r="Y9" i="24"/>
  <c r="BQ99" i="67"/>
  <c r="BS101" i="67"/>
  <c r="BQ102" i="67"/>
  <c r="BT109" i="67"/>
  <c r="BW105" i="67"/>
  <c r="BW99" i="67"/>
  <c r="BO107" i="67"/>
  <c r="BS109" i="67"/>
  <c r="BZ97" i="67"/>
  <c r="BQ105" i="67"/>
  <c r="BO100" i="67"/>
  <c r="BZ93" i="67"/>
  <c r="BX105" i="67"/>
  <c r="BP100" i="67"/>
  <c r="BS102" i="67"/>
  <c r="BR98" i="67"/>
  <c r="BR106" i="67"/>
  <c r="I104" i="65"/>
  <c r="AJ101" i="67"/>
  <c r="W18" i="67"/>
  <c r="R26" i="67"/>
  <c r="W34" i="67"/>
  <c r="R42" i="67"/>
  <c r="W50" i="67"/>
  <c r="W54" i="67"/>
  <c r="R58" i="67"/>
  <c r="R62" i="67"/>
  <c r="W66" i="67"/>
  <c r="R18" i="67"/>
  <c r="W26" i="67"/>
  <c r="R34" i="67"/>
  <c r="W42" i="67"/>
  <c r="R50" i="67"/>
  <c r="R54" i="67"/>
  <c r="W58" i="67"/>
  <c r="W62" i="67"/>
  <c r="R66" i="67"/>
  <c r="R73" i="67"/>
  <c r="W19" i="67"/>
  <c r="R27" i="67"/>
  <c r="W35" i="67"/>
  <c r="R43" i="67"/>
  <c r="W70" i="67"/>
  <c r="W73" i="67"/>
  <c r="R19" i="67"/>
  <c r="W27" i="67"/>
  <c r="R35" i="67"/>
  <c r="W43" i="67"/>
  <c r="R70" i="67"/>
  <c r="W20" i="67"/>
  <c r="R28" i="67"/>
  <c r="W36" i="67"/>
  <c r="R44" i="67"/>
  <c r="W51" i="67"/>
  <c r="W55" i="67"/>
  <c r="R59" i="67"/>
  <c r="R63" i="67"/>
  <c r="W67" i="67"/>
  <c r="R20" i="67"/>
  <c r="W28" i="67"/>
  <c r="R36" i="67"/>
  <c r="W44" i="67"/>
  <c r="R51" i="67"/>
  <c r="R55" i="67"/>
  <c r="W59" i="67"/>
  <c r="W63" i="67"/>
  <c r="R67" i="67"/>
  <c r="W21" i="67"/>
  <c r="R29" i="67"/>
  <c r="W37" i="67"/>
  <c r="R45" i="67"/>
  <c r="R21" i="67"/>
  <c r="W29" i="67"/>
  <c r="R37" i="67"/>
  <c r="W45" i="67"/>
  <c r="W71" i="67"/>
  <c r="R14" i="67"/>
  <c r="W22" i="67"/>
  <c r="R30" i="67"/>
  <c r="W38" i="67"/>
  <c r="R46" i="67"/>
  <c r="W52" i="67"/>
  <c r="R56" i="67"/>
  <c r="R60" i="67"/>
  <c r="W64" i="67"/>
  <c r="W68" i="67"/>
  <c r="R71" i="67"/>
  <c r="W14" i="67"/>
  <c r="R22" i="67"/>
  <c r="W30" i="67"/>
  <c r="R38" i="67"/>
  <c r="W46" i="67"/>
  <c r="R52" i="67"/>
  <c r="W56" i="67"/>
  <c r="W60" i="67"/>
  <c r="R64" i="67"/>
  <c r="R68" i="67"/>
  <c r="R15" i="67"/>
  <c r="W23" i="67"/>
  <c r="R31" i="67"/>
  <c r="W39" i="67"/>
  <c r="R47" i="67"/>
  <c r="W15" i="67"/>
  <c r="R23" i="67"/>
  <c r="W31" i="67"/>
  <c r="R39" i="67"/>
  <c r="W47" i="67"/>
  <c r="W16" i="67"/>
  <c r="R24" i="67"/>
  <c r="W32" i="67"/>
  <c r="R40" i="67"/>
  <c r="W48" i="67"/>
  <c r="W53" i="67"/>
  <c r="R57" i="67"/>
  <c r="R61" i="67"/>
  <c r="W65" i="67"/>
  <c r="R72" i="67"/>
  <c r="R16" i="67"/>
  <c r="W40" i="67"/>
  <c r="R53" i="67"/>
  <c r="W61" i="67"/>
  <c r="W69" i="67"/>
  <c r="W72" i="67"/>
  <c r="W24" i="67"/>
  <c r="R32" i="67"/>
  <c r="R48" i="67"/>
  <c r="W57" i="67"/>
  <c r="R65" i="67"/>
  <c r="W17" i="67"/>
  <c r="R25" i="67"/>
  <c r="W33" i="67"/>
  <c r="R41" i="67"/>
  <c r="W49" i="67"/>
  <c r="R69" i="67"/>
  <c r="R17" i="67"/>
  <c r="W25" i="67"/>
  <c r="R33" i="67"/>
  <c r="W41" i="67"/>
  <c r="R49" i="67"/>
  <c r="Q140" i="65"/>
  <c r="M138" i="152"/>
  <c r="BU109" i="67"/>
  <c r="Y13" i="24"/>
  <c r="BZ96" i="67"/>
  <c r="BV108" i="67"/>
  <c r="BU104" i="67"/>
  <c r="BO103" i="67"/>
  <c r="BT102" i="67"/>
  <c r="J83" i="153"/>
  <c r="S83" i="153" s="1"/>
  <c r="J83" i="154"/>
  <c r="S83" i="154" s="1"/>
  <c r="J77" i="153"/>
  <c r="S77" i="153" s="1"/>
  <c r="J77" i="154"/>
  <c r="S77" i="154" s="1"/>
  <c r="D5" i="152"/>
  <c r="DS5" i="4"/>
  <c r="D12" i="152"/>
  <c r="Q138" i="65"/>
  <c r="M136" i="152"/>
  <c r="D5" i="151"/>
  <c r="P5" i="151" s="1"/>
  <c r="Q5" i="151" s="1"/>
  <c r="DS12" i="4"/>
  <c r="Y8" i="24"/>
  <c r="BR102" i="67"/>
  <c r="BW101" i="67"/>
  <c r="BO108" i="67"/>
  <c r="BP104" i="67"/>
  <c r="BT98" i="67"/>
  <c r="BW100" i="67"/>
  <c r="BR99" i="67"/>
  <c r="BV99" i="67"/>
  <c r="BR104" i="67"/>
  <c r="BX104" i="67"/>
  <c r="BN99" i="67"/>
  <c r="BV98" i="67"/>
  <c r="BT107" i="67"/>
  <c r="BX107" i="67"/>
  <c r="BS104" i="67"/>
  <c r="BW103" i="67"/>
  <c r="BS100" i="67"/>
  <c r="BZ86" i="67"/>
  <c r="BR105" i="67"/>
  <c r="BR107" i="67"/>
  <c r="BX100" i="67"/>
  <c r="BO106" i="67"/>
  <c r="BW109" i="67"/>
  <c r="BS105" i="67"/>
  <c r="BP98" i="67"/>
  <c r="CA95" i="67"/>
  <c r="BU108" i="67"/>
  <c r="CA97" i="67"/>
  <c r="BQ107" i="67"/>
  <c r="AO19" i="24"/>
  <c r="AO20" i="24" s="1"/>
  <c r="AO21" i="24" s="1"/>
  <c r="X10" i="24"/>
  <c r="Y10" i="24" s="1"/>
  <c r="BZ95" i="67"/>
  <c r="BX109" i="67"/>
  <c r="BO102" i="67"/>
  <c r="BP101" i="67"/>
  <c r="BN98" i="67"/>
  <c r="BU99" i="67"/>
  <c r="Q143" i="65"/>
  <c r="M141" i="152"/>
  <c r="D12" i="151"/>
  <c r="P12" i="151" s="1"/>
  <c r="Q12" i="151" s="1"/>
  <c r="BN100" i="67"/>
  <c r="J79" i="153"/>
  <c r="S79" i="153" s="1"/>
  <c r="J79" i="154"/>
  <c r="S79" i="154" s="1"/>
  <c r="J75" i="153"/>
  <c r="S75" i="153" s="1"/>
  <c r="J75" i="154"/>
  <c r="S75" i="154" s="1"/>
  <c r="Q142" i="65"/>
  <c r="M140" i="152"/>
  <c r="D3" i="153"/>
  <c r="D12" i="153"/>
  <c r="BX103" i="67"/>
  <c r="BQ109" i="67"/>
  <c r="BR103" i="67"/>
  <c r="BU106" i="67"/>
  <c r="CA96" i="67"/>
  <c r="BN105" i="67"/>
  <c r="X24" i="24"/>
  <c r="BP106" i="67"/>
  <c r="BU98" i="67"/>
  <c r="BW102" i="67"/>
  <c r="BN109" i="67"/>
  <c r="BN101" i="67"/>
  <c r="BO104" i="67"/>
  <c r="BU102" i="67"/>
  <c r="Q145" i="65"/>
  <c r="M143" i="152"/>
  <c r="D3" i="154"/>
  <c r="Q147" i="65"/>
  <c r="M145" i="152"/>
  <c r="Q144" i="65"/>
  <c r="M142" i="152"/>
  <c r="CA94" i="67"/>
  <c r="BZ92" i="67"/>
  <c r="BS107" i="67"/>
  <c r="BU105" i="67"/>
  <c r="BZ88" i="67"/>
  <c r="BU107" i="67"/>
  <c r="BT105" i="67"/>
  <c r="Y7" i="24"/>
  <c r="AQ5" i="17"/>
  <c r="AN5" i="17"/>
  <c r="D2" i="151"/>
  <c r="P2" i="151" s="1"/>
  <c r="Q2" i="151" s="1"/>
  <c r="DS2" i="4"/>
  <c r="D2" i="152"/>
  <c r="BB5" i="17"/>
  <c r="AY5" i="17"/>
  <c r="D2" i="153"/>
  <c r="D2" i="154"/>
  <c r="C47" i="72"/>
  <c r="I45" i="72"/>
  <c r="I47" i="72" s="1"/>
  <c r="M37" i="148"/>
  <c r="N37" i="148"/>
  <c r="O37" i="148"/>
  <c r="BY109" i="67"/>
  <c r="CB96" i="67"/>
  <c r="L96" i="156" s="1"/>
  <c r="CB94" i="67"/>
  <c r="L94" i="156" s="1"/>
  <c r="CB89" i="67"/>
  <c r="L89" i="156" s="1"/>
  <c r="BY98" i="67"/>
  <c r="BY106" i="67"/>
  <c r="BY105" i="67"/>
  <c r="BY104" i="67"/>
  <c r="CB93" i="67"/>
  <c r="L93" i="156" s="1"/>
  <c r="BY102" i="67"/>
  <c r="CB95" i="67"/>
  <c r="L95" i="156" s="1"/>
  <c r="BY107" i="67"/>
  <c r="BY108" i="67"/>
  <c r="CB88" i="67"/>
  <c r="L88" i="156" s="1"/>
  <c r="CB90" i="67"/>
  <c r="L90" i="156" s="1"/>
  <c r="BY101" i="67"/>
  <c r="BY99" i="67"/>
  <c r="CB97" i="67"/>
  <c r="L97" i="156" s="1"/>
  <c r="CB92" i="67"/>
  <c r="L92" i="156" s="1"/>
  <c r="BY100" i="67"/>
  <c r="CB91" i="67"/>
  <c r="L91" i="156" s="1"/>
  <c r="CB87" i="67"/>
  <c r="L87" i="156" s="1"/>
  <c r="CB86" i="67"/>
  <c r="L86" i="156" s="1"/>
  <c r="BY103" i="67"/>
  <c r="D24" i="23"/>
  <c r="D28" i="23"/>
  <c r="D27" i="23"/>
  <c r="M114" i="38"/>
  <c r="M114" i="28"/>
  <c r="M112" i="38"/>
  <c r="M112" i="28"/>
  <c r="M110" i="38"/>
  <c r="M110" i="28"/>
  <c r="H28" i="23"/>
  <c r="O115" i="30"/>
  <c r="O110" i="30"/>
  <c r="O113" i="30"/>
  <c r="O112" i="30"/>
  <c r="M115" i="38"/>
  <c r="M115" i="28"/>
  <c r="AF24" i="23"/>
  <c r="M113" i="38"/>
  <c r="M113" i="28"/>
  <c r="O114" i="30"/>
  <c r="X26" i="23"/>
  <c r="L26" i="23"/>
  <c r="L25" i="23"/>
  <c r="AF28" i="23"/>
  <c r="M111" i="38"/>
  <c r="M111" i="28"/>
  <c r="L24" i="23"/>
  <c r="D26" i="23"/>
  <c r="O111" i="30"/>
  <c r="AF26" i="23"/>
  <c r="AF25" i="23"/>
  <c r="L28" i="23"/>
  <c r="L27" i="23"/>
  <c r="X28" i="23"/>
  <c r="N40" i="148"/>
  <c r="I39" i="67" s="1"/>
  <c r="M39" i="148"/>
  <c r="E33" i="67" s="1"/>
  <c r="U12" i="148"/>
  <c r="U9" i="148"/>
  <c r="O42" i="148"/>
  <c r="M65" i="67" s="1"/>
  <c r="O40" i="148"/>
  <c r="M40" i="67" s="1"/>
  <c r="N39" i="148"/>
  <c r="I32" i="67" s="1"/>
  <c r="N42" i="148"/>
  <c r="I67" i="67" s="1"/>
  <c r="U10" i="148"/>
  <c r="M40" i="148"/>
  <c r="E40" i="67" s="1"/>
  <c r="U7" i="148"/>
  <c r="U11" i="148"/>
  <c r="N38" i="148"/>
  <c r="I16" i="67" s="1"/>
  <c r="I55" i="67"/>
  <c r="O39" i="148"/>
  <c r="M26" i="67" s="1"/>
  <c r="O41" i="148"/>
  <c r="M53" i="67" s="1"/>
  <c r="M41" i="148"/>
  <c r="E59" i="67" s="1"/>
  <c r="M38" i="148"/>
  <c r="E24" i="67" s="1"/>
  <c r="U8" i="148"/>
  <c r="K61" i="148"/>
  <c r="O38" i="148"/>
  <c r="M17" i="67" s="1"/>
  <c r="M42" i="148"/>
  <c r="E72" i="67" s="1"/>
  <c r="U4" i="15" l="1"/>
  <c r="AO12" i="57"/>
  <c r="AN18" i="57"/>
  <c r="AO11" i="57"/>
  <c r="AO10" i="57"/>
  <c r="AO7" i="57"/>
  <c r="AM51" i="17"/>
  <c r="AQ51" i="17" s="1"/>
  <c r="AM49" i="17"/>
  <c r="AX52" i="17"/>
  <c r="AX50" i="17"/>
  <c r="AX49" i="17"/>
  <c r="AP19" i="24"/>
  <c r="AM48" i="17"/>
  <c r="AM52" i="17"/>
  <c r="AM50" i="17"/>
  <c r="AX48" i="17"/>
  <c r="AX51" i="17"/>
  <c r="Y12" i="24"/>
  <c r="Y21" i="24"/>
  <c r="AP18" i="24"/>
  <c r="Y11" i="24"/>
  <c r="BO110" i="67"/>
  <c r="BQ120" i="67"/>
  <c r="CA102" i="67"/>
  <c r="BX110" i="67"/>
  <c r="BX114" i="67"/>
  <c r="BN115" i="67"/>
  <c r="BR121" i="67"/>
  <c r="BX119" i="67"/>
  <c r="S44" i="67"/>
  <c r="BY119" i="67"/>
  <c r="BV120" i="67"/>
  <c r="S41" i="67"/>
  <c r="X65" i="67"/>
  <c r="S31" i="67"/>
  <c r="X21" i="67"/>
  <c r="X36" i="67"/>
  <c r="AX10" i="17"/>
  <c r="X62" i="67"/>
  <c r="X18" i="67"/>
  <c r="BO112" i="67"/>
  <c r="BT112" i="67"/>
  <c r="BS111" i="67"/>
  <c r="BU119" i="67"/>
  <c r="X23" i="67"/>
  <c r="BZ100" i="67"/>
  <c r="X63" i="67"/>
  <c r="BX113" i="67"/>
  <c r="BR113" i="67"/>
  <c r="BQ121" i="67"/>
  <c r="S72" i="67"/>
  <c r="X39" i="67"/>
  <c r="BU110" i="67"/>
  <c r="BX115" i="67"/>
  <c r="BQ119" i="67"/>
  <c r="BX112" i="67"/>
  <c r="BT110" i="67"/>
  <c r="X33" i="67"/>
  <c r="S67" i="67"/>
  <c r="BW116" i="67"/>
  <c r="J94" i="154"/>
  <c r="S94" i="154" s="1"/>
  <c r="J94" i="153"/>
  <c r="S94" i="153" s="1"/>
  <c r="S57" i="67"/>
  <c r="X52" i="67"/>
  <c r="BQ117" i="67"/>
  <c r="S46" i="67"/>
  <c r="BZ109" i="67"/>
  <c r="BO118" i="67"/>
  <c r="S61" i="67"/>
  <c r="S28" i="67"/>
  <c r="BW117" i="67"/>
  <c r="BN119" i="67"/>
  <c r="J95" i="153"/>
  <c r="S95" i="153" s="1"/>
  <c r="J95" i="154"/>
  <c r="S95" i="154" s="1"/>
  <c r="S15" i="67"/>
  <c r="X20" i="67"/>
  <c r="BU111" i="67"/>
  <c r="BV110" i="67"/>
  <c r="X17" i="67"/>
  <c r="X59" i="67"/>
  <c r="X42" i="67"/>
  <c r="X49" i="67"/>
  <c r="AM7" i="17"/>
  <c r="S26" i="67"/>
  <c r="X58" i="67"/>
  <c r="BW119" i="67"/>
  <c r="BP119" i="67"/>
  <c r="BP121" i="67"/>
  <c r="J92" i="153"/>
  <c r="S92" i="153" s="1"/>
  <c r="J92" i="154"/>
  <c r="S92" i="154" s="1"/>
  <c r="BZ108" i="67"/>
  <c r="S54" i="67"/>
  <c r="BP118" i="67"/>
  <c r="BR119" i="67"/>
  <c r="S68" i="67"/>
  <c r="X48" i="67"/>
  <c r="J96" i="153"/>
  <c r="S96" i="153" s="1"/>
  <c r="J96" i="154"/>
  <c r="S96" i="154" s="1"/>
  <c r="S29" i="67"/>
  <c r="BW114" i="67"/>
  <c r="BW112" i="67"/>
  <c r="X64" i="67"/>
  <c r="S56" i="67"/>
  <c r="S25" i="67"/>
  <c r="I105" i="65"/>
  <c r="AJ102" i="67"/>
  <c r="X53" i="67"/>
  <c r="BS120" i="67"/>
  <c r="S64" i="67"/>
  <c r="S70" i="67"/>
  <c r="BT121" i="67"/>
  <c r="BU113" i="67"/>
  <c r="BZ102" i="67"/>
  <c r="BX120" i="67"/>
  <c r="BT111" i="67"/>
  <c r="S55" i="67"/>
  <c r="BV119" i="67"/>
  <c r="BN110" i="67"/>
  <c r="BN111" i="67"/>
  <c r="BU121" i="67"/>
  <c r="X60" i="67"/>
  <c r="S34" i="67"/>
  <c r="BQ114" i="67"/>
  <c r="BO117" i="67"/>
  <c r="BV116" i="67"/>
  <c r="BZ106" i="67"/>
  <c r="BQ115" i="67"/>
  <c r="BS119" i="67"/>
  <c r="X32" i="67"/>
  <c r="CA107" i="67"/>
  <c r="S32" i="67"/>
  <c r="S18" i="67"/>
  <c r="AN18" i="24"/>
  <c r="BN118" i="67"/>
  <c r="BS118" i="67"/>
  <c r="BV117" i="67"/>
  <c r="X46" i="67"/>
  <c r="X66" i="67"/>
  <c r="BO111" i="67"/>
  <c r="BO116" i="67"/>
  <c r="BP110" i="67"/>
  <c r="BS112" i="67"/>
  <c r="BR114" i="67"/>
  <c r="X72" i="67"/>
  <c r="X45" i="67"/>
  <c r="X70" i="67"/>
  <c r="BN114" i="67"/>
  <c r="BN120" i="67"/>
  <c r="BQ113" i="67"/>
  <c r="BP117" i="67"/>
  <c r="BS115" i="67"/>
  <c r="J90" i="154"/>
  <c r="S90" i="154" s="1"/>
  <c r="J90" i="153"/>
  <c r="S90" i="153" s="1"/>
  <c r="X69" i="67"/>
  <c r="X30" i="67"/>
  <c r="S43" i="67"/>
  <c r="AP21" i="24"/>
  <c r="CA106" i="67"/>
  <c r="BN113" i="67"/>
  <c r="BU118" i="67"/>
  <c r="BX121" i="67"/>
  <c r="BS117" i="67"/>
  <c r="BW115" i="67"/>
  <c r="BV111" i="67"/>
  <c r="S33" i="67"/>
  <c r="X61" i="67"/>
  <c r="X31" i="67"/>
  <c r="S22" i="67"/>
  <c r="X29" i="67"/>
  <c r="S63" i="67"/>
  <c r="X35" i="67"/>
  <c r="X54" i="67"/>
  <c r="Y19" i="24"/>
  <c r="BZ103" i="67"/>
  <c r="BP115" i="67"/>
  <c r="BX111" i="67"/>
  <c r="CA100" i="67"/>
  <c r="BW110" i="67"/>
  <c r="CA103" i="67"/>
  <c r="AP20" i="24"/>
  <c r="S66" i="67"/>
  <c r="J89" i="154"/>
  <c r="S89" i="154" s="1"/>
  <c r="J89" i="153"/>
  <c r="S89" i="153" s="1"/>
  <c r="BT116" i="67"/>
  <c r="BX118" i="67"/>
  <c r="CA109" i="67"/>
  <c r="AM9" i="17"/>
  <c r="S50" i="67"/>
  <c r="BV118" i="67"/>
  <c r="CA101" i="67"/>
  <c r="J97" i="154"/>
  <c r="S97" i="154" s="1"/>
  <c r="J97" i="153"/>
  <c r="S97" i="153" s="1"/>
  <c r="BU120" i="67"/>
  <c r="X57" i="67"/>
  <c r="S35" i="67"/>
  <c r="BV115" i="67"/>
  <c r="BS110" i="67"/>
  <c r="BY121" i="67"/>
  <c r="BN117" i="67"/>
  <c r="S48" i="67"/>
  <c r="X26" i="67"/>
  <c r="AX7" i="17"/>
  <c r="BP113" i="67"/>
  <c r="BZ98" i="67"/>
  <c r="BW113" i="67"/>
  <c r="S52" i="67"/>
  <c r="S36" i="67"/>
  <c r="BW120" i="67"/>
  <c r="X24" i="67"/>
  <c r="X71" i="67"/>
  <c r="X73" i="67"/>
  <c r="BS114" i="67"/>
  <c r="BO119" i="67"/>
  <c r="BN116" i="67"/>
  <c r="BQ112" i="67"/>
  <c r="CA108" i="67"/>
  <c r="BR116" i="67"/>
  <c r="X47" i="67"/>
  <c r="S38" i="67"/>
  <c r="AM8" i="17"/>
  <c r="S20" i="67"/>
  <c r="S62" i="67"/>
  <c r="AM10" i="17"/>
  <c r="BQ111" i="67"/>
  <c r="BU115" i="67"/>
  <c r="BY117" i="67"/>
  <c r="BT114" i="67"/>
  <c r="S39" i="67"/>
  <c r="X67" i="67"/>
  <c r="S58" i="67"/>
  <c r="BP112" i="67"/>
  <c r="BW111" i="67"/>
  <c r="BW118" i="67"/>
  <c r="BP114" i="67"/>
  <c r="BZ101" i="67"/>
  <c r="BQ110" i="67"/>
  <c r="J87" i="153"/>
  <c r="S87" i="153" s="1"/>
  <c r="J87" i="154"/>
  <c r="S87" i="154" s="1"/>
  <c r="J88" i="153"/>
  <c r="S88" i="153" s="1"/>
  <c r="J88" i="154"/>
  <c r="S88" i="154" s="1"/>
  <c r="BY118" i="67"/>
  <c r="BO115" i="67"/>
  <c r="X25" i="67"/>
  <c r="S53" i="67"/>
  <c r="S23" i="67"/>
  <c r="X14" i="67"/>
  <c r="AX6" i="17"/>
  <c r="S21" i="67"/>
  <c r="S27" i="67"/>
  <c r="X50" i="67"/>
  <c r="AX9" i="17"/>
  <c r="BX117" i="67"/>
  <c r="Y20" i="24"/>
  <c r="BQ118" i="67"/>
  <c r="BT113" i="67"/>
  <c r="BU112" i="67"/>
  <c r="CA99" i="67"/>
  <c r="BT118" i="67"/>
  <c r="BT119" i="67"/>
  <c r="BV113" i="67"/>
  <c r="BU117" i="67"/>
  <c r="S65" i="67"/>
  <c r="X38" i="67"/>
  <c r="AX8" i="17"/>
  <c r="BR118" i="67"/>
  <c r="BU114" i="67"/>
  <c r="BR117" i="67"/>
  <c r="S40" i="67"/>
  <c r="S51" i="67"/>
  <c r="J93" i="153"/>
  <c r="S93" i="153" s="1"/>
  <c r="J93" i="154"/>
  <c r="S93" i="154" s="1"/>
  <c r="X56" i="67"/>
  <c r="X44" i="67"/>
  <c r="X27" i="67"/>
  <c r="BR110" i="67"/>
  <c r="BP111" i="67"/>
  <c r="BR112" i="67"/>
  <c r="S24" i="67"/>
  <c r="S14" i="67"/>
  <c r="AM6" i="17"/>
  <c r="BS113" i="67"/>
  <c r="BT115" i="67"/>
  <c r="BY116" i="67"/>
  <c r="X16" i="67"/>
  <c r="X28" i="67"/>
  <c r="BZ104" i="67"/>
  <c r="BO114" i="67"/>
  <c r="S49" i="67"/>
  <c r="J86" i="154"/>
  <c r="S86" i="154" s="1"/>
  <c r="J86" i="153"/>
  <c r="S86" i="153" s="1"/>
  <c r="X41" i="67"/>
  <c r="S37" i="67"/>
  <c r="BN121" i="67"/>
  <c r="BR115" i="67"/>
  <c r="BZ107" i="67"/>
  <c r="BW121" i="67"/>
  <c r="BS116" i="67"/>
  <c r="BR111" i="67"/>
  <c r="S17" i="67"/>
  <c r="X40" i="67"/>
  <c r="X15" i="67"/>
  <c r="S71" i="67"/>
  <c r="S45" i="67"/>
  <c r="X55" i="67"/>
  <c r="X19" i="67"/>
  <c r="S42" i="67"/>
  <c r="X18" i="24"/>
  <c r="X19" i="24" s="1"/>
  <c r="X20" i="24" s="1"/>
  <c r="X21" i="24" s="1"/>
  <c r="BQ116" i="67"/>
  <c r="BV112" i="67"/>
  <c r="CA105" i="67"/>
  <c r="BR120" i="67"/>
  <c r="CA104" i="67"/>
  <c r="BP120" i="67"/>
  <c r="BV121" i="67"/>
  <c r="AM19" i="24"/>
  <c r="AN19" i="24" s="1"/>
  <c r="M31" i="25" s="1"/>
  <c r="M9" i="25"/>
  <c r="BP116" i="67"/>
  <c r="X43" i="67"/>
  <c r="BO120" i="67"/>
  <c r="S30" i="67"/>
  <c r="BV114" i="67"/>
  <c r="X22" i="67"/>
  <c r="BS121" i="67"/>
  <c r="BX116" i="67"/>
  <c r="S19" i="67"/>
  <c r="BT120" i="67"/>
  <c r="J91" i="153"/>
  <c r="S91" i="153" s="1"/>
  <c r="J91" i="154"/>
  <c r="S91" i="154" s="1"/>
  <c r="BY120" i="67"/>
  <c r="BT117" i="67"/>
  <c r="BN112" i="67"/>
  <c r="BU116" i="67"/>
  <c r="S69" i="67"/>
  <c r="S16" i="67"/>
  <c r="S47" i="67"/>
  <c r="X68" i="67"/>
  <c r="X37" i="67"/>
  <c r="X51" i="67"/>
  <c r="S73" i="67"/>
  <c r="X34" i="67"/>
  <c r="BZ105" i="67"/>
  <c r="Y18" i="24"/>
  <c r="BZ99" i="67"/>
  <c r="CA98" i="67"/>
  <c r="BO121" i="67"/>
  <c r="BO113" i="67"/>
  <c r="BP16" i="17"/>
  <c r="K5" i="72"/>
  <c r="K6" i="72"/>
  <c r="K7" i="72"/>
  <c r="M70" i="67"/>
  <c r="M63" i="67"/>
  <c r="M72" i="67"/>
  <c r="M73" i="67"/>
  <c r="M62" i="67"/>
  <c r="E62" i="67"/>
  <c r="M52" i="67"/>
  <c r="M39" i="67"/>
  <c r="M38" i="67"/>
  <c r="M71" i="67"/>
  <c r="M51" i="67"/>
  <c r="M57" i="67"/>
  <c r="M69" i="67"/>
  <c r="I60" i="67"/>
  <c r="M68" i="67"/>
  <c r="I54" i="67"/>
  <c r="M64" i="67"/>
  <c r="I53" i="67"/>
  <c r="M45" i="67"/>
  <c r="M42" i="67"/>
  <c r="I63" i="67"/>
  <c r="I44" i="67"/>
  <c r="I70" i="67"/>
  <c r="I64" i="67"/>
  <c r="E71" i="67"/>
  <c r="E65" i="67"/>
  <c r="E56" i="67"/>
  <c r="E44" i="67"/>
  <c r="E34" i="67"/>
  <c r="M16" i="67"/>
  <c r="I17" i="67"/>
  <c r="I43" i="67"/>
  <c r="E43" i="67"/>
  <c r="I30" i="67"/>
  <c r="M15" i="67"/>
  <c r="E70" i="67"/>
  <c r="M50" i="67"/>
  <c r="I52" i="67"/>
  <c r="I42" i="67"/>
  <c r="E42" i="67"/>
  <c r="I29" i="67"/>
  <c r="E32" i="67"/>
  <c r="M14" i="67"/>
  <c r="E69" i="67"/>
  <c r="M61" i="67"/>
  <c r="I51" i="67"/>
  <c r="M49" i="67"/>
  <c r="I41" i="67"/>
  <c r="E41" i="67"/>
  <c r="I28" i="67"/>
  <c r="E31" i="67"/>
  <c r="M25" i="67"/>
  <c r="E23" i="67"/>
  <c r="E68" i="67"/>
  <c r="M60" i="67"/>
  <c r="I50" i="67"/>
  <c r="M48" i="67"/>
  <c r="I40" i="67"/>
  <c r="I31" i="67"/>
  <c r="E30" i="67"/>
  <c r="M24" i="67"/>
  <c r="E22" i="67"/>
  <c r="I62" i="67"/>
  <c r="E67" i="67"/>
  <c r="M59" i="67"/>
  <c r="E55" i="67"/>
  <c r="M47" i="67"/>
  <c r="M37" i="67"/>
  <c r="I27" i="67"/>
  <c r="E29" i="67"/>
  <c r="E21" i="67"/>
  <c r="J39" i="67"/>
  <c r="J16" i="67"/>
  <c r="I73" i="67"/>
  <c r="E66" i="67"/>
  <c r="M58" i="67"/>
  <c r="E54" i="67"/>
  <c r="M46" i="67"/>
  <c r="I38" i="67"/>
  <c r="M36" i="67"/>
  <c r="I26" i="67"/>
  <c r="E28" i="67"/>
  <c r="I14" i="67"/>
  <c r="E20" i="67"/>
  <c r="E53" i="67"/>
  <c r="I49" i="67"/>
  <c r="M35" i="67"/>
  <c r="I37" i="67"/>
  <c r="E27" i="67"/>
  <c r="I25" i="67"/>
  <c r="E19" i="67"/>
  <c r="I72" i="67"/>
  <c r="E64" i="67"/>
  <c r="M56" i="67"/>
  <c r="E52" i="67"/>
  <c r="M44" i="67"/>
  <c r="I48" i="67"/>
  <c r="M34" i="67"/>
  <c r="I36" i="67"/>
  <c r="E26" i="67"/>
  <c r="I24" i="67"/>
  <c r="E18" i="67"/>
  <c r="I71" i="67"/>
  <c r="E63" i="67"/>
  <c r="I61" i="67"/>
  <c r="E51" i="67"/>
  <c r="M43" i="67"/>
  <c r="E39" i="67"/>
  <c r="M33" i="67"/>
  <c r="I35" i="67"/>
  <c r="M23" i="67"/>
  <c r="I15" i="67"/>
  <c r="E17" i="67"/>
  <c r="E38" i="67"/>
  <c r="M32" i="67"/>
  <c r="I34" i="67"/>
  <c r="M22" i="67"/>
  <c r="I23" i="67"/>
  <c r="E16" i="67"/>
  <c r="I69" i="67"/>
  <c r="E73" i="67"/>
  <c r="I59" i="67"/>
  <c r="E61" i="67"/>
  <c r="M41" i="67"/>
  <c r="E49" i="67"/>
  <c r="M31" i="67"/>
  <c r="I33" i="67"/>
  <c r="M21" i="67"/>
  <c r="I22" i="67"/>
  <c r="E15" i="67"/>
  <c r="I68" i="67"/>
  <c r="I58" i="67"/>
  <c r="E60" i="67"/>
  <c r="E48" i="67"/>
  <c r="M30" i="67"/>
  <c r="M20" i="67"/>
  <c r="I21" i="67"/>
  <c r="E14" i="67"/>
  <c r="M67" i="67"/>
  <c r="M55" i="67"/>
  <c r="I57" i="67"/>
  <c r="I46" i="67"/>
  <c r="E47" i="67"/>
  <c r="M29" i="67"/>
  <c r="E37" i="67"/>
  <c r="M19" i="67"/>
  <c r="I20" i="67"/>
  <c r="E25" i="67"/>
  <c r="M66" i="67"/>
  <c r="I66" i="67"/>
  <c r="M54" i="67"/>
  <c r="I56" i="67"/>
  <c r="E58" i="67"/>
  <c r="I47" i="67"/>
  <c r="E46" i="67"/>
  <c r="M28" i="67"/>
  <c r="E36" i="67"/>
  <c r="M18" i="67"/>
  <c r="I19" i="67"/>
  <c r="E50" i="67"/>
  <c r="I65" i="67"/>
  <c r="E57" i="67"/>
  <c r="I45" i="67"/>
  <c r="E45" i="67"/>
  <c r="M27" i="67"/>
  <c r="E35" i="67"/>
  <c r="I18" i="67"/>
  <c r="M8" i="67"/>
  <c r="M9" i="67"/>
  <c r="M10" i="67"/>
  <c r="M2" i="67"/>
  <c r="M11" i="67"/>
  <c r="M12" i="67"/>
  <c r="M13" i="67"/>
  <c r="M3" i="67"/>
  <c r="M4" i="67"/>
  <c r="M5" i="67"/>
  <c r="M6" i="67"/>
  <c r="M7" i="67"/>
  <c r="I3" i="67"/>
  <c r="I4" i="67"/>
  <c r="I5" i="67"/>
  <c r="I6" i="67"/>
  <c r="I7" i="67"/>
  <c r="I8" i="67"/>
  <c r="I9" i="67"/>
  <c r="I10" i="67"/>
  <c r="I2" i="67"/>
  <c r="I11" i="67"/>
  <c r="I12" i="67"/>
  <c r="I13" i="67"/>
  <c r="E8" i="67"/>
  <c r="E9" i="67"/>
  <c r="E10" i="67"/>
  <c r="E2" i="67"/>
  <c r="E11" i="67"/>
  <c r="E12" i="67"/>
  <c r="E13" i="67"/>
  <c r="E3" i="67"/>
  <c r="E4" i="67"/>
  <c r="E5" i="67"/>
  <c r="E6" i="67"/>
  <c r="E7" i="67"/>
  <c r="CB102" i="67"/>
  <c r="L102" i="156" s="1"/>
  <c r="CB106" i="67"/>
  <c r="L106" i="156" s="1"/>
  <c r="CB98" i="67"/>
  <c r="L98" i="156" s="1"/>
  <c r="CB109" i="67"/>
  <c r="L109" i="156" s="1"/>
  <c r="CB105" i="67"/>
  <c r="L105" i="156" s="1"/>
  <c r="BY110" i="67"/>
  <c r="BY112" i="67"/>
  <c r="BY111" i="67"/>
  <c r="CB107" i="67"/>
  <c r="L107" i="156" s="1"/>
  <c r="CB100" i="67"/>
  <c r="L100" i="156" s="1"/>
  <c r="CB108" i="67"/>
  <c r="L108" i="156" s="1"/>
  <c r="CB99" i="67"/>
  <c r="L99" i="156" s="1"/>
  <c r="BY113" i="67"/>
  <c r="CB101" i="67"/>
  <c r="L101" i="156" s="1"/>
  <c r="BY115" i="67"/>
  <c r="CB104" i="67"/>
  <c r="L104" i="156" s="1"/>
  <c r="BY114" i="67"/>
  <c r="CB103" i="67"/>
  <c r="L103" i="156" s="1"/>
  <c r="H26" i="23"/>
  <c r="H27" i="23"/>
  <c r="H25" i="23"/>
  <c r="H24" i="23"/>
  <c r="F24" i="67"/>
  <c r="F59" i="67"/>
  <c r="N40" i="67"/>
  <c r="F33" i="67"/>
  <c r="J67" i="67"/>
  <c r="J55" i="67"/>
  <c r="J32" i="67"/>
  <c r="N17" i="67"/>
  <c r="F72" i="67"/>
  <c r="N53" i="67"/>
  <c r="F40" i="67"/>
  <c r="N65" i="67"/>
  <c r="K62" i="148"/>
  <c r="U7" i="72" l="1"/>
  <c r="T7" i="72"/>
  <c r="S7" i="72"/>
  <c r="P7" i="72"/>
  <c r="R7" i="72"/>
  <c r="Q7" i="72"/>
  <c r="U6" i="72"/>
  <c r="T6" i="72"/>
  <c r="Q6" i="72"/>
  <c r="S6" i="72"/>
  <c r="R6" i="72"/>
  <c r="P6" i="72"/>
  <c r="P5" i="72"/>
  <c r="R5" i="72"/>
  <c r="S5" i="72"/>
  <c r="U5" i="72"/>
  <c r="Q5" i="72"/>
  <c r="T5" i="72"/>
  <c r="D68" i="156"/>
  <c r="D30" i="155"/>
  <c r="D55" i="156"/>
  <c r="D49" i="155"/>
  <c r="D56" i="156"/>
  <c r="D72" i="156"/>
  <c r="D48" i="156"/>
  <c r="D59" i="156"/>
  <c r="D52" i="156"/>
  <c r="D47" i="155"/>
  <c r="D45" i="155"/>
  <c r="D36" i="155"/>
  <c r="D68" i="155"/>
  <c r="D17" i="156"/>
  <c r="D57" i="155"/>
  <c r="D63" i="156"/>
  <c r="D16" i="155"/>
  <c r="D43" i="156"/>
  <c r="D71" i="155"/>
  <c r="D62" i="155"/>
  <c r="D52" i="155"/>
  <c r="D70" i="155"/>
  <c r="D44" i="155"/>
  <c r="D69" i="155"/>
  <c r="D15" i="156"/>
  <c r="D28" i="156"/>
  <c r="D51" i="155"/>
  <c r="D20" i="155"/>
  <c r="D64" i="155"/>
  <c r="D23" i="156"/>
  <c r="D40" i="156"/>
  <c r="D16" i="156"/>
  <c r="D40" i="155"/>
  <c r="D50" i="155"/>
  <c r="D54" i="156"/>
  <c r="D43" i="155"/>
  <c r="D54" i="155"/>
  <c r="D20" i="156"/>
  <c r="D17" i="155"/>
  <c r="D38" i="155"/>
  <c r="D35" i="156"/>
  <c r="D30" i="156"/>
  <c r="D53" i="156"/>
  <c r="D15" i="155"/>
  <c r="D67" i="155"/>
  <c r="D50" i="156"/>
  <c r="D47" i="156"/>
  <c r="D63" i="155"/>
  <c r="D69" i="156"/>
  <c r="D66" i="156"/>
  <c r="D34" i="155"/>
  <c r="D33" i="156"/>
  <c r="D27" i="155"/>
  <c r="D26" i="156"/>
  <c r="D29" i="156"/>
  <c r="D46" i="156"/>
  <c r="D60" i="156"/>
  <c r="D21" i="155"/>
  <c r="D48" i="155"/>
  <c r="D22" i="155"/>
  <c r="D25" i="155"/>
  <c r="D18" i="156"/>
  <c r="D14" i="155"/>
  <c r="P14" i="155" s="1"/>
  <c r="D38" i="156"/>
  <c r="D31" i="156"/>
  <c r="D56" i="155"/>
  <c r="D62" i="156"/>
  <c r="AN51" i="17"/>
  <c r="D24" i="155"/>
  <c r="D65" i="155"/>
  <c r="D14" i="156"/>
  <c r="D58" i="155"/>
  <c r="D61" i="156"/>
  <c r="D64" i="156"/>
  <c r="D28" i="155"/>
  <c r="D19" i="155"/>
  <c r="D23" i="155"/>
  <c r="D67" i="156"/>
  <c r="D66" i="155"/>
  <c r="D33" i="155"/>
  <c r="D58" i="156"/>
  <c r="D61" i="155"/>
  <c r="D36" i="156"/>
  <c r="D34" i="156"/>
  <c r="D37" i="155"/>
  <c r="D53" i="155"/>
  <c r="D39" i="155"/>
  <c r="D18" i="155"/>
  <c r="D55" i="155"/>
  <c r="D26" i="155"/>
  <c r="D39" i="156"/>
  <c r="D21" i="156"/>
  <c r="D73" i="155"/>
  <c r="D41" i="156"/>
  <c r="D25" i="156"/>
  <c r="D73" i="156"/>
  <c r="D35" i="155"/>
  <c r="D32" i="155"/>
  <c r="D29" i="155"/>
  <c r="D72" i="155"/>
  <c r="D31" i="155"/>
  <c r="D51" i="156"/>
  <c r="D22" i="156"/>
  <c r="D42" i="155"/>
  <c r="D27" i="156"/>
  <c r="D71" i="156"/>
  <c r="D57" i="156"/>
  <c r="D70" i="156"/>
  <c r="D49" i="156"/>
  <c r="D46" i="155"/>
  <c r="D65" i="156"/>
  <c r="AN19" i="57"/>
  <c r="AM18" i="57"/>
  <c r="C31" i="74" s="1"/>
  <c r="D37" i="156"/>
  <c r="D19" i="156"/>
  <c r="D44" i="156"/>
  <c r="D24" i="156"/>
  <c r="D45" i="156"/>
  <c r="D32" i="156"/>
  <c r="D42" i="156"/>
  <c r="D41" i="155"/>
  <c r="AO24" i="57"/>
  <c r="AO23" i="57"/>
  <c r="AO20" i="57"/>
  <c r="AO27" i="57"/>
  <c r="AO19" i="57"/>
  <c r="AO25" i="57"/>
  <c r="AO18" i="57"/>
  <c r="AO28" i="57"/>
  <c r="AO26" i="57"/>
  <c r="AO22" i="57"/>
  <c r="AO29" i="57"/>
  <c r="AO21" i="57"/>
  <c r="BB51" i="17"/>
  <c r="AY51" i="17"/>
  <c r="BB48" i="17"/>
  <c r="AY48" i="17"/>
  <c r="AQ50" i="17"/>
  <c r="AN50" i="17"/>
  <c r="AQ52" i="17"/>
  <c r="AN52" i="17"/>
  <c r="AN48" i="17"/>
  <c r="AQ48" i="17"/>
  <c r="BB49" i="17"/>
  <c r="AY49" i="17"/>
  <c r="N71" i="67"/>
  <c r="BB50" i="17"/>
  <c r="AY50" i="17"/>
  <c r="BB52" i="17"/>
  <c r="AY52" i="17"/>
  <c r="AQ49" i="17"/>
  <c r="AN49" i="17"/>
  <c r="N62" i="67"/>
  <c r="N63" i="67"/>
  <c r="D63" i="32" s="1"/>
  <c r="F55" i="67"/>
  <c r="N64" i="67"/>
  <c r="J63" i="67"/>
  <c r="D63" i="30" s="1"/>
  <c r="N45" i="67"/>
  <c r="ET45" i="4" s="1"/>
  <c r="J53" i="67"/>
  <c r="D53" i="76" s="1"/>
  <c r="N72" i="67"/>
  <c r="D72" i="32" s="1"/>
  <c r="N25" i="67"/>
  <c r="D25" i="32" s="1"/>
  <c r="N70" i="67"/>
  <c r="ET70" i="4" s="1"/>
  <c r="J22" i="67"/>
  <c r="ES22" i="4" s="1"/>
  <c r="J48" i="67"/>
  <c r="D48" i="30" s="1"/>
  <c r="F17" i="67"/>
  <c r="N52" i="67"/>
  <c r="DR52" i="4" s="1"/>
  <c r="CB120" i="67"/>
  <c r="L120" i="156" s="1"/>
  <c r="L132" i="156" s="1"/>
  <c r="J108" i="153"/>
  <c r="S108" i="153" s="1"/>
  <c r="J108" i="154"/>
  <c r="S108" i="154" s="1"/>
  <c r="F43" i="67"/>
  <c r="D43" i="75" s="1"/>
  <c r="D45" i="151"/>
  <c r="P45" i="151" s="1"/>
  <c r="Q45" i="151" s="1"/>
  <c r="DS45" i="4"/>
  <c r="D45" i="152"/>
  <c r="BZ119" i="67"/>
  <c r="D24" i="151"/>
  <c r="P24" i="151" s="1"/>
  <c r="Q24" i="151" s="1"/>
  <c r="DS24" i="4"/>
  <c r="D24" i="152"/>
  <c r="D39" i="151"/>
  <c r="P39" i="151" s="1"/>
  <c r="Q39" i="151" s="1"/>
  <c r="DS39" i="4"/>
  <c r="D39" i="152"/>
  <c r="D73" i="154"/>
  <c r="D73" i="153"/>
  <c r="D57" i="154"/>
  <c r="D57" i="153"/>
  <c r="CA112" i="67"/>
  <c r="D61" i="152"/>
  <c r="D61" i="151"/>
  <c r="P61" i="151" s="1"/>
  <c r="Q61" i="151" s="1"/>
  <c r="DS61" i="4"/>
  <c r="J100" i="153"/>
  <c r="S100" i="153" s="1"/>
  <c r="J100" i="154"/>
  <c r="S100" i="154" s="1"/>
  <c r="J98" i="154"/>
  <c r="S98" i="154" s="1"/>
  <c r="J98" i="153"/>
  <c r="S98" i="153" s="1"/>
  <c r="D30" i="151"/>
  <c r="P30" i="151" s="1"/>
  <c r="Q30" i="151" s="1"/>
  <c r="D30" i="152"/>
  <c r="DS30" i="4"/>
  <c r="BZ116" i="67"/>
  <c r="D51" i="151"/>
  <c r="P51" i="151" s="1"/>
  <c r="Q51" i="151" s="1"/>
  <c r="DS51" i="4"/>
  <c r="D51" i="152"/>
  <c r="BB7" i="17"/>
  <c r="AY7" i="17"/>
  <c r="D22" i="151"/>
  <c r="P22" i="151" s="1"/>
  <c r="Q22" i="151" s="1"/>
  <c r="D22" i="152"/>
  <c r="DS22" i="4"/>
  <c r="D64" i="153"/>
  <c r="D64" i="154"/>
  <c r="D58" i="154"/>
  <c r="D58" i="153"/>
  <c r="D39" i="153"/>
  <c r="D39" i="154"/>
  <c r="D21" i="153"/>
  <c r="D21" i="154"/>
  <c r="CA117" i="67"/>
  <c r="D28" i="153"/>
  <c r="D28" i="154"/>
  <c r="D40" i="151"/>
  <c r="P40" i="151" s="1"/>
  <c r="Q40" i="151" s="1"/>
  <c r="DS40" i="4"/>
  <c r="D40" i="152"/>
  <c r="BB9" i="17"/>
  <c r="AY9" i="17"/>
  <c r="D31" i="153"/>
  <c r="D31" i="154"/>
  <c r="D70" i="152"/>
  <c r="DS70" i="4"/>
  <c r="D70" i="151"/>
  <c r="P70" i="151" s="1"/>
  <c r="Q70" i="151" s="1"/>
  <c r="AN7" i="17"/>
  <c r="AQ7" i="17"/>
  <c r="D67" i="151"/>
  <c r="P67" i="151" s="1"/>
  <c r="Q67" i="151" s="1"/>
  <c r="DS67" i="4"/>
  <c r="D67" i="152"/>
  <c r="DS47" i="4"/>
  <c r="D47" i="151"/>
  <c r="P47" i="151" s="1"/>
  <c r="Q47" i="151" s="1"/>
  <c r="D47" i="152"/>
  <c r="D15" i="153"/>
  <c r="D15" i="154"/>
  <c r="D50" i="153"/>
  <c r="D50" i="154"/>
  <c r="D25" i="153"/>
  <c r="D25" i="154"/>
  <c r="D24" i="153"/>
  <c r="D24" i="154"/>
  <c r="D64" i="151"/>
  <c r="P64" i="151" s="1"/>
  <c r="Q64" i="151" s="1"/>
  <c r="DS64" i="4"/>
  <c r="D64" i="152"/>
  <c r="D54" i="151"/>
  <c r="P54" i="151" s="1"/>
  <c r="Q54" i="151" s="1"/>
  <c r="DS54" i="4"/>
  <c r="D54" i="152"/>
  <c r="DS15" i="4"/>
  <c r="D15" i="151"/>
  <c r="P15" i="151" s="1"/>
  <c r="Q15" i="151" s="1"/>
  <c r="D15" i="152"/>
  <c r="BZ121" i="67"/>
  <c r="D31" i="152"/>
  <c r="D31" i="151"/>
  <c r="P31" i="151" s="1"/>
  <c r="Q31" i="151" s="1"/>
  <c r="DS31" i="4"/>
  <c r="D16" i="154"/>
  <c r="D16" i="153"/>
  <c r="D49" i="153"/>
  <c r="D49" i="154"/>
  <c r="D33" i="153"/>
  <c r="D33" i="154"/>
  <c r="D71" i="151"/>
  <c r="P71" i="151" s="1"/>
  <c r="Q71" i="151" s="1"/>
  <c r="DS71" i="4"/>
  <c r="D71" i="152"/>
  <c r="BZ118" i="67"/>
  <c r="CB119" i="67"/>
  <c r="L119" i="156" s="1"/>
  <c r="L131" i="156" s="1"/>
  <c r="J107" i="153"/>
  <c r="S107" i="153" s="1"/>
  <c r="J107" i="154"/>
  <c r="S107" i="154" s="1"/>
  <c r="F18" i="67"/>
  <c r="DP18" i="4" s="1"/>
  <c r="D48" i="151"/>
  <c r="P48" i="151" s="1"/>
  <c r="Q48" i="151" s="1"/>
  <c r="D48" i="152"/>
  <c r="DS48" i="4"/>
  <c r="D61" i="153"/>
  <c r="D61" i="154"/>
  <c r="CA118" i="67"/>
  <c r="F23" i="67"/>
  <c r="D16" i="152"/>
  <c r="D16" i="151"/>
  <c r="P16" i="151" s="1"/>
  <c r="Q16" i="151" s="1"/>
  <c r="DS16" i="4"/>
  <c r="D40" i="153"/>
  <c r="D40" i="154"/>
  <c r="D37" i="152"/>
  <c r="D37" i="151"/>
  <c r="P37" i="151" s="1"/>
  <c r="Q37" i="151" s="1"/>
  <c r="DS37" i="4"/>
  <c r="CA120" i="67"/>
  <c r="BZ115" i="67"/>
  <c r="D18" i="151"/>
  <c r="P18" i="151" s="1"/>
  <c r="Q18" i="151" s="1"/>
  <c r="D18" i="152"/>
  <c r="DS18" i="4"/>
  <c r="D55" i="152"/>
  <c r="D55" i="151"/>
  <c r="P55" i="151" s="1"/>
  <c r="Q55" i="151" s="1"/>
  <c r="DS55" i="4"/>
  <c r="BZ120" i="67"/>
  <c r="DS46" i="4"/>
  <c r="D46" i="151"/>
  <c r="P46" i="151" s="1"/>
  <c r="Q46" i="151" s="1"/>
  <c r="D46" i="152"/>
  <c r="DS19" i="4"/>
  <c r="D19" i="151"/>
  <c r="P19" i="151" s="1"/>
  <c r="Q19" i="151" s="1"/>
  <c r="D19" i="152"/>
  <c r="D17" i="151"/>
  <c r="P17" i="151" s="1"/>
  <c r="Q17" i="151" s="1"/>
  <c r="DS17" i="4"/>
  <c r="D17" i="152"/>
  <c r="D27" i="151"/>
  <c r="P27" i="151" s="1"/>
  <c r="Q27" i="151" s="1"/>
  <c r="DS27" i="4"/>
  <c r="D27" i="152"/>
  <c r="D33" i="151"/>
  <c r="P33" i="151" s="1"/>
  <c r="Q33" i="151" s="1"/>
  <c r="DS33" i="4"/>
  <c r="D33" i="152"/>
  <c r="D29" i="152"/>
  <c r="D29" i="151"/>
  <c r="P29" i="151" s="1"/>
  <c r="Q29" i="151" s="1"/>
  <c r="DS29" i="4"/>
  <c r="D65" i="153"/>
  <c r="D65" i="154"/>
  <c r="D20" i="153"/>
  <c r="D20" i="154"/>
  <c r="CB116" i="67"/>
  <c r="L116" i="156" s="1"/>
  <c r="L128" i="156" s="1"/>
  <c r="J104" i="153"/>
  <c r="S104" i="153" s="1"/>
  <c r="J104" i="154"/>
  <c r="S104" i="154" s="1"/>
  <c r="BZ111" i="67"/>
  <c r="J101" i="153"/>
  <c r="S101" i="153" s="1"/>
  <c r="J101" i="154"/>
  <c r="S101" i="154" s="1"/>
  <c r="BZ117" i="67"/>
  <c r="D69" i="151"/>
  <c r="P69" i="151" s="1"/>
  <c r="Q69" i="151" s="1"/>
  <c r="DS69" i="4"/>
  <c r="D69" i="152"/>
  <c r="D41" i="154"/>
  <c r="D41" i="153"/>
  <c r="D27" i="153"/>
  <c r="D27" i="154"/>
  <c r="D36" i="151"/>
  <c r="P36" i="151" s="1"/>
  <c r="Q36" i="151" s="1"/>
  <c r="D36" i="152"/>
  <c r="DS36" i="4"/>
  <c r="CA113" i="67"/>
  <c r="D54" i="153"/>
  <c r="D54" i="154"/>
  <c r="D43" i="151"/>
  <c r="P43" i="151" s="1"/>
  <c r="Q43" i="151" s="1"/>
  <c r="D43" i="152"/>
  <c r="DS43" i="4"/>
  <c r="DS32" i="4"/>
  <c r="D32" i="152"/>
  <c r="D32" i="151"/>
  <c r="P32" i="151" s="1"/>
  <c r="Q32" i="151" s="1"/>
  <c r="D42" i="153"/>
  <c r="D42" i="154"/>
  <c r="DS34" i="4"/>
  <c r="D34" i="151"/>
  <c r="P34" i="151" s="1"/>
  <c r="Q34" i="151" s="1"/>
  <c r="D34" i="152"/>
  <c r="D53" i="153"/>
  <c r="D53" i="154"/>
  <c r="D41" i="151"/>
  <c r="P41" i="151" s="1"/>
  <c r="Q41" i="151" s="1"/>
  <c r="DS41" i="4"/>
  <c r="D41" i="152"/>
  <c r="D47" i="153"/>
  <c r="D47" i="154"/>
  <c r="D34" i="153"/>
  <c r="D34" i="154"/>
  <c r="BB8" i="17"/>
  <c r="AY8" i="17"/>
  <c r="D62" i="151"/>
  <c r="P62" i="151" s="1"/>
  <c r="Q62" i="151" s="1"/>
  <c r="DS62" i="4"/>
  <c r="D62" i="152"/>
  <c r="D30" i="153"/>
  <c r="D30" i="154"/>
  <c r="D70" i="154"/>
  <c r="D70" i="153"/>
  <c r="D66" i="153"/>
  <c r="D66" i="154"/>
  <c r="CA119" i="67"/>
  <c r="D59" i="153"/>
  <c r="D59" i="154"/>
  <c r="D52" i="153"/>
  <c r="D52" i="154"/>
  <c r="D63" i="154"/>
  <c r="D63" i="153"/>
  <c r="D18" i="154"/>
  <c r="D18" i="153"/>
  <c r="D19" i="154"/>
  <c r="D19" i="153"/>
  <c r="D38" i="153"/>
  <c r="D38" i="154"/>
  <c r="D21" i="151"/>
  <c r="P21" i="151" s="1"/>
  <c r="Q21" i="151" s="1"/>
  <c r="DS21" i="4"/>
  <c r="D21" i="152"/>
  <c r="D50" i="151"/>
  <c r="P50" i="151" s="1"/>
  <c r="Q50" i="151" s="1"/>
  <c r="DS50" i="4"/>
  <c r="D50" i="152"/>
  <c r="I106" i="65"/>
  <c r="AJ103" i="67"/>
  <c r="D17" i="154"/>
  <c r="D17" i="153"/>
  <c r="D62" i="153"/>
  <c r="D62" i="154"/>
  <c r="CA114" i="67"/>
  <c r="D44" i="153"/>
  <c r="D44" i="154"/>
  <c r="CA111" i="67"/>
  <c r="D49" i="151"/>
  <c r="P49" i="151" s="1"/>
  <c r="Q49" i="151" s="1"/>
  <c r="D49" i="152"/>
  <c r="DS49" i="4"/>
  <c r="D56" i="153"/>
  <c r="D56" i="154"/>
  <c r="BB6" i="17"/>
  <c r="AY6" i="17"/>
  <c r="D58" i="151"/>
  <c r="P58" i="151" s="1"/>
  <c r="Q58" i="151" s="1"/>
  <c r="DS58" i="4"/>
  <c r="D58" i="152"/>
  <c r="AQ9" i="17"/>
  <c r="CA115" i="67"/>
  <c r="D69" i="154"/>
  <c r="D69" i="153"/>
  <c r="D32" i="153"/>
  <c r="D32" i="154"/>
  <c r="D60" i="153"/>
  <c r="D60" i="154"/>
  <c r="D48" i="153"/>
  <c r="D48" i="154"/>
  <c r="D57" i="152"/>
  <c r="D57" i="151"/>
  <c r="P57" i="151" s="1"/>
  <c r="Q57" i="151" s="1"/>
  <c r="DS57" i="4"/>
  <c r="BB10" i="17"/>
  <c r="AY10" i="17"/>
  <c r="D42" i="151"/>
  <c r="P42" i="151" s="1"/>
  <c r="Q42" i="151" s="1"/>
  <c r="DS42" i="4"/>
  <c r="D42" i="152"/>
  <c r="D22" i="153"/>
  <c r="D22" i="154"/>
  <c r="D14" i="151"/>
  <c r="P14" i="151" s="1"/>
  <c r="Q14" i="151" s="1"/>
  <c r="DS14" i="4"/>
  <c r="D14" i="152"/>
  <c r="D14" i="153"/>
  <c r="D14" i="154"/>
  <c r="D20" i="151"/>
  <c r="P20" i="151" s="1"/>
  <c r="Q20" i="151" s="1"/>
  <c r="DS20" i="4"/>
  <c r="D20" i="152"/>
  <c r="D63" i="151"/>
  <c r="P63" i="151" s="1"/>
  <c r="Q63" i="151" s="1"/>
  <c r="DS63" i="4"/>
  <c r="D63" i="152"/>
  <c r="D45" i="154"/>
  <c r="D45" i="153"/>
  <c r="D46" i="153"/>
  <c r="D46" i="154"/>
  <c r="BZ114" i="67"/>
  <c r="D25" i="151"/>
  <c r="P25" i="151" s="1"/>
  <c r="Q25" i="151" s="1"/>
  <c r="DS25" i="4"/>
  <c r="D25" i="152"/>
  <c r="BZ112" i="67"/>
  <c r="BZ113" i="67"/>
  <c r="D71" i="153"/>
  <c r="D71" i="154"/>
  <c r="DS26" i="4"/>
  <c r="D26" i="151"/>
  <c r="P26" i="151" s="1"/>
  <c r="Q26" i="151" s="1"/>
  <c r="D26" i="152"/>
  <c r="J102" i="154"/>
  <c r="S102" i="154" s="1"/>
  <c r="J102" i="153"/>
  <c r="S102" i="153" s="1"/>
  <c r="D43" i="153"/>
  <c r="D43" i="154"/>
  <c r="D52" i="151"/>
  <c r="P52" i="151" s="1"/>
  <c r="Q52" i="151" s="1"/>
  <c r="DS52" i="4"/>
  <c r="D52" i="152"/>
  <c r="D66" i="151"/>
  <c r="P66" i="151" s="1"/>
  <c r="Q66" i="151" s="1"/>
  <c r="DS66" i="4"/>
  <c r="D66" i="152"/>
  <c r="N73" i="67"/>
  <c r="ET73" i="4" s="1"/>
  <c r="AN6" i="17"/>
  <c r="AQ6" i="17"/>
  <c r="F41" i="67"/>
  <c r="ER41" i="4" s="1"/>
  <c r="J103" i="153"/>
  <c r="S103" i="153" s="1"/>
  <c r="J103" i="154"/>
  <c r="S103" i="154" s="1"/>
  <c r="J99" i="153"/>
  <c r="S99" i="153" s="1"/>
  <c r="J99" i="154"/>
  <c r="S99" i="154" s="1"/>
  <c r="CB117" i="67"/>
  <c r="L117" i="156" s="1"/>
  <c r="L129" i="156" s="1"/>
  <c r="J105" i="154"/>
  <c r="S105" i="154" s="1"/>
  <c r="J105" i="153"/>
  <c r="S105" i="153" s="1"/>
  <c r="F70" i="67"/>
  <c r="D70" i="28" s="1"/>
  <c r="J70" i="67"/>
  <c r="DQ70" i="4" s="1"/>
  <c r="F65" i="67"/>
  <c r="D65" i="75" s="1"/>
  <c r="D51" i="153"/>
  <c r="D51" i="154"/>
  <c r="D55" i="154"/>
  <c r="D55" i="153"/>
  <c r="D65" i="151"/>
  <c r="P65" i="151" s="1"/>
  <c r="Q65" i="151" s="1"/>
  <c r="DS65" i="4"/>
  <c r="D65" i="152"/>
  <c r="D67" i="153"/>
  <c r="D67" i="154"/>
  <c r="AQ8" i="17"/>
  <c r="AN8" i="17"/>
  <c r="BZ110" i="67"/>
  <c r="D29" i="153"/>
  <c r="D29" i="154"/>
  <c r="D68" i="152"/>
  <c r="D68" i="151"/>
  <c r="P68" i="151" s="1"/>
  <c r="Q68" i="151" s="1"/>
  <c r="DS68" i="4"/>
  <c r="D28" i="151"/>
  <c r="P28" i="151" s="1"/>
  <c r="Q28" i="151" s="1"/>
  <c r="DS28" i="4"/>
  <c r="D28" i="152"/>
  <c r="D36" i="153"/>
  <c r="D36" i="154"/>
  <c r="D68" i="153"/>
  <c r="D68" i="154"/>
  <c r="D53" i="151"/>
  <c r="P53" i="151" s="1"/>
  <c r="Q53" i="151" s="1"/>
  <c r="DS53" i="4"/>
  <c r="D53" i="152"/>
  <c r="D26" i="154"/>
  <c r="D26" i="153"/>
  <c r="DS72" i="4"/>
  <c r="D72" i="152"/>
  <c r="D72" i="151"/>
  <c r="P72" i="151" s="1"/>
  <c r="Q72" i="151" s="1"/>
  <c r="CB118" i="67"/>
  <c r="L118" i="156" s="1"/>
  <c r="L130" i="156" s="1"/>
  <c r="J106" i="154"/>
  <c r="S106" i="154" s="1"/>
  <c r="J106" i="153"/>
  <c r="S106" i="153" s="1"/>
  <c r="CA110" i="67"/>
  <c r="AN10" i="17"/>
  <c r="AQ10" i="17"/>
  <c r="D73" i="151"/>
  <c r="P73" i="151" s="1"/>
  <c r="Q73" i="151" s="1"/>
  <c r="DS73" i="4"/>
  <c r="D73" i="152"/>
  <c r="D35" i="153"/>
  <c r="D35" i="154"/>
  <c r="CB121" i="67"/>
  <c r="L121" i="156" s="1"/>
  <c r="L133" i="156" s="1"/>
  <c r="J109" i="153"/>
  <c r="S109" i="153" s="1"/>
  <c r="J109" i="154"/>
  <c r="S109" i="154" s="1"/>
  <c r="D37" i="153"/>
  <c r="D37" i="154"/>
  <c r="CA116" i="67"/>
  <c r="D23" i="151"/>
  <c r="P23" i="151" s="1"/>
  <c r="Q23" i="151" s="1"/>
  <c r="DS23" i="4"/>
  <c r="D23" i="152"/>
  <c r="DS38" i="4"/>
  <c r="D38" i="151"/>
  <c r="P38" i="151" s="1"/>
  <c r="Q38" i="151" s="1"/>
  <c r="D38" i="152"/>
  <c r="D35" i="151"/>
  <c r="P35" i="151" s="1"/>
  <c r="Q35" i="151" s="1"/>
  <c r="DS35" i="4"/>
  <c r="D35" i="152"/>
  <c r="CA121" i="67"/>
  <c r="D72" i="153"/>
  <c r="D72" i="154"/>
  <c r="D56" i="152"/>
  <c r="D56" i="151"/>
  <c r="P56" i="151" s="1"/>
  <c r="Q56" i="151" s="1"/>
  <c r="DS56" i="4"/>
  <c r="D23" i="154"/>
  <c r="D23" i="153"/>
  <c r="D44" i="151"/>
  <c r="P44" i="151" s="1"/>
  <c r="Q44" i="151" s="1"/>
  <c r="DS44" i="4"/>
  <c r="D44" i="152"/>
  <c r="F11" i="67"/>
  <c r="J2" i="67"/>
  <c r="J3" i="67"/>
  <c r="D3" i="30" s="1"/>
  <c r="N11" i="67"/>
  <c r="ET11" i="4" s="1"/>
  <c r="F45" i="67"/>
  <c r="N28" i="67"/>
  <c r="ET28" i="4" s="1"/>
  <c r="F25" i="67"/>
  <c r="D25" i="28" s="1"/>
  <c r="N55" i="67"/>
  <c r="F60" i="67"/>
  <c r="D60" i="28" s="1"/>
  <c r="F49" i="67"/>
  <c r="N22" i="67"/>
  <c r="N33" i="67"/>
  <c r="D33" i="77" s="1"/>
  <c r="J24" i="67"/>
  <c r="D24" i="30" s="1"/>
  <c r="F64" i="67"/>
  <c r="D64" i="28" s="1"/>
  <c r="F53" i="67"/>
  <c r="F54" i="67"/>
  <c r="J27" i="67"/>
  <c r="N24" i="67"/>
  <c r="N61" i="67"/>
  <c r="N50" i="67"/>
  <c r="F34" i="67"/>
  <c r="N69" i="67"/>
  <c r="J10" i="67"/>
  <c r="N7" i="67"/>
  <c r="N2" i="67"/>
  <c r="J45" i="67"/>
  <c r="F46" i="67"/>
  <c r="J20" i="67"/>
  <c r="D20" i="76" s="1"/>
  <c r="N67" i="67"/>
  <c r="D67" i="36" s="1"/>
  <c r="J58" i="67"/>
  <c r="N41" i="67"/>
  <c r="J34" i="67"/>
  <c r="F39" i="67"/>
  <c r="J72" i="67"/>
  <c r="F20" i="67"/>
  <c r="ER20" i="4" s="1"/>
  <c r="N58" i="67"/>
  <c r="N37" i="67"/>
  <c r="F30" i="67"/>
  <c r="D30" i="75" s="1"/>
  <c r="F69" i="67"/>
  <c r="F44" i="67"/>
  <c r="N42" i="67"/>
  <c r="N57" i="67"/>
  <c r="F10" i="67"/>
  <c r="D10" i="75" s="1"/>
  <c r="N6" i="67"/>
  <c r="N10" i="67"/>
  <c r="F57" i="67"/>
  <c r="J47" i="67"/>
  <c r="N19" i="67"/>
  <c r="D19" i="77" s="1"/>
  <c r="J68" i="67"/>
  <c r="F61" i="67"/>
  <c r="N32" i="67"/>
  <c r="N43" i="67"/>
  <c r="J36" i="67"/>
  <c r="F19" i="67"/>
  <c r="F66" i="67"/>
  <c r="D66" i="28" s="1"/>
  <c r="N47" i="67"/>
  <c r="J31" i="67"/>
  <c r="F31" i="67"/>
  <c r="N14" i="67"/>
  <c r="N15" i="67"/>
  <c r="F56" i="67"/>
  <c r="N51" i="67"/>
  <c r="J8" i="67"/>
  <c r="N5" i="67"/>
  <c r="N9" i="67"/>
  <c r="J65" i="67"/>
  <c r="F58" i="67"/>
  <c r="F37" i="67"/>
  <c r="F15" i="67"/>
  <c r="J59" i="67"/>
  <c r="DQ59" i="4" s="1"/>
  <c r="F51" i="67"/>
  <c r="N34" i="67"/>
  <c r="J25" i="67"/>
  <c r="F28" i="67"/>
  <c r="J73" i="67"/>
  <c r="J40" i="67"/>
  <c r="J28" i="67"/>
  <c r="F32" i="67"/>
  <c r="J30" i="67"/>
  <c r="J9" i="67"/>
  <c r="D9" i="76" s="1"/>
  <c r="F4" i="67"/>
  <c r="F8" i="67"/>
  <c r="J7" i="67"/>
  <c r="N4" i="67"/>
  <c r="N8" i="67"/>
  <c r="J56" i="67"/>
  <c r="DQ56" i="4" s="1"/>
  <c r="N29" i="67"/>
  <c r="D29" i="77" s="1"/>
  <c r="J21" i="67"/>
  <c r="F73" i="67"/>
  <c r="J61" i="67"/>
  <c r="F27" i="67"/>
  <c r="DQ16" i="4"/>
  <c r="N59" i="67"/>
  <c r="N48" i="67"/>
  <c r="J29" i="67"/>
  <c r="F71" i="67"/>
  <c r="N38" i="67"/>
  <c r="F6" i="67"/>
  <c r="F3" i="67"/>
  <c r="J13" i="67"/>
  <c r="J6" i="67"/>
  <c r="N3" i="67"/>
  <c r="J18" i="67"/>
  <c r="J19" i="67"/>
  <c r="N54" i="67"/>
  <c r="F47" i="67"/>
  <c r="N20" i="67"/>
  <c r="N21" i="67"/>
  <c r="J69" i="67"/>
  <c r="J15" i="67"/>
  <c r="F63" i="67"/>
  <c r="N44" i="67"/>
  <c r="J37" i="67"/>
  <c r="N36" i="67"/>
  <c r="D39" i="34"/>
  <c r="F67" i="67"/>
  <c r="J50" i="67"/>
  <c r="J41" i="67"/>
  <c r="F42" i="67"/>
  <c r="J43" i="67"/>
  <c r="J64" i="67"/>
  <c r="J54" i="67"/>
  <c r="N39" i="67"/>
  <c r="F7" i="67"/>
  <c r="F9" i="67"/>
  <c r="F13" i="67"/>
  <c r="J12" i="67"/>
  <c r="J5" i="67"/>
  <c r="N13" i="67"/>
  <c r="F35" i="67"/>
  <c r="N18" i="67"/>
  <c r="J66" i="67"/>
  <c r="J46" i="67"/>
  <c r="N30" i="67"/>
  <c r="J33" i="67"/>
  <c r="F16" i="67"/>
  <c r="N23" i="67"/>
  <c r="DR23" i="4" s="1"/>
  <c r="J71" i="67"/>
  <c r="F52" i="67"/>
  <c r="ER52" i="4" s="1"/>
  <c r="N35" i="67"/>
  <c r="F21" i="67"/>
  <c r="N60" i="67"/>
  <c r="D60" i="77" s="1"/>
  <c r="N49" i="67"/>
  <c r="J42" i="67"/>
  <c r="J17" i="67"/>
  <c r="N68" i="67"/>
  <c r="F5" i="67"/>
  <c r="F12" i="67"/>
  <c r="J11" i="67"/>
  <c r="J4" i="67"/>
  <c r="N12" i="67"/>
  <c r="N27" i="67"/>
  <c r="F36" i="67"/>
  <c r="N66" i="67"/>
  <c r="J57" i="67"/>
  <c r="F48" i="67"/>
  <c r="N31" i="67"/>
  <c r="J23" i="67"/>
  <c r="J35" i="67"/>
  <c r="N56" i="67"/>
  <c r="J49" i="67"/>
  <c r="N46" i="67"/>
  <c r="F29" i="67"/>
  <c r="F22" i="67"/>
  <c r="F68" i="67"/>
  <c r="J51" i="67"/>
  <c r="J52" i="67"/>
  <c r="N16" i="67"/>
  <c r="J44" i="67"/>
  <c r="J60" i="67"/>
  <c r="D16" i="30"/>
  <c r="D16" i="34"/>
  <c r="D16" i="76"/>
  <c r="ES16" i="4"/>
  <c r="D39" i="76"/>
  <c r="DQ39" i="4"/>
  <c r="ES39" i="4"/>
  <c r="D39" i="30"/>
  <c r="P121" i="34"/>
  <c r="P121" i="30"/>
  <c r="P120" i="34"/>
  <c r="P120" i="30"/>
  <c r="P118" i="34"/>
  <c r="P118" i="30"/>
  <c r="P117" i="30"/>
  <c r="P117" i="34"/>
  <c r="P116" i="34"/>
  <c r="P116" i="30"/>
  <c r="P119" i="30"/>
  <c r="P119" i="34"/>
  <c r="J26" i="67"/>
  <c r="DR25" i="4"/>
  <c r="ET25" i="4"/>
  <c r="D25" i="77"/>
  <c r="D25" i="36"/>
  <c r="CB112" i="67"/>
  <c r="L112" i="156" s="1"/>
  <c r="L124" i="156" s="1"/>
  <c r="Z5" i="17"/>
  <c r="F38" i="67"/>
  <c r="D71" i="77"/>
  <c r="ET71" i="4"/>
  <c r="DR71" i="4"/>
  <c r="D71" i="36"/>
  <c r="D71" i="32"/>
  <c r="F2" i="67"/>
  <c r="D5" i="17"/>
  <c r="ES53" i="4"/>
  <c r="DQ53" i="4"/>
  <c r="F50" i="67"/>
  <c r="J62" i="67"/>
  <c r="CB111" i="67"/>
  <c r="L111" i="156" s="1"/>
  <c r="L123" i="156" s="1"/>
  <c r="ET72" i="4"/>
  <c r="D72" i="77"/>
  <c r="DR72" i="4"/>
  <c r="D72" i="36"/>
  <c r="ER72" i="4"/>
  <c r="DP72" i="4"/>
  <c r="D72" i="75"/>
  <c r="D72" i="38"/>
  <c r="D72" i="28"/>
  <c r="ET40" i="4"/>
  <c r="D40" i="77"/>
  <c r="DR40" i="4"/>
  <c r="D40" i="36"/>
  <c r="D40" i="32"/>
  <c r="J38" i="67"/>
  <c r="ER55" i="4"/>
  <c r="DP55" i="4"/>
  <c r="D55" i="75"/>
  <c r="D55" i="38"/>
  <c r="D55" i="28"/>
  <c r="DP17" i="4"/>
  <c r="ER17" i="4"/>
  <c r="D17" i="75"/>
  <c r="D17" i="38"/>
  <c r="D17" i="28"/>
  <c r="ER59" i="4"/>
  <c r="DP59" i="4"/>
  <c r="D59" i="75"/>
  <c r="D59" i="38"/>
  <c r="D59" i="28"/>
  <c r="DP43" i="4"/>
  <c r="D43" i="28"/>
  <c r="CB115" i="67"/>
  <c r="L115" i="156" s="1"/>
  <c r="L127" i="156" s="1"/>
  <c r="CB113" i="67"/>
  <c r="L113" i="156" s="1"/>
  <c r="L125" i="156" s="1"/>
  <c r="CB110" i="67"/>
  <c r="L110" i="156" s="1"/>
  <c r="L122" i="156" s="1"/>
  <c r="DQ48" i="4"/>
  <c r="ES48" i="4"/>
  <c r="D48" i="76"/>
  <c r="D48" i="34"/>
  <c r="DR64" i="4"/>
  <c r="ET64" i="4"/>
  <c r="D64" i="77"/>
  <c r="D64" i="36"/>
  <c r="D64" i="32"/>
  <c r="D53" i="77"/>
  <c r="ET53" i="4"/>
  <c r="DR53" i="4"/>
  <c r="D53" i="36"/>
  <c r="D53" i="32"/>
  <c r="O5" i="17"/>
  <c r="DQ67" i="4"/>
  <c r="ES67" i="4"/>
  <c r="D67" i="76"/>
  <c r="D67" i="34"/>
  <c r="D67" i="30"/>
  <c r="D18" i="28"/>
  <c r="F14" i="67"/>
  <c r="D65" i="77"/>
  <c r="DR65" i="4"/>
  <c r="ET65" i="4"/>
  <c r="D65" i="36"/>
  <c r="D65" i="32"/>
  <c r="DR62" i="4"/>
  <c r="D62" i="77"/>
  <c r="ET62" i="4"/>
  <c r="D62" i="36"/>
  <c r="D62" i="32"/>
  <c r="F26" i="67"/>
  <c r="ES55" i="4"/>
  <c r="DQ55" i="4"/>
  <c r="D55" i="76"/>
  <c r="D55" i="34"/>
  <c r="D55" i="30"/>
  <c r="ER40" i="4"/>
  <c r="DP40" i="4"/>
  <c r="D40" i="75"/>
  <c r="D40" i="38"/>
  <c r="D40" i="28"/>
  <c r="DR63" i="4"/>
  <c r="ET63" i="4"/>
  <c r="D63" i="77"/>
  <c r="D63" i="36"/>
  <c r="D17" i="77"/>
  <c r="DR17" i="4"/>
  <c r="ET17" i="4"/>
  <c r="D17" i="36"/>
  <c r="D17" i="32"/>
  <c r="D70" i="77"/>
  <c r="DR70" i="4"/>
  <c r="D70" i="36"/>
  <c r="D70" i="32"/>
  <c r="F62" i="67"/>
  <c r="J14" i="67"/>
  <c r="ER24" i="4"/>
  <c r="DP24" i="4"/>
  <c r="D24" i="75"/>
  <c r="D24" i="38"/>
  <c r="D24" i="28"/>
  <c r="D45" i="77"/>
  <c r="DR45" i="4"/>
  <c r="D45" i="32"/>
  <c r="N26" i="67"/>
  <c r="ET52" i="4"/>
  <c r="D52" i="77"/>
  <c r="D52" i="36"/>
  <c r="DQ32" i="4"/>
  <c r="ES32" i="4"/>
  <c r="D32" i="76"/>
  <c r="D32" i="34"/>
  <c r="D32" i="30"/>
  <c r="DP33" i="4"/>
  <c r="ER33" i="4"/>
  <c r="D33" i="75"/>
  <c r="D33" i="38"/>
  <c r="D33" i="28"/>
  <c r="CB114" i="67"/>
  <c r="L114" i="156" s="1"/>
  <c r="L126" i="156" s="1"/>
  <c r="K63" i="148"/>
  <c r="DQ22" i="4" l="1"/>
  <c r="D73" i="77"/>
  <c r="D18" i="38"/>
  <c r="D52" i="32"/>
  <c r="ER43" i="4"/>
  <c r="D18" i="75"/>
  <c r="D45" i="36"/>
  <c r="ER70" i="4"/>
  <c r="D70" i="76"/>
  <c r="D70" i="75"/>
  <c r="D43" i="38"/>
  <c r="D70" i="30"/>
  <c r="ES70" i="4"/>
  <c r="D53" i="30"/>
  <c r="D53" i="34"/>
  <c r="D59" i="30"/>
  <c r="D25" i="75"/>
  <c r="DR73" i="4"/>
  <c r="U6" i="15"/>
  <c r="D70" i="34"/>
  <c r="U5" i="15"/>
  <c r="U8" i="15"/>
  <c r="U7" i="15"/>
  <c r="U9" i="15"/>
  <c r="L135" i="156"/>
  <c r="U135" i="156" s="1"/>
  <c r="U123" i="156"/>
  <c r="U126" i="156"/>
  <c r="L138" i="156"/>
  <c r="U138" i="156" s="1"/>
  <c r="L142" i="156"/>
  <c r="U142" i="156" s="1"/>
  <c r="U130" i="156"/>
  <c r="U128" i="156"/>
  <c r="L140" i="156"/>
  <c r="U140" i="156" s="1"/>
  <c r="U125" i="156"/>
  <c r="L137" i="156"/>
  <c r="U137" i="156" s="1"/>
  <c r="U131" i="156"/>
  <c r="L143" i="156"/>
  <c r="U143" i="156" s="1"/>
  <c r="L139" i="156"/>
  <c r="U139" i="156" s="1"/>
  <c r="U127" i="156"/>
  <c r="L144" i="156"/>
  <c r="U144" i="156" s="1"/>
  <c r="U132" i="156"/>
  <c r="L136" i="156"/>
  <c r="U136" i="156" s="1"/>
  <c r="U124" i="156"/>
  <c r="U122" i="156"/>
  <c r="L134" i="156"/>
  <c r="U134" i="156" s="1"/>
  <c r="L145" i="156"/>
  <c r="U145" i="156" s="1"/>
  <c r="U133" i="156"/>
  <c r="L141" i="156"/>
  <c r="U141" i="156" s="1"/>
  <c r="U129" i="156"/>
  <c r="D41" i="28"/>
  <c r="AN20" i="57"/>
  <c r="AM19" i="57"/>
  <c r="D31" i="74" s="1"/>
  <c r="DQ6" i="4"/>
  <c r="ER2" i="4"/>
  <c r="ER10" i="4"/>
  <c r="ER65" i="4"/>
  <c r="D49" i="75"/>
  <c r="D5" i="30"/>
  <c r="D9" i="77"/>
  <c r="D73" i="36"/>
  <c r="DP4" i="4"/>
  <c r="D10" i="76"/>
  <c r="D22" i="77"/>
  <c r="DR28" i="4"/>
  <c r="D2" i="77"/>
  <c r="DR32" i="4"/>
  <c r="D58" i="77"/>
  <c r="D14" i="36"/>
  <c r="D56" i="34"/>
  <c r="DR60" i="4"/>
  <c r="DR50" i="4"/>
  <c r="D22" i="76"/>
  <c r="D22" i="32"/>
  <c r="D33" i="32"/>
  <c r="ES3" i="4"/>
  <c r="DR11" i="4"/>
  <c r="DP20" i="4"/>
  <c r="D20" i="30"/>
  <c r="D63" i="76"/>
  <c r="DQ63" i="4"/>
  <c r="ES63" i="4"/>
  <c r="DQ40" i="4"/>
  <c r="ET51" i="4"/>
  <c r="D63" i="34"/>
  <c r="D32" i="77"/>
  <c r="D58" i="36"/>
  <c r="ER30" i="4"/>
  <c r="D22" i="30"/>
  <c r="D41" i="75"/>
  <c r="ES20" i="4"/>
  <c r="ES41" i="4"/>
  <c r="D60" i="32"/>
  <c r="D22" i="34"/>
  <c r="D8" i="30"/>
  <c r="D25" i="30"/>
  <c r="D32" i="28"/>
  <c r="D18" i="30"/>
  <c r="D41" i="32"/>
  <c r="D64" i="75"/>
  <c r="D32" i="75"/>
  <c r="D47" i="30"/>
  <c r="ER69" i="4"/>
  <c r="DP19" i="4"/>
  <c r="D69" i="32"/>
  <c r="D41" i="36"/>
  <c r="ER19" i="4"/>
  <c r="D64" i="38"/>
  <c r="D69" i="36"/>
  <c r="ER64" i="4"/>
  <c r="ET41" i="4"/>
  <c r="D48" i="77"/>
  <c r="DP64" i="4"/>
  <c r="D30" i="34"/>
  <c r="D41" i="77"/>
  <c r="DP32" i="4"/>
  <c r="D51" i="32"/>
  <c r="D47" i="76"/>
  <c r="DR41" i="4"/>
  <c r="D51" i="77"/>
  <c r="ES47" i="4"/>
  <c r="DR36" i="4"/>
  <c r="ET3" i="4"/>
  <c r="D29" i="34"/>
  <c r="D69" i="75"/>
  <c r="DQ29" i="4"/>
  <c r="D57" i="28"/>
  <c r="DR29" i="4"/>
  <c r="D10" i="30"/>
  <c r="D2" i="32"/>
  <c r="D57" i="75"/>
  <c r="ET29" i="4"/>
  <c r="DQ10" i="4"/>
  <c r="D30" i="38"/>
  <c r="ES58" i="4"/>
  <c r="D20" i="32"/>
  <c r="D30" i="77"/>
  <c r="D41" i="38"/>
  <c r="D25" i="38"/>
  <c r="DQ58" i="4"/>
  <c r="D28" i="32"/>
  <c r="DP30" i="4"/>
  <c r="D28" i="36"/>
  <c r="D39" i="38"/>
  <c r="ET4" i="4"/>
  <c r="D58" i="75"/>
  <c r="D37" i="32"/>
  <c r="DQ69" i="4"/>
  <c r="D15" i="38"/>
  <c r="D69" i="30"/>
  <c r="D39" i="36"/>
  <c r="DP48" i="4"/>
  <c r="ES69" i="4"/>
  <c r="D9" i="32"/>
  <c r="D51" i="36"/>
  <c r="ES31" i="4"/>
  <c r="D50" i="34"/>
  <c r="D30" i="30"/>
  <c r="ET13" i="4"/>
  <c r="D2" i="36"/>
  <c r="D10" i="77"/>
  <c r="D3" i="36"/>
  <c r="D49" i="76"/>
  <c r="D27" i="30"/>
  <c r="D37" i="38"/>
  <c r="DQ36" i="4"/>
  <c r="D32" i="32"/>
  <c r="DR9" i="4"/>
  <c r="DR8" i="4"/>
  <c r="D32" i="36"/>
  <c r="DR12" i="4"/>
  <c r="ES44" i="4"/>
  <c r="DR43" i="4"/>
  <c r="D6" i="32"/>
  <c r="DR59" i="4"/>
  <c r="D10" i="36"/>
  <c r="D18" i="32"/>
  <c r="D73" i="76"/>
  <c r="D56" i="75"/>
  <c r="DP5" i="4"/>
  <c r="D8" i="32"/>
  <c r="DQ50" i="4"/>
  <c r="ER73" i="4"/>
  <c r="D49" i="36"/>
  <c r="D42" i="36"/>
  <c r="DQ13" i="4"/>
  <c r="D12" i="75"/>
  <c r="DQ57" i="4"/>
  <c r="D21" i="38"/>
  <c r="DQ18" i="4"/>
  <c r="D23" i="32"/>
  <c r="DP70" i="4"/>
  <c r="DP73" i="4"/>
  <c r="D7" i="75"/>
  <c r="D31" i="36"/>
  <c r="D37" i="34"/>
  <c r="D4" i="28"/>
  <c r="D8" i="28"/>
  <c r="DP71" i="4"/>
  <c r="D73" i="30"/>
  <c r="D73" i="32"/>
  <c r="ET22" i="4"/>
  <c r="D39" i="28"/>
  <c r="D24" i="76"/>
  <c r="D4" i="36"/>
  <c r="DQ73" i="4"/>
  <c r="D25" i="76"/>
  <c r="ET9" i="4"/>
  <c r="ET23" i="4"/>
  <c r="D55" i="77"/>
  <c r="D29" i="32"/>
  <c r="D37" i="76"/>
  <c r="DQ25" i="4"/>
  <c r="D13" i="77"/>
  <c r="ER67" i="4"/>
  <c r="D68" i="30"/>
  <c r="DQ37" i="4"/>
  <c r="DQ66" i="4"/>
  <c r="D68" i="34"/>
  <c r="ES37" i="4"/>
  <c r="DQ68" i="4"/>
  <c r="D64" i="30"/>
  <c r="DR56" i="4"/>
  <c r="D64" i="34"/>
  <c r="D70" i="38"/>
  <c r="D64" i="76"/>
  <c r="DQ47" i="4"/>
  <c r="D7" i="38"/>
  <c r="D4" i="38"/>
  <c r="D57" i="34"/>
  <c r="D30" i="76"/>
  <c r="D36" i="28"/>
  <c r="D10" i="34"/>
  <c r="ET2" i="4"/>
  <c r="DP25" i="4"/>
  <c r="D17" i="30"/>
  <c r="D42" i="38"/>
  <c r="D27" i="34"/>
  <c r="DR42" i="4"/>
  <c r="D17" i="34"/>
  <c r="D39" i="77"/>
  <c r="D8" i="34"/>
  <c r="D51" i="75"/>
  <c r="D11" i="28"/>
  <c r="ES27" i="4"/>
  <c r="DQ64" i="4"/>
  <c r="DP36" i="4"/>
  <c r="D17" i="76"/>
  <c r="DP66" i="4"/>
  <c r="DQ35" i="4"/>
  <c r="DR69" i="4"/>
  <c r="ES17" i="4"/>
  <c r="D44" i="30"/>
  <c r="D73" i="38"/>
  <c r="D31" i="30"/>
  <c r="DQ23" i="4"/>
  <c r="D8" i="76"/>
  <c r="D60" i="75"/>
  <c r="ER51" i="4"/>
  <c r="D11" i="38"/>
  <c r="ET5" i="4"/>
  <c r="D58" i="30"/>
  <c r="D29" i="75"/>
  <c r="D73" i="28"/>
  <c r="D39" i="75"/>
  <c r="D60" i="38"/>
  <c r="D58" i="34"/>
  <c r="D13" i="28"/>
  <c r="ET69" i="4"/>
  <c r="DP39" i="4"/>
  <c r="DQ17" i="4"/>
  <c r="D20" i="28"/>
  <c r="D44" i="34"/>
  <c r="D58" i="76"/>
  <c r="D13" i="75"/>
  <c r="D73" i="75"/>
  <c r="D31" i="34"/>
  <c r="D48" i="32"/>
  <c r="ES8" i="4"/>
  <c r="D33" i="36"/>
  <c r="ES12" i="4"/>
  <c r="ER39" i="4"/>
  <c r="DP60" i="4"/>
  <c r="D49" i="30"/>
  <c r="D11" i="75"/>
  <c r="D54" i="32"/>
  <c r="DR54" i="4"/>
  <c r="D37" i="30"/>
  <c r="D25" i="34"/>
  <c r="DQ49" i="4"/>
  <c r="ET66" i="4"/>
  <c r="D35" i="28"/>
  <c r="D45" i="30"/>
  <c r="D45" i="34"/>
  <c r="D6" i="77"/>
  <c r="DP31" i="4"/>
  <c r="D72" i="34"/>
  <c r="DP28" i="4"/>
  <c r="D61" i="38"/>
  <c r="ES61" i="4"/>
  <c r="D13" i="30"/>
  <c r="D11" i="32"/>
  <c r="D24" i="77"/>
  <c r="D15" i="36"/>
  <c r="ER61" i="4"/>
  <c r="DQ45" i="4"/>
  <c r="D13" i="34"/>
  <c r="D40" i="30"/>
  <c r="ES64" i="4"/>
  <c r="D11" i="36"/>
  <c r="D12" i="28"/>
  <c r="D43" i="36"/>
  <c r="DR24" i="4"/>
  <c r="ET15" i="4"/>
  <c r="D36" i="38"/>
  <c r="ET6" i="4"/>
  <c r="D13" i="32"/>
  <c r="ES72" i="4"/>
  <c r="D35" i="36"/>
  <c r="DR35" i="4"/>
  <c r="ES45" i="4"/>
  <c r="D58" i="32"/>
  <c r="D13" i="76"/>
  <c r="D40" i="34"/>
  <c r="D11" i="77"/>
  <c r="D12" i="38"/>
  <c r="ET68" i="4"/>
  <c r="ET43" i="4"/>
  <c r="ET24" i="4"/>
  <c r="D15" i="77"/>
  <c r="D65" i="30"/>
  <c r="ER36" i="4"/>
  <c r="D13" i="36"/>
  <c r="D37" i="28"/>
  <c r="ES13" i="4"/>
  <c r="ES40" i="4"/>
  <c r="D37" i="75"/>
  <c r="D44" i="76"/>
  <c r="ES52" i="4"/>
  <c r="D35" i="76"/>
  <c r="D50" i="36"/>
  <c r="DQ65" i="4"/>
  <c r="D66" i="30"/>
  <c r="D65" i="34"/>
  <c r="ER12" i="4"/>
  <c r="D65" i="76"/>
  <c r="ET58" i="4"/>
  <c r="D48" i="28"/>
  <c r="D67" i="28"/>
  <c r="DP49" i="4"/>
  <c r="D9" i="36"/>
  <c r="DR58" i="4"/>
  <c r="DQ44" i="4"/>
  <c r="D48" i="75"/>
  <c r="ET20" i="4"/>
  <c r="ES35" i="4"/>
  <c r="D52" i="38"/>
  <c r="D7" i="28"/>
  <c r="D29" i="36"/>
  <c r="ER18" i="4"/>
  <c r="D15" i="30"/>
  <c r="ET50" i="4"/>
  <c r="D11" i="34"/>
  <c r="DR18" i="4"/>
  <c r="ES25" i="4"/>
  <c r="DQ30" i="4"/>
  <c r="ER60" i="4"/>
  <c r="D66" i="76"/>
  <c r="ER11" i="4"/>
  <c r="DR2" i="4"/>
  <c r="D67" i="75"/>
  <c r="DP57" i="4"/>
  <c r="DP41" i="4"/>
  <c r="D50" i="77"/>
  <c r="D57" i="32"/>
  <c r="D46" i="32"/>
  <c r="D8" i="75"/>
  <c r="D49" i="38"/>
  <c r="D66" i="32"/>
  <c r="DQ54" i="4"/>
  <c r="D57" i="77"/>
  <c r="ER7" i="4"/>
  <c r="D46" i="77"/>
  <c r="D35" i="32"/>
  <c r="D23" i="36"/>
  <c r="D66" i="77"/>
  <c r="D4" i="32"/>
  <c r="D35" i="38"/>
  <c r="D31" i="76"/>
  <c r="ES54" i="4"/>
  <c r="ET33" i="4"/>
  <c r="D4" i="75"/>
  <c r="ET57" i="4"/>
  <c r="ES49" i="4"/>
  <c r="DR46" i="4"/>
  <c r="D27" i="76"/>
  <c r="D68" i="76"/>
  <c r="ET54" i="4"/>
  <c r="ER35" i="4"/>
  <c r="D28" i="28"/>
  <c r="DR57" i="4"/>
  <c r="ET35" i="4"/>
  <c r="D23" i="77"/>
  <c r="DR4" i="4"/>
  <c r="D20" i="34"/>
  <c r="DQ31" i="4"/>
  <c r="D28" i="75"/>
  <c r="DR33" i="4"/>
  <c r="ES19" i="4"/>
  <c r="D71" i="34"/>
  <c r="D61" i="28"/>
  <c r="D3" i="75"/>
  <c r="DQ27" i="4"/>
  <c r="ES68" i="4"/>
  <c r="D6" i="34"/>
  <c r="ET42" i="4"/>
  <c r="D31" i="28"/>
  <c r="D21" i="32"/>
  <c r="D6" i="75"/>
  <c r="D61" i="30"/>
  <c r="DQ20" i="4"/>
  <c r="ER28" i="4"/>
  <c r="ER6" i="4"/>
  <c r="D24" i="32"/>
  <c r="D61" i="75"/>
  <c r="D6" i="36"/>
  <c r="D31" i="75"/>
  <c r="D21" i="77"/>
  <c r="ET49" i="4"/>
  <c r="D42" i="32"/>
  <c r="DQ71" i="4"/>
  <c r="D61" i="76"/>
  <c r="D24" i="36"/>
  <c r="D15" i="32"/>
  <c r="DP61" i="4"/>
  <c r="DR6" i="4"/>
  <c r="ER31" i="4"/>
  <c r="ET21" i="4"/>
  <c r="D57" i="30"/>
  <c r="ET36" i="4"/>
  <c r="D71" i="76"/>
  <c r="D3" i="77"/>
  <c r="D46" i="36"/>
  <c r="D67" i="38"/>
  <c r="D49" i="77"/>
  <c r="D45" i="76"/>
  <c r="D56" i="30"/>
  <c r="D30" i="28"/>
  <c r="D40" i="76"/>
  <c r="ET60" i="4"/>
  <c r="DP35" i="4"/>
  <c r="D47" i="34"/>
  <c r="DP7" i="4"/>
  <c r="DQ8" i="4"/>
  <c r="D28" i="38"/>
  <c r="D69" i="77"/>
  <c r="DP12" i="4"/>
  <c r="D50" i="32"/>
  <c r="ES57" i="4"/>
  <c r="D43" i="77"/>
  <c r="ES71" i="4"/>
  <c r="D47" i="28"/>
  <c r="ES30" i="4"/>
  <c r="ES65" i="4"/>
  <c r="DR3" i="4"/>
  <c r="D28" i="77"/>
  <c r="D34" i="38"/>
  <c r="ES10" i="4"/>
  <c r="DR13" i="4"/>
  <c r="ET46" i="4"/>
  <c r="D31" i="38"/>
  <c r="DP67" i="4"/>
  <c r="DR49" i="4"/>
  <c r="ET37" i="4"/>
  <c r="D47" i="75"/>
  <c r="D56" i="76"/>
  <c r="D31" i="32"/>
  <c r="D41" i="30"/>
  <c r="D59" i="77"/>
  <c r="ER47" i="4"/>
  <c r="DP3" i="4"/>
  <c r="D46" i="34"/>
  <c r="D57" i="38"/>
  <c r="D12" i="30"/>
  <c r="D41" i="34"/>
  <c r="DQ46" i="4"/>
  <c r="D12" i="32"/>
  <c r="ES56" i="4"/>
  <c r="DR39" i="4"/>
  <c r="DP29" i="4"/>
  <c r="D48" i="38"/>
  <c r="D52" i="28"/>
  <c r="D14" i="32"/>
  <c r="DR31" i="4"/>
  <c r="D12" i="34"/>
  <c r="D41" i="76"/>
  <c r="D6" i="28"/>
  <c r="ET18" i="4"/>
  <c r="D32" i="38"/>
  <c r="DP51" i="4"/>
  <c r="D66" i="34"/>
  <c r="D61" i="36"/>
  <c r="D29" i="30"/>
  <c r="D21" i="36"/>
  <c r="ER57" i="4"/>
  <c r="DR67" i="4"/>
  <c r="ER49" i="4"/>
  <c r="D49" i="28"/>
  <c r="D12" i="76"/>
  <c r="D12" i="36"/>
  <c r="D23" i="34"/>
  <c r="D12" i="77"/>
  <c r="D61" i="34"/>
  <c r="D66" i="36"/>
  <c r="D13" i="38"/>
  <c r="ER48" i="4"/>
  <c r="D8" i="36"/>
  <c r="D52" i="75"/>
  <c r="ET14" i="4"/>
  <c r="D23" i="76"/>
  <c r="D50" i="30"/>
  <c r="DQ12" i="4"/>
  <c r="DQ41" i="4"/>
  <c r="D36" i="30"/>
  <c r="DP6" i="4"/>
  <c r="D18" i="77"/>
  <c r="ER32" i="4"/>
  <c r="D4" i="76"/>
  <c r="D46" i="75"/>
  <c r="ES66" i="4"/>
  <c r="D8" i="38"/>
  <c r="D29" i="76"/>
  <c r="DR21" i="4"/>
  <c r="ER25" i="4"/>
  <c r="ET12" i="4"/>
  <c r="DQ61" i="4"/>
  <c r="DR66" i="4"/>
  <c r="DP13" i="4"/>
  <c r="D20" i="36"/>
  <c r="D8" i="77"/>
  <c r="D60" i="30"/>
  <c r="ES23" i="4"/>
  <c r="ES50" i="4"/>
  <c r="D15" i="34"/>
  <c r="ES36" i="4"/>
  <c r="D11" i="76"/>
  <c r="D10" i="32"/>
  <c r="ER58" i="4"/>
  <c r="D33" i="30"/>
  <c r="D18" i="34"/>
  <c r="DP8" i="4"/>
  <c r="ES29" i="4"/>
  <c r="D72" i="76"/>
  <c r="ES6" i="4"/>
  <c r="DQ4" i="4"/>
  <c r="D15" i="76"/>
  <c r="D68" i="32"/>
  <c r="DQ11" i="4"/>
  <c r="D30" i="32"/>
  <c r="D33" i="34"/>
  <c r="D18" i="76"/>
  <c r="ER8" i="4"/>
  <c r="D22" i="28"/>
  <c r="D72" i="30"/>
  <c r="D10" i="28"/>
  <c r="D7" i="30"/>
  <c r="D19" i="28"/>
  <c r="D60" i="76"/>
  <c r="D48" i="36"/>
  <c r="D54" i="30"/>
  <c r="ES15" i="4"/>
  <c r="D68" i="36"/>
  <c r="D59" i="34"/>
  <c r="D36" i="32"/>
  <c r="ET10" i="4"/>
  <c r="D30" i="36"/>
  <c r="D33" i="76"/>
  <c r="ES18" i="4"/>
  <c r="D22" i="75"/>
  <c r="DQ72" i="4"/>
  <c r="D60" i="34"/>
  <c r="D35" i="30"/>
  <c r="ET30" i="4"/>
  <c r="D52" i="30"/>
  <c r="ER13" i="4"/>
  <c r="D52" i="34"/>
  <c r="D51" i="34"/>
  <c r="D5" i="28"/>
  <c r="D52" i="76"/>
  <c r="DQ7" i="4"/>
  <c r="D19" i="38"/>
  <c r="DQ60" i="4"/>
  <c r="ET48" i="4"/>
  <c r="D54" i="34"/>
  <c r="DQ15" i="4"/>
  <c r="D68" i="77"/>
  <c r="D59" i="76"/>
  <c r="D36" i="36"/>
  <c r="ES33" i="4"/>
  <c r="ER22" i="4"/>
  <c r="D35" i="77"/>
  <c r="D51" i="76"/>
  <c r="D15" i="75"/>
  <c r="D4" i="77"/>
  <c r="D5" i="38"/>
  <c r="DQ52" i="4"/>
  <c r="ES73" i="4"/>
  <c r="DR51" i="4"/>
  <c r="D35" i="34"/>
  <c r="D19" i="75"/>
  <c r="ES60" i="4"/>
  <c r="DR48" i="4"/>
  <c r="D54" i="76"/>
  <c r="DR68" i="4"/>
  <c r="ES59" i="4"/>
  <c r="D36" i="77"/>
  <c r="D43" i="32"/>
  <c r="D71" i="30"/>
  <c r="D57" i="36"/>
  <c r="DR15" i="4"/>
  <c r="D3" i="32"/>
  <c r="D49" i="34"/>
  <c r="DR30" i="4"/>
  <c r="DQ33" i="4"/>
  <c r="D42" i="28"/>
  <c r="ER63" i="4"/>
  <c r="D49" i="32"/>
  <c r="D54" i="36"/>
  <c r="ES28" i="4"/>
  <c r="D15" i="28"/>
  <c r="ER4" i="4"/>
  <c r="DP11" i="4"/>
  <c r="DP63" i="4"/>
  <c r="DP22" i="4"/>
  <c r="D68" i="28"/>
  <c r="D9" i="28"/>
  <c r="D68" i="75"/>
  <c r="D9" i="38"/>
  <c r="D21" i="75"/>
  <c r="ER15" i="4"/>
  <c r="D47" i="38"/>
  <c r="DP21" i="4"/>
  <c r="DP53" i="4"/>
  <c r="DP56" i="4"/>
  <c r="D53" i="38"/>
  <c r="D69" i="28"/>
  <c r="D6" i="38"/>
  <c r="DP47" i="4"/>
  <c r="DP37" i="4"/>
  <c r="D53" i="28"/>
  <c r="D53" i="75"/>
  <c r="D69" i="38"/>
  <c r="D34" i="28"/>
  <c r="D45" i="75"/>
  <c r="DP69" i="4"/>
  <c r="D36" i="75"/>
  <c r="D42" i="75"/>
  <c r="D66" i="38"/>
  <c r="D66" i="75"/>
  <c r="D51" i="28"/>
  <c r="ER42" i="4"/>
  <c r="ER66" i="4"/>
  <c r="D35" i="75"/>
  <c r="D51" i="38"/>
  <c r="DP42" i="4"/>
  <c r="D63" i="28"/>
  <c r="D63" i="38"/>
  <c r="ER53" i="4"/>
  <c r="D63" i="75"/>
  <c r="D22" i="38"/>
  <c r="ES9" i="4"/>
  <c r="ES5" i="4"/>
  <c r="D34" i="34"/>
  <c r="ES43" i="4"/>
  <c r="D16" i="77"/>
  <c r="D23" i="75"/>
  <c r="DP23" i="4"/>
  <c r="DQ42" i="4"/>
  <c r="D9" i="30"/>
  <c r="D20" i="38"/>
  <c r="D55" i="32"/>
  <c r="ES7" i="4"/>
  <c r="DQ3" i="4"/>
  <c r="D19" i="32"/>
  <c r="D22" i="36"/>
  <c r="D19" i="34"/>
  <c r="D59" i="36"/>
  <c r="DP46" i="4"/>
  <c r="D3" i="28"/>
  <c r="D58" i="28"/>
  <c r="DP27" i="4"/>
  <c r="D61" i="77"/>
  <c r="ER44" i="4"/>
  <c r="D56" i="32"/>
  <c r="D71" i="38"/>
  <c r="DR5" i="4"/>
  <c r="DP54" i="4"/>
  <c r="D28" i="30"/>
  <c r="J119" i="153"/>
  <c r="S119" i="153" s="1"/>
  <c r="J119" i="154"/>
  <c r="D34" i="30"/>
  <c r="ET44" i="4"/>
  <c r="D47" i="77"/>
  <c r="ER16" i="4"/>
  <c r="D54" i="38"/>
  <c r="ER56" i="4"/>
  <c r="D21" i="28"/>
  <c r="D9" i="34"/>
  <c r="D20" i="75"/>
  <c r="D39" i="32"/>
  <c r="D55" i="36"/>
  <c r="D19" i="36"/>
  <c r="DR22" i="4"/>
  <c r="D19" i="76"/>
  <c r="D11" i="30"/>
  <c r="ET59" i="4"/>
  <c r="ER46" i="4"/>
  <c r="D3" i="38"/>
  <c r="D58" i="38"/>
  <c r="ER27" i="4"/>
  <c r="D56" i="36"/>
  <c r="D71" i="75"/>
  <c r="D5" i="77"/>
  <c r="D6" i="30"/>
  <c r="DQ28" i="4"/>
  <c r="AJ104" i="67"/>
  <c r="I107" i="65"/>
  <c r="ET19" i="4"/>
  <c r="DQ19" i="4"/>
  <c r="J110" i="154"/>
  <c r="J110" i="153"/>
  <c r="S110" i="153" s="1"/>
  <c r="J111" i="153"/>
  <c r="S111" i="153" s="1"/>
  <c r="J111" i="154"/>
  <c r="D56" i="77"/>
  <c r="ER71" i="4"/>
  <c r="ET32" i="4"/>
  <c r="ER21" i="4"/>
  <c r="DQ9" i="4"/>
  <c r="ET39" i="4"/>
  <c r="ET55" i="4"/>
  <c r="D73" i="34"/>
  <c r="D5" i="76"/>
  <c r="DR19" i="4"/>
  <c r="D23" i="30"/>
  <c r="D50" i="76"/>
  <c r="D57" i="76"/>
  <c r="ES11" i="4"/>
  <c r="D18" i="36"/>
  <c r="ER3" i="4"/>
  <c r="DP58" i="4"/>
  <c r="J112" i="153"/>
  <c r="S112" i="153" s="1"/>
  <c r="J112" i="154"/>
  <c r="ET56" i="4"/>
  <c r="D67" i="32"/>
  <c r="DP65" i="4"/>
  <c r="D27" i="32"/>
  <c r="D21" i="30"/>
  <c r="J121" i="154"/>
  <c r="J121" i="153"/>
  <c r="S121" i="153" s="1"/>
  <c r="J118" i="154"/>
  <c r="J118" i="153"/>
  <c r="S118" i="153" s="1"/>
  <c r="D27" i="36"/>
  <c r="D21" i="34"/>
  <c r="D67" i="77"/>
  <c r="D10" i="38"/>
  <c r="D7" i="32"/>
  <c r="D7" i="36"/>
  <c r="D47" i="32"/>
  <c r="D68" i="38"/>
  <c r="D34" i="76"/>
  <c r="D46" i="30"/>
  <c r="D24" i="34"/>
  <c r="ET27" i="4"/>
  <c r="D21" i="76"/>
  <c r="ET67" i="4"/>
  <c r="D54" i="77"/>
  <c r="ER37" i="4"/>
  <c r="D42" i="77"/>
  <c r="J114" i="154"/>
  <c r="J114" i="153"/>
  <c r="S114" i="153" s="1"/>
  <c r="D43" i="30"/>
  <c r="D47" i="36"/>
  <c r="ES34" i="4"/>
  <c r="D54" i="28"/>
  <c r="D69" i="34"/>
  <c r="D20" i="77"/>
  <c r="D36" i="34"/>
  <c r="ET47" i="4"/>
  <c r="DR10" i="4"/>
  <c r="D23" i="28"/>
  <c r="ER68" i="4"/>
  <c r="DQ34" i="4"/>
  <c r="D4" i="30"/>
  <c r="D46" i="76"/>
  <c r="DQ24" i="4"/>
  <c r="D27" i="77"/>
  <c r="ES21" i="4"/>
  <c r="D37" i="36"/>
  <c r="D34" i="32"/>
  <c r="J117" i="153"/>
  <c r="S117" i="153" s="1"/>
  <c r="J117" i="154"/>
  <c r="D5" i="34"/>
  <c r="DQ5" i="4"/>
  <c r="D44" i="32"/>
  <c r="D16" i="32"/>
  <c r="D7" i="77"/>
  <c r="DR27" i="4"/>
  <c r="DQ21" i="4"/>
  <c r="DP15" i="4"/>
  <c r="D16" i="28"/>
  <c r="D44" i="36"/>
  <c r="D29" i="28"/>
  <c r="D43" i="34"/>
  <c r="ET8" i="4"/>
  <c r="DP52" i="4"/>
  <c r="D14" i="77"/>
  <c r="D16" i="36"/>
  <c r="D31" i="77"/>
  <c r="DR7" i="4"/>
  <c r="D69" i="76"/>
  <c r="D51" i="30"/>
  <c r="D16" i="38"/>
  <c r="DR44" i="4"/>
  <c r="D29" i="38"/>
  <c r="D43" i="76"/>
  <c r="DR20" i="4"/>
  <c r="DR14" i="4"/>
  <c r="ET16" i="4"/>
  <c r="ET31" i="4"/>
  <c r="ET7" i="4"/>
  <c r="D36" i="76"/>
  <c r="J113" i="154"/>
  <c r="J113" i="153"/>
  <c r="S113" i="153" s="1"/>
  <c r="DR47" i="4"/>
  <c r="D23" i="38"/>
  <c r="DP68" i="4"/>
  <c r="D4" i="34"/>
  <c r="ES46" i="4"/>
  <c r="ES24" i="4"/>
  <c r="D45" i="28"/>
  <c r="D37" i="77"/>
  <c r="D34" i="36"/>
  <c r="D65" i="38"/>
  <c r="J116" i="153"/>
  <c r="S116" i="153" s="1"/>
  <c r="J116" i="154"/>
  <c r="D45" i="38"/>
  <c r="DR37" i="4"/>
  <c r="D34" i="77"/>
  <c r="D65" i="28"/>
  <c r="D44" i="77"/>
  <c r="DQ43" i="4"/>
  <c r="J115" i="153"/>
  <c r="S115" i="153" s="1"/>
  <c r="J115" i="154"/>
  <c r="DR55" i="4"/>
  <c r="D44" i="28"/>
  <c r="D56" i="28"/>
  <c r="ES51" i="4"/>
  <c r="D5" i="75"/>
  <c r="D7" i="34"/>
  <c r="D3" i="34"/>
  <c r="D42" i="76"/>
  <c r="ER23" i="4"/>
  <c r="ES4" i="4"/>
  <c r="D46" i="28"/>
  <c r="D34" i="75"/>
  <c r="D9" i="75"/>
  <c r="D27" i="28"/>
  <c r="D61" i="32"/>
  <c r="D44" i="38"/>
  <c r="DP45" i="4"/>
  <c r="ET34" i="4"/>
  <c r="D54" i="75"/>
  <c r="D16" i="75"/>
  <c r="D42" i="30"/>
  <c r="DR16" i="4"/>
  <c r="DR34" i="4"/>
  <c r="DP16" i="4"/>
  <c r="ER29" i="4"/>
  <c r="D56" i="38"/>
  <c r="DQ51" i="4"/>
  <c r="ER5" i="4"/>
  <c r="D60" i="36"/>
  <c r="D7" i="76"/>
  <c r="D3" i="76"/>
  <c r="ES42" i="4"/>
  <c r="D46" i="38"/>
  <c r="ER34" i="4"/>
  <c r="ER9" i="4"/>
  <c r="D27" i="38"/>
  <c r="DR61" i="4"/>
  <c r="D44" i="75"/>
  <c r="ER45" i="4"/>
  <c r="D5" i="32"/>
  <c r="D28" i="34"/>
  <c r="DP10" i="4"/>
  <c r="ER54" i="4"/>
  <c r="J120" i="153"/>
  <c r="S120" i="153" s="1"/>
  <c r="J120" i="154"/>
  <c r="D42" i="34"/>
  <c r="D19" i="30"/>
  <c r="D59" i="32"/>
  <c r="DP34" i="4"/>
  <c r="DP9" i="4"/>
  <c r="D27" i="75"/>
  <c r="ET61" i="4"/>
  <c r="DP44" i="4"/>
  <c r="D71" i="28"/>
  <c r="D5" i="36"/>
  <c r="D28" i="76"/>
  <c r="D6" i="76"/>
  <c r="ET38" i="4"/>
  <c r="DR38" i="4"/>
  <c r="D38" i="77"/>
  <c r="D38" i="32"/>
  <c r="D38" i="36"/>
  <c r="DQ14" i="4"/>
  <c r="ES14" i="4"/>
  <c r="D14" i="76"/>
  <c r="D14" i="34"/>
  <c r="D14" i="30"/>
  <c r="P115" i="30"/>
  <c r="ER38" i="4"/>
  <c r="DP38" i="4"/>
  <c r="D38" i="75"/>
  <c r="D38" i="38"/>
  <c r="D38" i="28"/>
  <c r="P112" i="30"/>
  <c r="DP26" i="4"/>
  <c r="ER26" i="4"/>
  <c r="D26" i="75"/>
  <c r="D26" i="38"/>
  <c r="D26" i="28"/>
  <c r="P114" i="30"/>
  <c r="ES38" i="4"/>
  <c r="DQ38" i="4"/>
  <c r="D38" i="76"/>
  <c r="D38" i="34"/>
  <c r="D38" i="30"/>
  <c r="DP2" i="4"/>
  <c r="D2" i="75"/>
  <c r="D2" i="38"/>
  <c r="D2" i="28"/>
  <c r="P111" i="30"/>
  <c r="DQ26" i="4"/>
  <c r="ES26" i="4"/>
  <c r="D26" i="76"/>
  <c r="D26" i="34"/>
  <c r="D26" i="30"/>
  <c r="P113" i="30"/>
  <c r="DP50" i="4"/>
  <c r="ER50" i="4"/>
  <c r="D50" i="75"/>
  <c r="D50" i="38"/>
  <c r="D50" i="28"/>
  <c r="D26" i="77"/>
  <c r="DR26" i="4"/>
  <c r="ET26" i="4"/>
  <c r="D26" i="36"/>
  <c r="D26" i="32"/>
  <c r="DQ2" i="4"/>
  <c r="ES2" i="4"/>
  <c r="D2" i="76"/>
  <c r="D2" i="34"/>
  <c r="D2" i="30"/>
  <c r="P110" i="30"/>
  <c r="ER14" i="4"/>
  <c r="DP14" i="4"/>
  <c r="D14" i="75"/>
  <c r="D14" i="38"/>
  <c r="D14" i="28"/>
  <c r="DQ62" i="4"/>
  <c r="ES62" i="4"/>
  <c r="D62" i="76"/>
  <c r="D62" i="34"/>
  <c r="D62" i="30"/>
  <c r="ER62" i="4"/>
  <c r="DP62" i="4"/>
  <c r="D62" i="75"/>
  <c r="D62" i="38"/>
  <c r="D62" i="28"/>
  <c r="K64" i="148"/>
  <c r="AN21" i="57" l="1"/>
  <c r="AM20" i="57"/>
  <c r="E31" i="74" s="1"/>
  <c r="S112" i="154"/>
  <c r="J124" i="154"/>
  <c r="S116" i="154"/>
  <c r="J128" i="154"/>
  <c r="J125" i="154"/>
  <c r="S113" i="154"/>
  <c r="J126" i="154"/>
  <c r="S114" i="154"/>
  <c r="S118" i="154"/>
  <c r="J130" i="154"/>
  <c r="S111" i="154"/>
  <c r="J123" i="154"/>
  <c r="AJ105" i="67"/>
  <c r="I108" i="65"/>
  <c r="S120" i="154"/>
  <c r="J132" i="154"/>
  <c r="J129" i="154"/>
  <c r="S117" i="154"/>
  <c r="S121" i="154"/>
  <c r="J133" i="154"/>
  <c r="S115" i="154"/>
  <c r="J127" i="154"/>
  <c r="J122" i="154"/>
  <c r="S110" i="154"/>
  <c r="J131" i="154"/>
  <c r="S119" i="154"/>
  <c r="K65" i="148"/>
  <c r="AN22" i="57" l="1"/>
  <c r="AM21" i="57"/>
  <c r="F31" i="74" s="1"/>
  <c r="J144" i="154"/>
  <c r="S144" i="154" s="1"/>
  <c r="S132" i="154"/>
  <c r="AJ106" i="67"/>
  <c r="I109" i="65"/>
  <c r="J135" i="154"/>
  <c r="S135" i="154" s="1"/>
  <c r="S123" i="154"/>
  <c r="J142" i="154"/>
  <c r="S142" i="154" s="1"/>
  <c r="S130" i="154"/>
  <c r="S133" i="154"/>
  <c r="J145" i="154"/>
  <c r="S145" i="154" s="1"/>
  <c r="S131" i="154"/>
  <c r="J143" i="154"/>
  <c r="S143" i="154" s="1"/>
  <c r="J138" i="154"/>
  <c r="S138" i="154" s="1"/>
  <c r="S126" i="154"/>
  <c r="S127" i="154"/>
  <c r="J139" i="154"/>
  <c r="S139" i="154" s="1"/>
  <c r="J137" i="154"/>
  <c r="S137" i="154" s="1"/>
  <c r="S125" i="154"/>
  <c r="J140" i="154"/>
  <c r="S140" i="154" s="1"/>
  <c r="S128" i="154"/>
  <c r="J136" i="154"/>
  <c r="S136" i="154" s="1"/>
  <c r="S124" i="154"/>
  <c r="J134" i="154"/>
  <c r="S134" i="154" s="1"/>
  <c r="S122" i="154"/>
  <c r="J141" i="154"/>
  <c r="S141" i="154" s="1"/>
  <c r="S129" i="154"/>
  <c r="K66" i="148"/>
  <c r="AN23" i="57" l="1"/>
  <c r="AM22" i="57"/>
  <c r="G31" i="74" s="1"/>
  <c r="AJ107" i="67"/>
  <c r="I110" i="65"/>
  <c r="N1" i="77"/>
  <c r="O1" i="77"/>
  <c r="O1" i="76"/>
  <c r="N1" i="76"/>
  <c r="N1" i="75"/>
  <c r="O1" i="75"/>
  <c r="M145" i="77"/>
  <c r="C145" i="77"/>
  <c r="B145" i="77"/>
  <c r="M144" i="77"/>
  <c r="C144" i="77"/>
  <c r="B144" i="77"/>
  <c r="M143" i="77"/>
  <c r="C143" i="77"/>
  <c r="B143" i="77"/>
  <c r="M142" i="77"/>
  <c r="C142" i="77"/>
  <c r="B142" i="77"/>
  <c r="M141" i="77"/>
  <c r="C141" i="77"/>
  <c r="B141" i="77"/>
  <c r="M140" i="77"/>
  <c r="C140" i="77"/>
  <c r="B140" i="77"/>
  <c r="M139" i="77"/>
  <c r="C139" i="77"/>
  <c r="B139" i="77"/>
  <c r="M138" i="77"/>
  <c r="C138" i="77"/>
  <c r="B138" i="77"/>
  <c r="M137" i="77"/>
  <c r="C137" i="77"/>
  <c r="B137" i="77"/>
  <c r="M136" i="77"/>
  <c r="C136" i="77"/>
  <c r="B136" i="77"/>
  <c r="M135" i="77"/>
  <c r="C135" i="77"/>
  <c r="B135" i="77"/>
  <c r="M134" i="77"/>
  <c r="C134" i="77"/>
  <c r="B134" i="77"/>
  <c r="M133" i="77"/>
  <c r="C133" i="77"/>
  <c r="B133" i="77"/>
  <c r="M132" i="77"/>
  <c r="C132" i="77"/>
  <c r="B132" i="77"/>
  <c r="M131" i="77"/>
  <c r="C131" i="77"/>
  <c r="B131" i="77"/>
  <c r="M130" i="77"/>
  <c r="C130" i="77"/>
  <c r="B130" i="77"/>
  <c r="M129" i="77"/>
  <c r="C129" i="77"/>
  <c r="B129" i="77"/>
  <c r="M128" i="77"/>
  <c r="C128" i="77"/>
  <c r="B128" i="77"/>
  <c r="M127" i="77"/>
  <c r="C127" i="77"/>
  <c r="B127" i="77"/>
  <c r="M126" i="77"/>
  <c r="C126" i="77"/>
  <c r="B126" i="77"/>
  <c r="M125" i="77"/>
  <c r="C125" i="77"/>
  <c r="B125" i="77"/>
  <c r="M124" i="77"/>
  <c r="C124" i="77"/>
  <c r="B124" i="77"/>
  <c r="M123" i="77"/>
  <c r="C123" i="77"/>
  <c r="B123" i="77"/>
  <c r="M122" i="77"/>
  <c r="C122" i="77"/>
  <c r="B122" i="77"/>
  <c r="C121" i="77"/>
  <c r="B121" i="77"/>
  <c r="C120" i="77"/>
  <c r="B120" i="77"/>
  <c r="C119" i="77"/>
  <c r="B119" i="77"/>
  <c r="C118" i="77"/>
  <c r="B118" i="77"/>
  <c r="C117" i="77"/>
  <c r="B117" i="77"/>
  <c r="C116" i="77"/>
  <c r="B116" i="77"/>
  <c r="K145" i="77"/>
  <c r="R145" i="77" s="1"/>
  <c r="K144" i="77"/>
  <c r="R144" i="77" s="1"/>
  <c r="K142" i="77"/>
  <c r="R142" i="77" s="1"/>
  <c r="K141" i="77"/>
  <c r="R141" i="77" s="1"/>
  <c r="K140" i="77"/>
  <c r="R140" i="77" s="1"/>
  <c r="K136" i="77"/>
  <c r="R136" i="77" s="1"/>
  <c r="K135" i="77"/>
  <c r="R135" i="77" s="1"/>
  <c r="K133" i="77"/>
  <c r="R133" i="77" s="1"/>
  <c r="K132" i="77"/>
  <c r="R132" i="77" s="1"/>
  <c r="K131" i="77"/>
  <c r="R131" i="77" s="1"/>
  <c r="K130" i="77"/>
  <c r="R130" i="77" s="1"/>
  <c r="K129" i="77"/>
  <c r="R129" i="77" s="1"/>
  <c r="K128" i="77"/>
  <c r="R128" i="77" s="1"/>
  <c r="K126" i="77"/>
  <c r="R126" i="77" s="1"/>
  <c r="K125" i="77"/>
  <c r="R125" i="77" s="1"/>
  <c r="P1" i="77"/>
  <c r="R1" i="77"/>
  <c r="Q1" i="77"/>
  <c r="M145" i="76"/>
  <c r="C145" i="76"/>
  <c r="B145" i="76"/>
  <c r="M144" i="76"/>
  <c r="C144" i="76"/>
  <c r="B144" i="76"/>
  <c r="M143" i="76"/>
  <c r="C143" i="76"/>
  <c r="B143" i="76"/>
  <c r="M142" i="76"/>
  <c r="C142" i="76"/>
  <c r="B142" i="76"/>
  <c r="M141" i="76"/>
  <c r="C141" i="76"/>
  <c r="B141" i="76"/>
  <c r="M140" i="76"/>
  <c r="C140" i="76"/>
  <c r="B140" i="76"/>
  <c r="M139" i="76"/>
  <c r="C139" i="76"/>
  <c r="B139" i="76"/>
  <c r="M138" i="76"/>
  <c r="C138" i="76"/>
  <c r="B138" i="76"/>
  <c r="M137" i="76"/>
  <c r="C137" i="76"/>
  <c r="B137" i="76"/>
  <c r="M136" i="76"/>
  <c r="C136" i="76"/>
  <c r="B136" i="76"/>
  <c r="M135" i="76"/>
  <c r="C135" i="76"/>
  <c r="B135" i="76"/>
  <c r="M134" i="76"/>
  <c r="C134" i="76"/>
  <c r="B134" i="76"/>
  <c r="M133" i="76"/>
  <c r="C133" i="76"/>
  <c r="B133" i="76"/>
  <c r="M132" i="76"/>
  <c r="C132" i="76"/>
  <c r="B132" i="76"/>
  <c r="M131" i="76"/>
  <c r="C131" i="76"/>
  <c r="B131" i="76"/>
  <c r="M130" i="76"/>
  <c r="C130" i="76"/>
  <c r="B130" i="76"/>
  <c r="M129" i="76"/>
  <c r="C129" i="76"/>
  <c r="B129" i="76"/>
  <c r="M128" i="76"/>
  <c r="C128" i="76"/>
  <c r="B128" i="76"/>
  <c r="M127" i="76"/>
  <c r="C127" i="76"/>
  <c r="B127" i="76"/>
  <c r="M126" i="76"/>
  <c r="C126" i="76"/>
  <c r="B126" i="76"/>
  <c r="M125" i="76"/>
  <c r="C125" i="76"/>
  <c r="B125" i="76"/>
  <c r="M124" i="76"/>
  <c r="C124" i="76"/>
  <c r="B124" i="76"/>
  <c r="M123" i="76"/>
  <c r="C123" i="76"/>
  <c r="B123" i="76"/>
  <c r="M122" i="76"/>
  <c r="C122" i="76"/>
  <c r="B122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M145" i="75"/>
  <c r="C145" i="75"/>
  <c r="B145" i="75"/>
  <c r="M144" i="75"/>
  <c r="C144" i="75"/>
  <c r="B144" i="75"/>
  <c r="M143" i="75"/>
  <c r="C143" i="75"/>
  <c r="B143" i="75"/>
  <c r="M142" i="75"/>
  <c r="C142" i="75"/>
  <c r="B142" i="75"/>
  <c r="M141" i="75"/>
  <c r="C141" i="75"/>
  <c r="B141" i="75"/>
  <c r="M140" i="75"/>
  <c r="C140" i="75"/>
  <c r="B140" i="75"/>
  <c r="M139" i="75"/>
  <c r="C139" i="75"/>
  <c r="B139" i="75"/>
  <c r="M138" i="75"/>
  <c r="C138" i="75"/>
  <c r="B138" i="75"/>
  <c r="M137" i="75"/>
  <c r="C137" i="75"/>
  <c r="B137" i="75"/>
  <c r="M136" i="75"/>
  <c r="C136" i="75"/>
  <c r="B136" i="75"/>
  <c r="M135" i="75"/>
  <c r="C135" i="75"/>
  <c r="B135" i="75"/>
  <c r="M134" i="75"/>
  <c r="C134" i="75"/>
  <c r="B134" i="75"/>
  <c r="M133" i="75"/>
  <c r="C133" i="75"/>
  <c r="B133" i="75"/>
  <c r="M132" i="75"/>
  <c r="C132" i="75"/>
  <c r="B132" i="75"/>
  <c r="M131" i="75"/>
  <c r="C131" i="75"/>
  <c r="B131" i="75"/>
  <c r="M130" i="75"/>
  <c r="C130" i="75"/>
  <c r="B130" i="75"/>
  <c r="M129" i="75"/>
  <c r="C129" i="75"/>
  <c r="B129" i="75"/>
  <c r="M128" i="75"/>
  <c r="C128" i="75"/>
  <c r="B128" i="75"/>
  <c r="M127" i="75"/>
  <c r="C127" i="75"/>
  <c r="B127" i="75"/>
  <c r="M126" i="75"/>
  <c r="C126" i="75"/>
  <c r="B126" i="75"/>
  <c r="M125" i="75"/>
  <c r="C125" i="75"/>
  <c r="B125" i="75"/>
  <c r="M124" i="75"/>
  <c r="C124" i="75"/>
  <c r="B124" i="75"/>
  <c r="M123" i="75"/>
  <c r="C123" i="75"/>
  <c r="B123" i="75"/>
  <c r="M122" i="75"/>
  <c r="C122" i="75"/>
  <c r="B122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Q1" i="75"/>
  <c r="P1" i="75"/>
  <c r="B63" i="74"/>
  <c r="B62" i="74"/>
  <c r="B47" i="74"/>
  <c r="B59" i="74" s="1"/>
  <c r="B46" i="74"/>
  <c r="B58" i="74" s="1"/>
  <c r="B45" i="74"/>
  <c r="B57" i="74" s="1"/>
  <c r="B21" i="74"/>
  <c r="B31" i="74" s="1"/>
  <c r="B17" i="74"/>
  <c r="B27" i="74" s="1"/>
  <c r="B36" i="74" s="1"/>
  <c r="B16" i="74"/>
  <c r="B15" i="74"/>
  <c r="P1" i="34"/>
  <c r="K2" i="28"/>
  <c r="K3" i="28"/>
  <c r="K4" i="28"/>
  <c r="K5" i="28"/>
  <c r="K9" i="28"/>
  <c r="K10" i="28"/>
  <c r="K12" i="28"/>
  <c r="K13" i="28"/>
  <c r="K14" i="28"/>
  <c r="K15" i="28"/>
  <c r="K16" i="28"/>
  <c r="K17" i="28"/>
  <c r="K18" i="28"/>
  <c r="K19" i="28"/>
  <c r="K20" i="28"/>
  <c r="K21" i="28"/>
  <c r="K25" i="28"/>
  <c r="K26" i="28"/>
  <c r="K29" i="28"/>
  <c r="K31" i="28"/>
  <c r="K32" i="28"/>
  <c r="K33" i="28"/>
  <c r="K34" i="28"/>
  <c r="K35" i="28"/>
  <c r="K36" i="28"/>
  <c r="K37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7" i="28"/>
  <c r="K61" i="28"/>
  <c r="K62" i="28"/>
  <c r="K63" i="28"/>
  <c r="K64" i="28"/>
  <c r="K65" i="28"/>
  <c r="K66" i="28"/>
  <c r="K67" i="28"/>
  <c r="K68" i="28"/>
  <c r="K69" i="28"/>
  <c r="K74" i="28"/>
  <c r="K76" i="28"/>
  <c r="K77" i="28"/>
  <c r="K78" i="28"/>
  <c r="K79" i="28"/>
  <c r="K80" i="28"/>
  <c r="K81" i="28"/>
  <c r="K82" i="28"/>
  <c r="K83" i="28"/>
  <c r="K84" i="28"/>
  <c r="K85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5" i="28"/>
  <c r="K106" i="28"/>
  <c r="K2" i="36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N1" i="36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P109" i="34"/>
  <c r="L2" i="30"/>
  <c r="M2" i="30"/>
  <c r="P2" i="30"/>
  <c r="O2" i="30"/>
  <c r="L3" i="30"/>
  <c r="M3" i="30"/>
  <c r="P3" i="30"/>
  <c r="O3" i="30"/>
  <c r="L4" i="30"/>
  <c r="M4" i="30"/>
  <c r="P4" i="30"/>
  <c r="O4" i="30"/>
  <c r="L5" i="30"/>
  <c r="M5" i="30"/>
  <c r="P5" i="30"/>
  <c r="O5" i="30"/>
  <c r="L6" i="30"/>
  <c r="M6" i="30"/>
  <c r="P6" i="30"/>
  <c r="O6" i="30"/>
  <c r="L7" i="30"/>
  <c r="M7" i="30"/>
  <c r="P7" i="30"/>
  <c r="O7" i="30"/>
  <c r="L8" i="30"/>
  <c r="M8" i="30"/>
  <c r="P8" i="30"/>
  <c r="O8" i="30"/>
  <c r="L9" i="30"/>
  <c r="M9" i="30"/>
  <c r="P9" i="30"/>
  <c r="O9" i="30"/>
  <c r="L10" i="30"/>
  <c r="M10" i="30"/>
  <c r="P10" i="30"/>
  <c r="O10" i="30"/>
  <c r="L11" i="30"/>
  <c r="M11" i="30"/>
  <c r="P11" i="30"/>
  <c r="O11" i="30"/>
  <c r="L12" i="30"/>
  <c r="M12" i="30"/>
  <c r="P12" i="30"/>
  <c r="O12" i="30"/>
  <c r="L13" i="30"/>
  <c r="M13" i="30"/>
  <c r="P13" i="30"/>
  <c r="O13" i="30"/>
  <c r="L14" i="30"/>
  <c r="M14" i="30"/>
  <c r="P14" i="30"/>
  <c r="O14" i="30"/>
  <c r="L15" i="30"/>
  <c r="M15" i="30"/>
  <c r="P15" i="30"/>
  <c r="O15" i="30"/>
  <c r="L16" i="30"/>
  <c r="M16" i="30"/>
  <c r="P16" i="30"/>
  <c r="O16" i="30"/>
  <c r="L17" i="30"/>
  <c r="M17" i="30"/>
  <c r="P17" i="30"/>
  <c r="O17" i="30"/>
  <c r="L18" i="30"/>
  <c r="M18" i="30"/>
  <c r="P18" i="30"/>
  <c r="O18" i="30"/>
  <c r="L19" i="30"/>
  <c r="M19" i="30"/>
  <c r="P19" i="30"/>
  <c r="O19" i="30"/>
  <c r="L20" i="30"/>
  <c r="M20" i="30"/>
  <c r="P20" i="30"/>
  <c r="O20" i="30"/>
  <c r="L21" i="30"/>
  <c r="M21" i="30"/>
  <c r="P21" i="30"/>
  <c r="O21" i="30"/>
  <c r="L22" i="30"/>
  <c r="M22" i="30"/>
  <c r="P22" i="30"/>
  <c r="O22" i="30"/>
  <c r="L23" i="30"/>
  <c r="M23" i="30"/>
  <c r="P23" i="30"/>
  <c r="O23" i="30"/>
  <c r="L24" i="30"/>
  <c r="M24" i="30"/>
  <c r="P24" i="30"/>
  <c r="O24" i="30"/>
  <c r="L25" i="30"/>
  <c r="M25" i="30"/>
  <c r="P25" i="30"/>
  <c r="O25" i="30"/>
  <c r="L26" i="30"/>
  <c r="M26" i="30"/>
  <c r="P26" i="30"/>
  <c r="O26" i="30"/>
  <c r="L27" i="30"/>
  <c r="M27" i="30"/>
  <c r="P27" i="30"/>
  <c r="O27" i="30"/>
  <c r="L28" i="30"/>
  <c r="M28" i="30"/>
  <c r="P28" i="30"/>
  <c r="O28" i="30"/>
  <c r="L29" i="30"/>
  <c r="M29" i="30"/>
  <c r="P29" i="30"/>
  <c r="O29" i="30"/>
  <c r="L30" i="30"/>
  <c r="M30" i="30"/>
  <c r="P30" i="30"/>
  <c r="O30" i="30"/>
  <c r="L31" i="30"/>
  <c r="M31" i="30"/>
  <c r="P31" i="30"/>
  <c r="O31" i="30"/>
  <c r="L32" i="30"/>
  <c r="M32" i="30"/>
  <c r="P32" i="30"/>
  <c r="O32" i="30"/>
  <c r="L33" i="30"/>
  <c r="M33" i="30"/>
  <c r="P33" i="30"/>
  <c r="O33" i="30"/>
  <c r="L34" i="30"/>
  <c r="M34" i="30"/>
  <c r="P34" i="30"/>
  <c r="O34" i="30"/>
  <c r="L35" i="30"/>
  <c r="M35" i="30"/>
  <c r="P35" i="30"/>
  <c r="O35" i="30"/>
  <c r="L36" i="30"/>
  <c r="M36" i="30"/>
  <c r="P36" i="30"/>
  <c r="O36" i="30"/>
  <c r="L37" i="30"/>
  <c r="M37" i="30"/>
  <c r="P37" i="30"/>
  <c r="O37" i="30"/>
  <c r="L38" i="30"/>
  <c r="M38" i="30"/>
  <c r="P38" i="30"/>
  <c r="O38" i="30"/>
  <c r="L39" i="30"/>
  <c r="M39" i="30"/>
  <c r="P39" i="30"/>
  <c r="O39" i="30"/>
  <c r="L40" i="30"/>
  <c r="M40" i="30"/>
  <c r="P40" i="30"/>
  <c r="O40" i="30"/>
  <c r="L41" i="30"/>
  <c r="M41" i="30"/>
  <c r="P41" i="30"/>
  <c r="O41" i="30"/>
  <c r="L42" i="30"/>
  <c r="M42" i="30"/>
  <c r="P42" i="30"/>
  <c r="O42" i="30"/>
  <c r="L43" i="30"/>
  <c r="M43" i="30"/>
  <c r="P43" i="30"/>
  <c r="O43" i="30"/>
  <c r="L44" i="30"/>
  <c r="M44" i="30"/>
  <c r="P44" i="30"/>
  <c r="O44" i="30"/>
  <c r="L45" i="30"/>
  <c r="M45" i="30"/>
  <c r="P45" i="30"/>
  <c r="O45" i="30"/>
  <c r="L46" i="30"/>
  <c r="M46" i="30"/>
  <c r="P46" i="30"/>
  <c r="O46" i="30"/>
  <c r="L47" i="30"/>
  <c r="M47" i="30"/>
  <c r="P47" i="30"/>
  <c r="O47" i="30"/>
  <c r="L48" i="30"/>
  <c r="M48" i="30"/>
  <c r="P48" i="30"/>
  <c r="O48" i="30"/>
  <c r="L49" i="30"/>
  <c r="M49" i="30"/>
  <c r="P49" i="30"/>
  <c r="O49" i="30"/>
  <c r="L50" i="30"/>
  <c r="M50" i="30"/>
  <c r="P50" i="30"/>
  <c r="O50" i="30"/>
  <c r="L51" i="30"/>
  <c r="M51" i="30"/>
  <c r="P51" i="30"/>
  <c r="O51" i="30"/>
  <c r="L52" i="30"/>
  <c r="M52" i="30"/>
  <c r="P52" i="30"/>
  <c r="O52" i="30"/>
  <c r="L53" i="30"/>
  <c r="M53" i="30"/>
  <c r="P53" i="30"/>
  <c r="O53" i="30"/>
  <c r="L54" i="30"/>
  <c r="M54" i="30"/>
  <c r="P54" i="30"/>
  <c r="O54" i="30"/>
  <c r="L55" i="30"/>
  <c r="M55" i="30"/>
  <c r="P55" i="30"/>
  <c r="O55" i="30"/>
  <c r="L56" i="30"/>
  <c r="M56" i="30"/>
  <c r="P56" i="30"/>
  <c r="O56" i="30"/>
  <c r="L57" i="30"/>
  <c r="M57" i="30"/>
  <c r="P57" i="30"/>
  <c r="O57" i="30"/>
  <c r="L58" i="30"/>
  <c r="M58" i="30"/>
  <c r="P58" i="30"/>
  <c r="O58" i="30"/>
  <c r="L59" i="30"/>
  <c r="M59" i="30"/>
  <c r="P59" i="30"/>
  <c r="O59" i="30"/>
  <c r="L60" i="30"/>
  <c r="M60" i="30"/>
  <c r="P60" i="30"/>
  <c r="O60" i="30"/>
  <c r="L61" i="30"/>
  <c r="M61" i="30"/>
  <c r="P61" i="30"/>
  <c r="O61" i="30"/>
  <c r="L62" i="30"/>
  <c r="M62" i="30"/>
  <c r="P62" i="30"/>
  <c r="O62" i="30"/>
  <c r="L63" i="30"/>
  <c r="M63" i="30"/>
  <c r="P63" i="30"/>
  <c r="O63" i="30"/>
  <c r="L64" i="30"/>
  <c r="M64" i="30"/>
  <c r="P64" i="30"/>
  <c r="O64" i="30"/>
  <c r="L65" i="30"/>
  <c r="M65" i="30"/>
  <c r="P65" i="30"/>
  <c r="O65" i="30"/>
  <c r="L66" i="30"/>
  <c r="M66" i="30"/>
  <c r="P66" i="30"/>
  <c r="O66" i="30"/>
  <c r="L67" i="30"/>
  <c r="M67" i="30"/>
  <c r="P67" i="30"/>
  <c r="O67" i="30"/>
  <c r="L68" i="30"/>
  <c r="M68" i="30"/>
  <c r="P68" i="30"/>
  <c r="O68" i="30"/>
  <c r="L69" i="30"/>
  <c r="M69" i="30"/>
  <c r="P69" i="30"/>
  <c r="O69" i="30"/>
  <c r="L70" i="30"/>
  <c r="M70" i="30"/>
  <c r="P70" i="30"/>
  <c r="O70" i="30"/>
  <c r="L71" i="30"/>
  <c r="M71" i="30"/>
  <c r="P71" i="30"/>
  <c r="O71" i="30"/>
  <c r="L72" i="30"/>
  <c r="M72" i="30"/>
  <c r="P72" i="30"/>
  <c r="O72" i="30"/>
  <c r="L73" i="30"/>
  <c r="M73" i="30"/>
  <c r="P73" i="30"/>
  <c r="O73" i="30"/>
  <c r="L74" i="30"/>
  <c r="M74" i="30"/>
  <c r="P74" i="30"/>
  <c r="O74" i="30"/>
  <c r="L75" i="30"/>
  <c r="M75" i="30"/>
  <c r="P75" i="30"/>
  <c r="O75" i="30"/>
  <c r="L76" i="30"/>
  <c r="M76" i="30"/>
  <c r="P76" i="30"/>
  <c r="O76" i="30"/>
  <c r="L77" i="30"/>
  <c r="M77" i="30"/>
  <c r="P77" i="30"/>
  <c r="O77" i="30"/>
  <c r="L78" i="30"/>
  <c r="M78" i="30"/>
  <c r="P78" i="30"/>
  <c r="O78" i="30"/>
  <c r="L79" i="30"/>
  <c r="M79" i="30"/>
  <c r="P79" i="30"/>
  <c r="O79" i="30"/>
  <c r="L80" i="30"/>
  <c r="M80" i="30"/>
  <c r="P80" i="30"/>
  <c r="O80" i="30"/>
  <c r="L81" i="30"/>
  <c r="M81" i="30"/>
  <c r="P81" i="30"/>
  <c r="O81" i="30"/>
  <c r="L82" i="30"/>
  <c r="M82" i="30"/>
  <c r="P82" i="30"/>
  <c r="O82" i="30"/>
  <c r="L83" i="30"/>
  <c r="M83" i="30"/>
  <c r="P83" i="30"/>
  <c r="O83" i="30"/>
  <c r="L84" i="30"/>
  <c r="M84" i="30"/>
  <c r="P84" i="30"/>
  <c r="O84" i="30"/>
  <c r="L85" i="30"/>
  <c r="M85" i="30"/>
  <c r="P85" i="30"/>
  <c r="O85" i="30"/>
  <c r="L86" i="30"/>
  <c r="M86" i="30"/>
  <c r="P86" i="30"/>
  <c r="O86" i="30"/>
  <c r="L87" i="30"/>
  <c r="M87" i="30"/>
  <c r="P87" i="30"/>
  <c r="O87" i="30"/>
  <c r="L88" i="30"/>
  <c r="M88" i="30"/>
  <c r="P88" i="30"/>
  <c r="O88" i="30"/>
  <c r="L89" i="30"/>
  <c r="M89" i="30"/>
  <c r="P89" i="30"/>
  <c r="O89" i="30"/>
  <c r="L90" i="30"/>
  <c r="M90" i="30"/>
  <c r="P90" i="30"/>
  <c r="O90" i="30"/>
  <c r="L91" i="30"/>
  <c r="M91" i="30"/>
  <c r="P91" i="30"/>
  <c r="O91" i="30"/>
  <c r="L92" i="30"/>
  <c r="M92" i="30"/>
  <c r="P92" i="30"/>
  <c r="O92" i="30"/>
  <c r="L93" i="30"/>
  <c r="M93" i="30"/>
  <c r="P93" i="30"/>
  <c r="O93" i="30"/>
  <c r="L94" i="30"/>
  <c r="M94" i="30"/>
  <c r="P94" i="30"/>
  <c r="O94" i="30"/>
  <c r="L95" i="30"/>
  <c r="M95" i="30"/>
  <c r="P95" i="30"/>
  <c r="O95" i="30"/>
  <c r="L96" i="30"/>
  <c r="M96" i="30"/>
  <c r="P96" i="30"/>
  <c r="O96" i="30"/>
  <c r="L97" i="30"/>
  <c r="M97" i="30"/>
  <c r="P97" i="30"/>
  <c r="O97" i="30"/>
  <c r="L98" i="30"/>
  <c r="M98" i="30"/>
  <c r="P98" i="30"/>
  <c r="O98" i="30"/>
  <c r="L99" i="30"/>
  <c r="M99" i="30"/>
  <c r="P99" i="30"/>
  <c r="O99" i="30"/>
  <c r="L100" i="30"/>
  <c r="M100" i="30"/>
  <c r="P100" i="30"/>
  <c r="O100" i="30"/>
  <c r="L101" i="30"/>
  <c r="M101" i="30"/>
  <c r="P101" i="30"/>
  <c r="O101" i="30"/>
  <c r="L102" i="30"/>
  <c r="M102" i="30"/>
  <c r="P102" i="30"/>
  <c r="O102" i="30"/>
  <c r="L103" i="30"/>
  <c r="M103" i="30"/>
  <c r="P103" i="30"/>
  <c r="O103" i="30"/>
  <c r="L104" i="30"/>
  <c r="M104" i="30"/>
  <c r="P104" i="30"/>
  <c r="O104" i="30"/>
  <c r="L105" i="30"/>
  <c r="M105" i="30"/>
  <c r="P105" i="30"/>
  <c r="O105" i="30"/>
  <c r="L106" i="30"/>
  <c r="M106" i="30"/>
  <c r="P106" i="30"/>
  <c r="O106" i="30"/>
  <c r="L107" i="30"/>
  <c r="M107" i="30"/>
  <c r="P107" i="30"/>
  <c r="O107" i="30"/>
  <c r="P108" i="30"/>
  <c r="O108" i="30"/>
  <c r="P109" i="30"/>
  <c r="O109" i="30"/>
  <c r="O1" i="30"/>
  <c r="P1" i="30"/>
  <c r="N2" i="38"/>
  <c r="J2" i="28"/>
  <c r="J3" i="28"/>
  <c r="J4" i="28"/>
  <c r="J5" i="28"/>
  <c r="J6" i="28"/>
  <c r="K6" i="28"/>
  <c r="J7" i="28"/>
  <c r="K7" i="28"/>
  <c r="J8" i="28"/>
  <c r="K8" i="28"/>
  <c r="J9" i="28"/>
  <c r="J10" i="28"/>
  <c r="J11" i="28"/>
  <c r="K11" i="28"/>
  <c r="J12" i="28"/>
  <c r="J13" i="28"/>
  <c r="J14" i="28"/>
  <c r="J15" i="28"/>
  <c r="J16" i="28"/>
  <c r="J17" i="28"/>
  <c r="J18" i="28"/>
  <c r="J19" i="28"/>
  <c r="J20" i="28"/>
  <c r="J21" i="28"/>
  <c r="J22" i="28"/>
  <c r="K22" i="28"/>
  <c r="J23" i="28"/>
  <c r="K23" i="28"/>
  <c r="J24" i="28"/>
  <c r="K24" i="28"/>
  <c r="J25" i="28"/>
  <c r="J26" i="28"/>
  <c r="J27" i="28"/>
  <c r="K27" i="28"/>
  <c r="J28" i="28"/>
  <c r="K28" i="28"/>
  <c r="J29" i="28"/>
  <c r="J30" i="28"/>
  <c r="K30" i="28"/>
  <c r="J31" i="28"/>
  <c r="J32" i="28"/>
  <c r="J33" i="28"/>
  <c r="J34" i="28"/>
  <c r="J35" i="28"/>
  <c r="J36" i="28"/>
  <c r="J37" i="28"/>
  <c r="J38" i="28"/>
  <c r="K38" i="28"/>
  <c r="J39" i="28"/>
  <c r="K39" i="28"/>
  <c r="J40" i="28"/>
  <c r="K40" i="28"/>
  <c r="J41" i="28"/>
  <c r="K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K54" i="28"/>
  <c r="J55" i="28"/>
  <c r="K55" i="28"/>
  <c r="J56" i="28"/>
  <c r="K56" i="28"/>
  <c r="J57" i="28"/>
  <c r="J58" i="28"/>
  <c r="K58" i="28"/>
  <c r="J59" i="28"/>
  <c r="K59" i="28"/>
  <c r="J60" i="28"/>
  <c r="K60" i="28"/>
  <c r="J61" i="28"/>
  <c r="J62" i="28"/>
  <c r="J63" i="28"/>
  <c r="J64" i="28"/>
  <c r="J65" i="28"/>
  <c r="J66" i="28"/>
  <c r="J67" i="28"/>
  <c r="J68" i="28"/>
  <c r="J69" i="28"/>
  <c r="J70" i="28"/>
  <c r="K70" i="28"/>
  <c r="J71" i="28"/>
  <c r="K71" i="28"/>
  <c r="J72" i="28"/>
  <c r="K72" i="28"/>
  <c r="J73" i="28"/>
  <c r="K73" i="28"/>
  <c r="J74" i="28"/>
  <c r="J75" i="28"/>
  <c r="K75" i="28"/>
  <c r="J76" i="28"/>
  <c r="J77" i="28"/>
  <c r="J78" i="28"/>
  <c r="J79" i="28"/>
  <c r="J80" i="28"/>
  <c r="J81" i="28"/>
  <c r="J82" i="28"/>
  <c r="J83" i="28"/>
  <c r="J84" i="28"/>
  <c r="J85" i="28"/>
  <c r="J86" i="28"/>
  <c r="K86" i="28"/>
  <c r="J87" i="28"/>
  <c r="K87" i="28"/>
  <c r="J88" i="28"/>
  <c r="K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K102" i="28"/>
  <c r="J103" i="28"/>
  <c r="K103" i="28"/>
  <c r="J104" i="28"/>
  <c r="K104" i="28"/>
  <c r="J105" i="28"/>
  <c r="J106" i="28"/>
  <c r="J107" i="28"/>
  <c r="K107" i="28"/>
  <c r="J108" i="28"/>
  <c r="J109" i="28"/>
  <c r="AX109" i="67"/>
  <c r="M109" i="156" s="1"/>
  <c r="AU90" i="67"/>
  <c r="AV90" i="67"/>
  <c r="AU91" i="67"/>
  <c r="AV91" i="67"/>
  <c r="AU92" i="67"/>
  <c r="AV92" i="67"/>
  <c r="AU93" i="67"/>
  <c r="AV93" i="67"/>
  <c r="AU94" i="67"/>
  <c r="AV94" i="67"/>
  <c r="AU95" i="67"/>
  <c r="AV95" i="67"/>
  <c r="AU96" i="67"/>
  <c r="AV96" i="67"/>
  <c r="AU97" i="67"/>
  <c r="AV97" i="67"/>
  <c r="AU98" i="67"/>
  <c r="AV98" i="67"/>
  <c r="AU99" i="67"/>
  <c r="AV99" i="67"/>
  <c r="AU100" i="67"/>
  <c r="AV100" i="67"/>
  <c r="AU101" i="67"/>
  <c r="AV101" i="67"/>
  <c r="AU102" i="67"/>
  <c r="AV102" i="67"/>
  <c r="AU103" i="67"/>
  <c r="AV103" i="67"/>
  <c r="AU104" i="67"/>
  <c r="AV104" i="67"/>
  <c r="AU105" i="67"/>
  <c r="AV105" i="67"/>
  <c r="AU106" i="67"/>
  <c r="AV106" i="67"/>
  <c r="AU107" i="67"/>
  <c r="AV107" i="67"/>
  <c r="AU108" i="67"/>
  <c r="AV108" i="67"/>
  <c r="AU109" i="67"/>
  <c r="AV109" i="67"/>
  <c r="P2" i="65"/>
  <c r="Q2" i="65"/>
  <c r="S2" i="65"/>
  <c r="R2" i="65"/>
  <c r="AW2" i="67"/>
  <c r="AW3" i="67"/>
  <c r="AW4" i="67"/>
  <c r="AW5" i="67"/>
  <c r="AW6" i="67"/>
  <c r="AW7" i="67"/>
  <c r="AW8" i="67"/>
  <c r="AW9" i="67"/>
  <c r="AW10" i="67"/>
  <c r="AW11" i="67"/>
  <c r="AW12" i="67"/>
  <c r="AW13" i="67"/>
  <c r="R16" i="65"/>
  <c r="AW14" i="67" s="1"/>
  <c r="R17" i="65"/>
  <c r="AW15" i="67" s="1"/>
  <c r="R18" i="65"/>
  <c r="AW16" i="67" s="1"/>
  <c r="R19" i="65"/>
  <c r="AW17" i="67" s="1"/>
  <c r="R20" i="65"/>
  <c r="AW18" i="67" s="1"/>
  <c r="R21" i="65"/>
  <c r="AW19" i="67" s="1"/>
  <c r="R22" i="65"/>
  <c r="AW20" i="67" s="1"/>
  <c r="R23" i="65"/>
  <c r="AW21" i="67" s="1"/>
  <c r="R24" i="65"/>
  <c r="AW22" i="67" s="1"/>
  <c r="R25" i="65"/>
  <c r="AW23" i="67" s="1"/>
  <c r="R26" i="65"/>
  <c r="AW24" i="67" s="1"/>
  <c r="R27" i="65"/>
  <c r="AW25" i="67" s="1"/>
  <c r="R28" i="65"/>
  <c r="AW26" i="67" s="1"/>
  <c r="R29" i="65"/>
  <c r="AW27" i="67" s="1"/>
  <c r="R30" i="65"/>
  <c r="AW28" i="67" s="1"/>
  <c r="R31" i="65"/>
  <c r="AW29" i="67" s="1"/>
  <c r="R32" i="65"/>
  <c r="AW30" i="67" s="1"/>
  <c r="R33" i="65"/>
  <c r="AW31" i="67" s="1"/>
  <c r="R34" i="65"/>
  <c r="AW32" i="67" s="1"/>
  <c r="R35" i="65"/>
  <c r="AW33" i="67" s="1"/>
  <c r="R36" i="65"/>
  <c r="AW34" i="67" s="1"/>
  <c r="R37" i="65"/>
  <c r="AW35" i="67" s="1"/>
  <c r="R38" i="65"/>
  <c r="AW36" i="67" s="1"/>
  <c r="R39" i="65"/>
  <c r="AW37" i="67" s="1"/>
  <c r="R40" i="65"/>
  <c r="AW38" i="67" s="1"/>
  <c r="R41" i="65"/>
  <c r="AW39" i="67" s="1"/>
  <c r="R42" i="65"/>
  <c r="AW40" i="67" s="1"/>
  <c r="R43" i="65"/>
  <c r="AW41" i="67" s="1"/>
  <c r="R44" i="65"/>
  <c r="AW42" i="67" s="1"/>
  <c r="R45" i="65"/>
  <c r="AW43" i="67" s="1"/>
  <c r="R46" i="65"/>
  <c r="AW44" i="67" s="1"/>
  <c r="R47" i="65"/>
  <c r="AW45" i="67" s="1"/>
  <c r="R48" i="65"/>
  <c r="AW46" i="67" s="1"/>
  <c r="R49" i="65"/>
  <c r="AW47" i="67" s="1"/>
  <c r="R50" i="65"/>
  <c r="AW48" i="67" s="1"/>
  <c r="R51" i="65"/>
  <c r="AW49" i="67" s="1"/>
  <c r="R52" i="65"/>
  <c r="AW50" i="67" s="1"/>
  <c r="R53" i="65"/>
  <c r="AW51" i="67" s="1"/>
  <c r="R54" i="65"/>
  <c r="AW52" i="67" s="1"/>
  <c r="R55" i="65"/>
  <c r="AW53" i="67" s="1"/>
  <c r="R56" i="65"/>
  <c r="AW54" i="67" s="1"/>
  <c r="R57" i="65"/>
  <c r="AW55" i="67" s="1"/>
  <c r="R58" i="65"/>
  <c r="AW56" i="67" s="1"/>
  <c r="R59" i="65"/>
  <c r="AW57" i="67" s="1"/>
  <c r="R60" i="65"/>
  <c r="AW58" i="67" s="1"/>
  <c r="R61" i="65"/>
  <c r="AW59" i="67" s="1"/>
  <c r="R62" i="65"/>
  <c r="AW60" i="67" s="1"/>
  <c r="R63" i="65"/>
  <c r="AW61" i="67" s="1"/>
  <c r="R64" i="65"/>
  <c r="AW62" i="67" s="1"/>
  <c r="R65" i="65"/>
  <c r="AW63" i="67" s="1"/>
  <c r="R66" i="65"/>
  <c r="AW64" i="67" s="1"/>
  <c r="R67" i="65"/>
  <c r="AW65" i="67" s="1"/>
  <c r="R68" i="65"/>
  <c r="AW66" i="67" s="1"/>
  <c r="R69" i="65"/>
  <c r="AW67" i="67" s="1"/>
  <c r="R70" i="65"/>
  <c r="AW68" i="67" s="1"/>
  <c r="R71" i="65"/>
  <c r="AW69" i="67" s="1"/>
  <c r="R72" i="65"/>
  <c r="AW70" i="67" s="1"/>
  <c r="R73" i="65"/>
  <c r="AW71" i="67" s="1"/>
  <c r="R74" i="65"/>
  <c r="AW72" i="67" s="1"/>
  <c r="R75" i="65"/>
  <c r="AW73" i="67" s="1"/>
  <c r="R76" i="65"/>
  <c r="AW74" i="67" s="1"/>
  <c r="R77" i="65"/>
  <c r="AW75" i="67" s="1"/>
  <c r="R78" i="65"/>
  <c r="AW76" i="67" s="1"/>
  <c r="R79" i="65"/>
  <c r="AW77" i="67" s="1"/>
  <c r="R80" i="65"/>
  <c r="AW78" i="67" s="1"/>
  <c r="R81" i="65"/>
  <c r="AW79" i="67" s="1"/>
  <c r="R82" i="65"/>
  <c r="AW80" i="67" s="1"/>
  <c r="R83" i="65"/>
  <c r="AW81" i="67" s="1"/>
  <c r="R84" i="65"/>
  <c r="AW82" i="67" s="1"/>
  <c r="R85" i="65"/>
  <c r="AW83" i="67" s="1"/>
  <c r="R86" i="65"/>
  <c r="AW84" i="67" s="1"/>
  <c r="R87" i="65"/>
  <c r="AW85" i="67" s="1"/>
  <c r="R88" i="65"/>
  <c r="AW86" i="67" s="1"/>
  <c r="R89" i="65"/>
  <c r="AW87" i="67" s="1"/>
  <c r="R90" i="65"/>
  <c r="AW88" i="67" s="1"/>
  <c r="R91" i="65"/>
  <c r="AW89" i="67" s="1"/>
  <c r="R92" i="65"/>
  <c r="AW90" i="67" s="1"/>
  <c r="R93" i="65"/>
  <c r="AW91" i="67" s="1"/>
  <c r="R94" i="65"/>
  <c r="AW92" i="67" s="1"/>
  <c r="R95" i="65"/>
  <c r="AW93" i="67" s="1"/>
  <c r="R96" i="65"/>
  <c r="AW94" i="67" s="1"/>
  <c r="R97" i="65"/>
  <c r="AW95" i="67" s="1"/>
  <c r="R98" i="65"/>
  <c r="AW96" i="67" s="1"/>
  <c r="R99" i="65"/>
  <c r="AW97" i="67" s="1"/>
  <c r="AX2" i="67"/>
  <c r="M2" i="156" s="1"/>
  <c r="AX3" i="67"/>
  <c r="M3" i="156" s="1"/>
  <c r="AX4" i="67"/>
  <c r="M4" i="156" s="1"/>
  <c r="AX5" i="67"/>
  <c r="M5" i="156" s="1"/>
  <c r="AX6" i="67"/>
  <c r="M6" i="156" s="1"/>
  <c r="AX7" i="67"/>
  <c r="M7" i="156" s="1"/>
  <c r="AX8" i="67"/>
  <c r="M8" i="156" s="1"/>
  <c r="AX9" i="67"/>
  <c r="M9" i="156" s="1"/>
  <c r="AX10" i="67"/>
  <c r="M10" i="156" s="1"/>
  <c r="AX11" i="67"/>
  <c r="M11" i="156" s="1"/>
  <c r="AX12" i="67"/>
  <c r="M12" i="156" s="1"/>
  <c r="AX13" i="67"/>
  <c r="M13" i="156" s="1"/>
  <c r="AX14" i="67"/>
  <c r="M14" i="156" s="1"/>
  <c r="AX15" i="67"/>
  <c r="M15" i="156" s="1"/>
  <c r="AX16" i="67"/>
  <c r="M16" i="156" s="1"/>
  <c r="AX17" i="67"/>
  <c r="M17" i="156" s="1"/>
  <c r="AX18" i="67"/>
  <c r="M18" i="156" s="1"/>
  <c r="AX19" i="67"/>
  <c r="M19" i="156" s="1"/>
  <c r="AX20" i="67"/>
  <c r="M20" i="156" s="1"/>
  <c r="AX21" i="67"/>
  <c r="M21" i="156" s="1"/>
  <c r="AX22" i="67"/>
  <c r="M22" i="156" s="1"/>
  <c r="AX23" i="67"/>
  <c r="M23" i="156" s="1"/>
  <c r="AX24" i="67"/>
  <c r="M24" i="156" s="1"/>
  <c r="AX25" i="67"/>
  <c r="M25" i="156" s="1"/>
  <c r="AX26" i="67"/>
  <c r="M26" i="156" s="1"/>
  <c r="AX27" i="67"/>
  <c r="M27" i="156" s="1"/>
  <c r="AX28" i="67"/>
  <c r="M28" i="156" s="1"/>
  <c r="AX29" i="67"/>
  <c r="M29" i="156" s="1"/>
  <c r="AX30" i="67"/>
  <c r="M30" i="156" s="1"/>
  <c r="AX31" i="67"/>
  <c r="M31" i="156" s="1"/>
  <c r="AX32" i="67"/>
  <c r="M32" i="156" s="1"/>
  <c r="AX33" i="67"/>
  <c r="M33" i="156" s="1"/>
  <c r="AX34" i="67"/>
  <c r="M34" i="156" s="1"/>
  <c r="AX35" i="67"/>
  <c r="M35" i="156" s="1"/>
  <c r="AX36" i="67"/>
  <c r="M36" i="156" s="1"/>
  <c r="AX37" i="67"/>
  <c r="M37" i="156" s="1"/>
  <c r="AX38" i="67"/>
  <c r="M38" i="156" s="1"/>
  <c r="AX39" i="67"/>
  <c r="M39" i="156" s="1"/>
  <c r="AX40" i="67"/>
  <c r="M40" i="156" s="1"/>
  <c r="AX41" i="67"/>
  <c r="M41" i="156" s="1"/>
  <c r="AX42" i="67"/>
  <c r="M42" i="156" s="1"/>
  <c r="AX43" i="67"/>
  <c r="M43" i="156" s="1"/>
  <c r="AX44" i="67"/>
  <c r="M44" i="156" s="1"/>
  <c r="AX45" i="67"/>
  <c r="M45" i="156" s="1"/>
  <c r="AX46" i="67"/>
  <c r="M46" i="156" s="1"/>
  <c r="AX47" i="67"/>
  <c r="M47" i="156" s="1"/>
  <c r="AX48" i="67"/>
  <c r="M48" i="156" s="1"/>
  <c r="AX49" i="67"/>
  <c r="M49" i="156" s="1"/>
  <c r="AX50" i="67"/>
  <c r="M50" i="156" s="1"/>
  <c r="AX51" i="67"/>
  <c r="M51" i="156" s="1"/>
  <c r="AX52" i="67"/>
  <c r="M52" i="156" s="1"/>
  <c r="AX53" i="67"/>
  <c r="M53" i="156" s="1"/>
  <c r="AX54" i="67"/>
  <c r="M54" i="156" s="1"/>
  <c r="AX55" i="67"/>
  <c r="M55" i="156" s="1"/>
  <c r="AX56" i="67"/>
  <c r="M56" i="156" s="1"/>
  <c r="AX57" i="67"/>
  <c r="M57" i="156" s="1"/>
  <c r="AX58" i="67"/>
  <c r="M58" i="156" s="1"/>
  <c r="AX59" i="67"/>
  <c r="M59" i="156" s="1"/>
  <c r="AX60" i="67"/>
  <c r="M60" i="156" s="1"/>
  <c r="AX61" i="67"/>
  <c r="M61" i="156" s="1"/>
  <c r="AX62" i="67"/>
  <c r="M62" i="156" s="1"/>
  <c r="AX63" i="67"/>
  <c r="M63" i="156" s="1"/>
  <c r="AX64" i="67"/>
  <c r="M64" i="156" s="1"/>
  <c r="AX65" i="67"/>
  <c r="M65" i="156" s="1"/>
  <c r="AX66" i="67"/>
  <c r="M66" i="156" s="1"/>
  <c r="AX67" i="67"/>
  <c r="M67" i="156" s="1"/>
  <c r="AX68" i="67"/>
  <c r="M68" i="156" s="1"/>
  <c r="AX69" i="67"/>
  <c r="M69" i="156" s="1"/>
  <c r="AX70" i="67"/>
  <c r="M70" i="156" s="1"/>
  <c r="AX71" i="67"/>
  <c r="M71" i="156" s="1"/>
  <c r="AX72" i="67"/>
  <c r="M72" i="156" s="1"/>
  <c r="AX73" i="67"/>
  <c r="M73" i="156" s="1"/>
  <c r="AX74" i="67"/>
  <c r="M74" i="156" s="1"/>
  <c r="AX75" i="67"/>
  <c r="M75" i="156" s="1"/>
  <c r="AX76" i="67"/>
  <c r="M76" i="156" s="1"/>
  <c r="AX77" i="67"/>
  <c r="M77" i="156" s="1"/>
  <c r="AX78" i="67"/>
  <c r="M78" i="156" s="1"/>
  <c r="AX79" i="67"/>
  <c r="M79" i="156" s="1"/>
  <c r="AX80" i="67"/>
  <c r="M80" i="156" s="1"/>
  <c r="AX81" i="67"/>
  <c r="M81" i="156" s="1"/>
  <c r="AX82" i="67"/>
  <c r="M82" i="156" s="1"/>
  <c r="AX83" i="67"/>
  <c r="M83" i="156" s="1"/>
  <c r="AX84" i="67"/>
  <c r="M84" i="156" s="1"/>
  <c r="AX85" i="67"/>
  <c r="M85" i="156" s="1"/>
  <c r="AX86" i="67"/>
  <c r="M86" i="156" s="1"/>
  <c r="AX87" i="67"/>
  <c r="M87" i="156" s="1"/>
  <c r="AX88" i="67"/>
  <c r="M88" i="156" s="1"/>
  <c r="AX89" i="67"/>
  <c r="M89" i="156" s="1"/>
  <c r="AX90" i="67"/>
  <c r="M90" i="156" s="1"/>
  <c r="AX91" i="67"/>
  <c r="M91" i="156" s="1"/>
  <c r="AX92" i="67"/>
  <c r="M92" i="156" s="1"/>
  <c r="AX93" i="67"/>
  <c r="M93" i="156" s="1"/>
  <c r="AX94" i="67"/>
  <c r="M94" i="156" s="1"/>
  <c r="AX95" i="67"/>
  <c r="M95" i="156" s="1"/>
  <c r="AX96" i="67"/>
  <c r="M96" i="156" s="1"/>
  <c r="AX97" i="67"/>
  <c r="M97" i="156" s="1"/>
  <c r="AX98" i="67"/>
  <c r="M98" i="156" s="1"/>
  <c r="AX99" i="67"/>
  <c r="M99" i="156" s="1"/>
  <c r="AX100" i="67"/>
  <c r="M100" i="156" s="1"/>
  <c r="AX101" i="67"/>
  <c r="M101" i="156" s="1"/>
  <c r="AX102" i="67"/>
  <c r="M102" i="156" s="1"/>
  <c r="AX103" i="67"/>
  <c r="M103" i="156" s="1"/>
  <c r="AX104" i="67"/>
  <c r="M104" i="156" s="1"/>
  <c r="AX105" i="67"/>
  <c r="M105" i="156" s="1"/>
  <c r="AX106" i="67"/>
  <c r="M106" i="156" s="1"/>
  <c r="AX107" i="67"/>
  <c r="M107" i="156" s="1"/>
  <c r="O2" i="65"/>
  <c r="N2" i="65"/>
  <c r="AT90" i="67"/>
  <c r="AT91" i="67"/>
  <c r="AT92" i="67"/>
  <c r="AT93" i="67"/>
  <c r="AT94" i="67"/>
  <c r="AT95" i="67"/>
  <c r="AT96" i="67"/>
  <c r="AT97" i="67"/>
  <c r="AT98" i="67"/>
  <c r="AT99" i="67"/>
  <c r="AT100" i="67"/>
  <c r="AT101" i="67"/>
  <c r="AT102" i="67"/>
  <c r="AT103" i="67"/>
  <c r="AT104" i="67"/>
  <c r="AT105" i="67"/>
  <c r="AT106" i="67"/>
  <c r="AT107" i="67"/>
  <c r="AT108" i="67"/>
  <c r="AT109" i="67"/>
  <c r="AS90" i="67"/>
  <c r="AS91" i="67"/>
  <c r="AS92" i="67"/>
  <c r="AS93" i="67"/>
  <c r="AS94" i="67"/>
  <c r="AS95" i="67"/>
  <c r="AS96" i="67"/>
  <c r="AS97" i="67"/>
  <c r="AS98" i="67"/>
  <c r="AS99" i="67"/>
  <c r="AS100" i="67"/>
  <c r="AS101" i="67"/>
  <c r="AS102" i="67"/>
  <c r="AS103" i="67"/>
  <c r="AS104" i="67"/>
  <c r="AS105" i="67"/>
  <c r="AS106" i="67"/>
  <c r="AS107" i="67"/>
  <c r="AS108" i="67"/>
  <c r="AS109" i="67"/>
  <c r="J2" i="38"/>
  <c r="J3" i="38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J85" i="38"/>
  <c r="J86" i="38"/>
  <c r="J87" i="38"/>
  <c r="J88" i="38"/>
  <c r="J89" i="38"/>
  <c r="J90" i="38"/>
  <c r="J91" i="38"/>
  <c r="J92" i="38"/>
  <c r="J93" i="38"/>
  <c r="J94" i="38"/>
  <c r="J95" i="38"/>
  <c r="J96" i="38"/>
  <c r="J97" i="38"/>
  <c r="J98" i="38"/>
  <c r="J99" i="38"/>
  <c r="J100" i="38"/>
  <c r="J101" i="38"/>
  <c r="J102" i="38"/>
  <c r="J103" i="38"/>
  <c r="J104" i="38"/>
  <c r="J105" i="38"/>
  <c r="J106" i="38"/>
  <c r="J107" i="38"/>
  <c r="J108" i="38"/>
  <c r="J109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39" i="38"/>
  <c r="J140" i="38"/>
  <c r="J141" i="38"/>
  <c r="J142" i="38"/>
  <c r="J143" i="38"/>
  <c r="J144" i="38"/>
  <c r="J145" i="38"/>
  <c r="AN24" i="57" l="1"/>
  <c r="AM23" i="57"/>
  <c r="H31" i="74" s="1"/>
  <c r="K26" i="154"/>
  <c r="T26" i="154" s="1"/>
  <c r="K26" i="153"/>
  <c r="T26" i="153" s="1"/>
  <c r="K89" i="154"/>
  <c r="T89" i="154" s="1"/>
  <c r="K89" i="153"/>
  <c r="T89" i="153" s="1"/>
  <c r="K57" i="154"/>
  <c r="T57" i="154" s="1"/>
  <c r="K57" i="153"/>
  <c r="T57" i="153" s="1"/>
  <c r="K25" i="154"/>
  <c r="T25" i="154" s="1"/>
  <c r="K25" i="153"/>
  <c r="T25" i="153" s="1"/>
  <c r="K102" i="154"/>
  <c r="T102" i="154" s="1"/>
  <c r="K102" i="153"/>
  <c r="T102" i="153" s="1"/>
  <c r="K86" i="154"/>
  <c r="T86" i="154" s="1"/>
  <c r="K86" i="153"/>
  <c r="T86" i="153" s="1"/>
  <c r="K70" i="154"/>
  <c r="T70" i="154" s="1"/>
  <c r="K70" i="153"/>
  <c r="T70" i="153" s="1"/>
  <c r="K54" i="154"/>
  <c r="T54" i="154" s="1"/>
  <c r="K54" i="153"/>
  <c r="T54" i="153" s="1"/>
  <c r="K38" i="154"/>
  <c r="T38" i="154" s="1"/>
  <c r="K38" i="153"/>
  <c r="T38" i="153" s="1"/>
  <c r="K22" i="154"/>
  <c r="T22" i="154" s="1"/>
  <c r="K22" i="153"/>
  <c r="T22" i="153" s="1"/>
  <c r="K6" i="154"/>
  <c r="T6" i="154" s="1"/>
  <c r="K6" i="153"/>
  <c r="T6" i="153" s="1"/>
  <c r="K101" i="154"/>
  <c r="T101" i="154" s="1"/>
  <c r="K101" i="153"/>
  <c r="T101" i="153" s="1"/>
  <c r="K85" i="154"/>
  <c r="T85" i="154" s="1"/>
  <c r="K85" i="153"/>
  <c r="T85" i="153" s="1"/>
  <c r="K69" i="154"/>
  <c r="T69" i="154" s="1"/>
  <c r="K69" i="153"/>
  <c r="T69" i="153" s="1"/>
  <c r="K53" i="154"/>
  <c r="T53" i="154" s="1"/>
  <c r="K53" i="153"/>
  <c r="T53" i="153" s="1"/>
  <c r="K37" i="154"/>
  <c r="T37" i="154" s="1"/>
  <c r="K37" i="153"/>
  <c r="T37" i="153" s="1"/>
  <c r="K21" i="154"/>
  <c r="T21" i="154" s="1"/>
  <c r="K21" i="153"/>
  <c r="T21" i="153" s="1"/>
  <c r="K5" i="154"/>
  <c r="T5" i="154" s="1"/>
  <c r="K5" i="153"/>
  <c r="T5" i="153" s="1"/>
  <c r="K109" i="154"/>
  <c r="T109" i="154" s="1"/>
  <c r="K109" i="153"/>
  <c r="T109" i="153" s="1"/>
  <c r="K74" i="154"/>
  <c r="T74" i="154" s="1"/>
  <c r="K74" i="153"/>
  <c r="T74" i="153" s="1"/>
  <c r="K100" i="154"/>
  <c r="T100" i="154" s="1"/>
  <c r="K100" i="153"/>
  <c r="T100" i="153" s="1"/>
  <c r="K84" i="154"/>
  <c r="T84" i="154" s="1"/>
  <c r="K84" i="153"/>
  <c r="T84" i="153" s="1"/>
  <c r="K68" i="154"/>
  <c r="T68" i="154" s="1"/>
  <c r="K68" i="153"/>
  <c r="T68" i="153" s="1"/>
  <c r="K52" i="154"/>
  <c r="T52" i="154" s="1"/>
  <c r="K52" i="153"/>
  <c r="T52" i="153" s="1"/>
  <c r="K36" i="154"/>
  <c r="T36" i="154" s="1"/>
  <c r="K36" i="153"/>
  <c r="T36" i="153" s="1"/>
  <c r="K20" i="154"/>
  <c r="T20" i="154" s="1"/>
  <c r="K20" i="153"/>
  <c r="T20" i="153" s="1"/>
  <c r="K4" i="154"/>
  <c r="T4" i="154" s="1"/>
  <c r="K4" i="153"/>
  <c r="T4" i="153" s="1"/>
  <c r="K99" i="154"/>
  <c r="T99" i="154" s="1"/>
  <c r="K99" i="153"/>
  <c r="T99" i="153" s="1"/>
  <c r="K83" i="154"/>
  <c r="T83" i="154" s="1"/>
  <c r="K83" i="153"/>
  <c r="T83" i="153" s="1"/>
  <c r="K67" i="154"/>
  <c r="T67" i="154" s="1"/>
  <c r="K67" i="153"/>
  <c r="T67" i="153" s="1"/>
  <c r="K51" i="154"/>
  <c r="T51" i="154" s="1"/>
  <c r="K51" i="153"/>
  <c r="T51" i="153" s="1"/>
  <c r="K35" i="154"/>
  <c r="T35" i="154" s="1"/>
  <c r="K35" i="153"/>
  <c r="T35" i="153" s="1"/>
  <c r="K19" i="154"/>
  <c r="T19" i="154" s="1"/>
  <c r="K19" i="153"/>
  <c r="T19" i="153" s="1"/>
  <c r="K3" i="154"/>
  <c r="T3" i="154" s="1"/>
  <c r="K3" i="153"/>
  <c r="T3" i="153" s="1"/>
  <c r="K98" i="154"/>
  <c r="T98" i="154" s="1"/>
  <c r="K98" i="153"/>
  <c r="T98" i="153" s="1"/>
  <c r="K82" i="154"/>
  <c r="T82" i="154" s="1"/>
  <c r="K82" i="153"/>
  <c r="T82" i="153" s="1"/>
  <c r="K66" i="154"/>
  <c r="T66" i="154" s="1"/>
  <c r="K66" i="153"/>
  <c r="T66" i="153" s="1"/>
  <c r="K50" i="154"/>
  <c r="T50" i="154" s="1"/>
  <c r="K50" i="153"/>
  <c r="T50" i="153" s="1"/>
  <c r="K34" i="154"/>
  <c r="T34" i="154" s="1"/>
  <c r="K34" i="153"/>
  <c r="T34" i="153" s="1"/>
  <c r="K18" i="154"/>
  <c r="T18" i="154" s="1"/>
  <c r="K18" i="153"/>
  <c r="T18" i="153" s="1"/>
  <c r="K2" i="154"/>
  <c r="T2" i="154" s="1"/>
  <c r="K2" i="153"/>
  <c r="T2" i="153" s="1"/>
  <c r="U2" i="153" s="1"/>
  <c r="K97" i="154"/>
  <c r="T97" i="154" s="1"/>
  <c r="K97" i="153"/>
  <c r="T97" i="153" s="1"/>
  <c r="K96" i="154"/>
  <c r="T96" i="154" s="1"/>
  <c r="K96" i="153"/>
  <c r="T96" i="153" s="1"/>
  <c r="K80" i="154"/>
  <c r="T80" i="154" s="1"/>
  <c r="K80" i="153"/>
  <c r="T80" i="153" s="1"/>
  <c r="K64" i="154"/>
  <c r="T64" i="154" s="1"/>
  <c r="K64" i="153"/>
  <c r="T64" i="153" s="1"/>
  <c r="K48" i="154"/>
  <c r="T48" i="154" s="1"/>
  <c r="K48" i="153"/>
  <c r="T48" i="153" s="1"/>
  <c r="K32" i="154"/>
  <c r="T32" i="154" s="1"/>
  <c r="K32" i="153"/>
  <c r="T32" i="153" s="1"/>
  <c r="K16" i="154"/>
  <c r="T16" i="154" s="1"/>
  <c r="K16" i="153"/>
  <c r="T16" i="153" s="1"/>
  <c r="K95" i="154"/>
  <c r="T95" i="154" s="1"/>
  <c r="K95" i="153"/>
  <c r="T95" i="153" s="1"/>
  <c r="K79" i="154"/>
  <c r="T79" i="154" s="1"/>
  <c r="K79" i="153"/>
  <c r="T79" i="153" s="1"/>
  <c r="K63" i="154"/>
  <c r="T63" i="154" s="1"/>
  <c r="K63" i="153"/>
  <c r="T63" i="153" s="1"/>
  <c r="K47" i="154"/>
  <c r="T47" i="154" s="1"/>
  <c r="K47" i="153"/>
  <c r="T47" i="153" s="1"/>
  <c r="K31" i="154"/>
  <c r="T31" i="154" s="1"/>
  <c r="K31" i="153"/>
  <c r="T31" i="153" s="1"/>
  <c r="K15" i="154"/>
  <c r="T15" i="154" s="1"/>
  <c r="K15" i="153"/>
  <c r="T15" i="153" s="1"/>
  <c r="K14" i="154"/>
  <c r="T14" i="154" s="1"/>
  <c r="K14" i="153"/>
  <c r="T14" i="153" s="1"/>
  <c r="K81" i="154"/>
  <c r="T81" i="154" s="1"/>
  <c r="K81" i="153"/>
  <c r="T81" i="153" s="1"/>
  <c r="K49" i="154"/>
  <c r="T49" i="154" s="1"/>
  <c r="K49" i="153"/>
  <c r="T49" i="153" s="1"/>
  <c r="K17" i="154"/>
  <c r="T17" i="154" s="1"/>
  <c r="K17" i="153"/>
  <c r="T17" i="153" s="1"/>
  <c r="K94" i="154"/>
  <c r="T94" i="154" s="1"/>
  <c r="K94" i="153"/>
  <c r="T94" i="153" s="1"/>
  <c r="K78" i="154"/>
  <c r="T78" i="154" s="1"/>
  <c r="K78" i="153"/>
  <c r="T78" i="153" s="1"/>
  <c r="K62" i="154"/>
  <c r="T62" i="154" s="1"/>
  <c r="K62" i="153"/>
  <c r="T62" i="153" s="1"/>
  <c r="K46" i="154"/>
  <c r="T46" i="154" s="1"/>
  <c r="K46" i="153"/>
  <c r="T46" i="153" s="1"/>
  <c r="K30" i="154"/>
  <c r="T30" i="154" s="1"/>
  <c r="K30" i="153"/>
  <c r="T30" i="153" s="1"/>
  <c r="K93" i="154"/>
  <c r="T93" i="154" s="1"/>
  <c r="K93" i="153"/>
  <c r="T93" i="153" s="1"/>
  <c r="K77" i="154"/>
  <c r="T77" i="154" s="1"/>
  <c r="K77" i="153"/>
  <c r="T77" i="153" s="1"/>
  <c r="K61" i="154"/>
  <c r="T61" i="154" s="1"/>
  <c r="K61" i="153"/>
  <c r="T61" i="153" s="1"/>
  <c r="K45" i="154"/>
  <c r="T45" i="154" s="1"/>
  <c r="K45" i="153"/>
  <c r="T45" i="153" s="1"/>
  <c r="K29" i="154"/>
  <c r="T29" i="154" s="1"/>
  <c r="K29" i="153"/>
  <c r="T29" i="153" s="1"/>
  <c r="K13" i="154"/>
  <c r="T13" i="154" s="1"/>
  <c r="K13" i="153"/>
  <c r="T13" i="153" s="1"/>
  <c r="K107" i="154"/>
  <c r="T107" i="154" s="1"/>
  <c r="K107" i="153"/>
  <c r="T107" i="153" s="1"/>
  <c r="K91" i="154"/>
  <c r="T91" i="154" s="1"/>
  <c r="K91" i="153"/>
  <c r="T91" i="153" s="1"/>
  <c r="K75" i="154"/>
  <c r="T75" i="154" s="1"/>
  <c r="K75" i="153"/>
  <c r="T75" i="153" s="1"/>
  <c r="K59" i="154"/>
  <c r="T59" i="154" s="1"/>
  <c r="K59" i="153"/>
  <c r="T59" i="153" s="1"/>
  <c r="K43" i="154"/>
  <c r="T43" i="154" s="1"/>
  <c r="K43" i="153"/>
  <c r="T43" i="153" s="1"/>
  <c r="K27" i="154"/>
  <c r="T27" i="154" s="1"/>
  <c r="K27" i="153"/>
  <c r="T27" i="153" s="1"/>
  <c r="K11" i="154"/>
  <c r="T11" i="154" s="1"/>
  <c r="K11" i="153"/>
  <c r="T11" i="153" s="1"/>
  <c r="K65" i="154"/>
  <c r="T65" i="154" s="1"/>
  <c r="K65" i="153"/>
  <c r="T65" i="153" s="1"/>
  <c r="K92" i="154"/>
  <c r="T92" i="154" s="1"/>
  <c r="K92" i="153"/>
  <c r="T92" i="153" s="1"/>
  <c r="K76" i="154"/>
  <c r="T76" i="154" s="1"/>
  <c r="K76" i="153"/>
  <c r="T76" i="153" s="1"/>
  <c r="K44" i="154"/>
  <c r="T44" i="154" s="1"/>
  <c r="K44" i="153"/>
  <c r="T44" i="153" s="1"/>
  <c r="K106" i="154"/>
  <c r="T106" i="154" s="1"/>
  <c r="K106" i="153"/>
  <c r="T106" i="153" s="1"/>
  <c r="K90" i="154"/>
  <c r="T90" i="154" s="1"/>
  <c r="K90" i="153"/>
  <c r="T90" i="153" s="1"/>
  <c r="K58" i="154"/>
  <c r="T58" i="154" s="1"/>
  <c r="K58" i="153"/>
  <c r="T58" i="153" s="1"/>
  <c r="K42" i="154"/>
  <c r="T42" i="154" s="1"/>
  <c r="K42" i="153"/>
  <c r="T42" i="153" s="1"/>
  <c r="K10" i="154"/>
  <c r="T10" i="154" s="1"/>
  <c r="K10" i="153"/>
  <c r="T10" i="153" s="1"/>
  <c r="K73" i="154"/>
  <c r="T73" i="154" s="1"/>
  <c r="K73" i="153"/>
  <c r="T73" i="153" s="1"/>
  <c r="K41" i="154"/>
  <c r="T41" i="154" s="1"/>
  <c r="K41" i="153"/>
  <c r="T41" i="153" s="1"/>
  <c r="K9" i="154"/>
  <c r="T9" i="154" s="1"/>
  <c r="K9" i="153"/>
  <c r="T9" i="153" s="1"/>
  <c r="K60" i="154"/>
  <c r="T60" i="154" s="1"/>
  <c r="K60" i="153"/>
  <c r="T60" i="153" s="1"/>
  <c r="K33" i="154"/>
  <c r="T33" i="154" s="1"/>
  <c r="K33" i="153"/>
  <c r="T33" i="153" s="1"/>
  <c r="K28" i="154"/>
  <c r="T28" i="154" s="1"/>
  <c r="K28" i="153"/>
  <c r="T28" i="153" s="1"/>
  <c r="K105" i="154"/>
  <c r="T105" i="154" s="1"/>
  <c r="K105" i="153"/>
  <c r="T105" i="153" s="1"/>
  <c r="K103" i="154"/>
  <c r="T103" i="154" s="1"/>
  <c r="K103" i="153"/>
  <c r="T103" i="153" s="1"/>
  <c r="K87" i="154"/>
  <c r="T87" i="154" s="1"/>
  <c r="K87" i="153"/>
  <c r="T87" i="153" s="1"/>
  <c r="K71" i="154"/>
  <c r="T71" i="154" s="1"/>
  <c r="K71" i="153"/>
  <c r="T71" i="153" s="1"/>
  <c r="K55" i="154"/>
  <c r="T55" i="154" s="1"/>
  <c r="K55" i="153"/>
  <c r="T55" i="153" s="1"/>
  <c r="K39" i="154"/>
  <c r="T39" i="154" s="1"/>
  <c r="K39" i="153"/>
  <c r="T39" i="153" s="1"/>
  <c r="K23" i="154"/>
  <c r="T23" i="154" s="1"/>
  <c r="K23" i="153"/>
  <c r="T23" i="153" s="1"/>
  <c r="K7" i="154"/>
  <c r="T7" i="154" s="1"/>
  <c r="K7" i="153"/>
  <c r="T7" i="153" s="1"/>
  <c r="AJ108" i="67"/>
  <c r="I111" i="65"/>
  <c r="AJ109" i="67" s="1"/>
  <c r="K12" i="154"/>
  <c r="T12" i="154" s="1"/>
  <c r="K12" i="153"/>
  <c r="T12" i="153" s="1"/>
  <c r="K104" i="154"/>
  <c r="T104" i="154" s="1"/>
  <c r="K104" i="153"/>
  <c r="T104" i="153" s="1"/>
  <c r="K88" i="154"/>
  <c r="T88" i="154" s="1"/>
  <c r="K88" i="153"/>
  <c r="T88" i="153" s="1"/>
  <c r="K72" i="154"/>
  <c r="T72" i="154" s="1"/>
  <c r="K72" i="153"/>
  <c r="T72" i="153" s="1"/>
  <c r="K56" i="154"/>
  <c r="T56" i="154" s="1"/>
  <c r="K56" i="153"/>
  <c r="T56" i="153" s="1"/>
  <c r="K40" i="154"/>
  <c r="T40" i="154" s="1"/>
  <c r="K40" i="153"/>
  <c r="T40" i="153" s="1"/>
  <c r="K24" i="154"/>
  <c r="T24" i="154" s="1"/>
  <c r="K24" i="153"/>
  <c r="T24" i="153" s="1"/>
  <c r="K8" i="154"/>
  <c r="T8" i="154" s="1"/>
  <c r="K8" i="153"/>
  <c r="T8" i="153" s="1"/>
  <c r="N109" i="30"/>
  <c r="N95" i="30"/>
  <c r="N2" i="30"/>
  <c r="N15" i="30"/>
  <c r="N18" i="30"/>
  <c r="N75" i="30"/>
  <c r="N59" i="30"/>
  <c r="N43" i="30"/>
  <c r="N26" i="30"/>
  <c r="N23" i="30"/>
  <c r="N7" i="30"/>
  <c r="AX108" i="67"/>
  <c r="M108" i="156" s="1"/>
  <c r="K139" i="77"/>
  <c r="R139" i="77" s="1"/>
  <c r="K127" i="77"/>
  <c r="R127" i="77" s="1"/>
  <c r="K138" i="77"/>
  <c r="R138" i="77" s="1"/>
  <c r="K137" i="77"/>
  <c r="R137" i="77" s="1"/>
  <c r="K143" i="77"/>
  <c r="R143" i="77" s="1"/>
  <c r="K124" i="77"/>
  <c r="R124" i="77" s="1"/>
  <c r="K123" i="77"/>
  <c r="R123" i="77" s="1"/>
  <c r="K134" i="77"/>
  <c r="R134" i="77" s="1"/>
  <c r="K122" i="77"/>
  <c r="R122" i="77" s="1"/>
  <c r="O22" i="73"/>
  <c r="N22" i="73"/>
  <c r="L96" i="72"/>
  <c r="L78" i="72" s="1"/>
  <c r="L95" i="72"/>
  <c r="L77" i="72" s="1"/>
  <c r="L94" i="72"/>
  <c r="L76" i="72" s="1"/>
  <c r="L93" i="72"/>
  <c r="L75" i="72" s="1"/>
  <c r="L92" i="72"/>
  <c r="L74" i="72" s="1"/>
  <c r="L87" i="72"/>
  <c r="L69" i="72" s="1"/>
  <c r="L86" i="72"/>
  <c r="L68" i="72" s="1"/>
  <c r="L85" i="72"/>
  <c r="L67" i="72" s="1"/>
  <c r="L84" i="72"/>
  <c r="L66" i="72" s="1"/>
  <c r="L83" i="72"/>
  <c r="L65" i="72" s="1"/>
  <c r="P82" i="72"/>
  <c r="O82" i="72"/>
  <c r="O45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Q35" i="72"/>
  <c r="C76" i="72"/>
  <c r="C74" i="72"/>
  <c r="L5" i="72"/>
  <c r="L6" i="72" s="1"/>
  <c r="L7" i="72" s="1"/>
  <c r="L8" i="72" s="1"/>
  <c r="C3" i="69"/>
  <c r="I15" i="71"/>
  <c r="H15" i="71"/>
  <c r="C61" i="70"/>
  <c r="C60" i="70"/>
  <c r="E31" i="70"/>
  <c r="F31" i="70" s="1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74" i="69"/>
  <c r="H154" i="69"/>
  <c r="G154" i="69"/>
  <c r="F154" i="69"/>
  <c r="E154" i="69"/>
  <c r="E163" i="69" s="1"/>
  <c r="E171" i="69" s="1"/>
  <c r="H153" i="69"/>
  <c r="G153" i="69"/>
  <c r="F153" i="69"/>
  <c r="E153" i="69"/>
  <c r="E162" i="69" s="1"/>
  <c r="E170" i="69" s="1"/>
  <c r="H152" i="69"/>
  <c r="G152" i="69"/>
  <c r="F152" i="69"/>
  <c r="E152" i="69"/>
  <c r="E161" i="69" s="1"/>
  <c r="E169" i="69" s="1"/>
  <c r="H151" i="69"/>
  <c r="G151" i="69"/>
  <c r="F151" i="69"/>
  <c r="I151" i="69" s="1"/>
  <c r="L151" i="69" s="1"/>
  <c r="E145" i="69"/>
  <c r="E141" i="69"/>
  <c r="E137" i="69"/>
  <c r="E129" i="69"/>
  <c r="L126" i="69"/>
  <c r="K126" i="69"/>
  <c r="J126" i="69"/>
  <c r="I126" i="69"/>
  <c r="H126" i="69"/>
  <c r="G126" i="69"/>
  <c r="F126" i="69"/>
  <c r="L119" i="69"/>
  <c r="L104" i="69" s="1"/>
  <c r="K119" i="69"/>
  <c r="K104" i="69" s="1"/>
  <c r="J119" i="69"/>
  <c r="J104" i="69" s="1"/>
  <c r="H119" i="69"/>
  <c r="H104" i="69" s="1"/>
  <c r="G119" i="69"/>
  <c r="G104" i="69" s="1"/>
  <c r="F119" i="69"/>
  <c r="F104" i="69" s="1"/>
  <c r="E115" i="69"/>
  <c r="E114" i="69"/>
  <c r="E113" i="69"/>
  <c r="E112" i="69"/>
  <c r="G98" i="69"/>
  <c r="H98" i="69" s="1"/>
  <c r="I98" i="69" s="1"/>
  <c r="K24" i="69"/>
  <c r="F19" i="69"/>
  <c r="G19" i="69" s="1"/>
  <c r="H19" i="69" s="1"/>
  <c r="I19" i="69" s="1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V2" i="153" l="1"/>
  <c r="W2" i="153" s="1"/>
  <c r="AN25" i="57"/>
  <c r="AM24" i="57"/>
  <c r="I31" i="74" s="1"/>
  <c r="K108" i="154"/>
  <c r="T108" i="154" s="1"/>
  <c r="K108" i="153"/>
  <c r="T108" i="153" s="1"/>
  <c r="T35" i="72"/>
  <c r="H85" i="69"/>
  <c r="L86" i="69"/>
  <c r="M71" i="69"/>
  <c r="I85" i="69"/>
  <c r="L85" i="69"/>
  <c r="M70" i="69"/>
  <c r="J85" i="69"/>
  <c r="L87" i="69"/>
  <c r="M69" i="69"/>
  <c r="K85" i="69"/>
  <c r="L84" i="69"/>
  <c r="L36" i="69"/>
  <c r="F86" i="69"/>
  <c r="L83" i="69"/>
  <c r="F127" i="69" s="1"/>
  <c r="L35" i="69"/>
  <c r="G86" i="69"/>
  <c r="F83" i="69"/>
  <c r="L34" i="69"/>
  <c r="H86" i="69"/>
  <c r="G83" i="69"/>
  <c r="L33" i="69"/>
  <c r="I86" i="69"/>
  <c r="H83" i="69"/>
  <c r="L32" i="69"/>
  <c r="F84" i="69"/>
  <c r="J86" i="69"/>
  <c r="I83" i="69"/>
  <c r="M35" i="69"/>
  <c r="G84" i="69"/>
  <c r="K86" i="69"/>
  <c r="J83" i="69"/>
  <c r="M86" i="69"/>
  <c r="H84" i="69"/>
  <c r="F87" i="69"/>
  <c r="K83" i="69"/>
  <c r="I84" i="69"/>
  <c r="G87" i="69"/>
  <c r="L69" i="69"/>
  <c r="J84" i="69"/>
  <c r="H87" i="69"/>
  <c r="K84" i="69"/>
  <c r="I87" i="69"/>
  <c r="F85" i="69"/>
  <c r="J87" i="69"/>
  <c r="M73" i="69"/>
  <c r="G85" i="69"/>
  <c r="K87" i="69"/>
  <c r="M72" i="69"/>
  <c r="M33" i="69"/>
  <c r="M36" i="69"/>
  <c r="M84" i="69"/>
  <c r="M83" i="69"/>
  <c r="G127" i="69" s="1"/>
  <c r="M87" i="69"/>
  <c r="M85" i="69"/>
  <c r="M32" i="69"/>
  <c r="M34" i="69"/>
  <c r="D78" i="72"/>
  <c r="R35" i="72"/>
  <c r="E78" i="72"/>
  <c r="S35" i="72"/>
  <c r="F74" i="72"/>
  <c r="T33" i="72"/>
  <c r="E75" i="72"/>
  <c r="Q33" i="72"/>
  <c r="E74" i="72"/>
  <c r="D76" i="72"/>
  <c r="R33" i="72"/>
  <c r="E76" i="72"/>
  <c r="S33" i="72"/>
  <c r="K151" i="69"/>
  <c r="N151" i="69" s="1"/>
  <c r="J151" i="69"/>
  <c r="M151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J35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J32" i="69"/>
  <c r="J29" i="69" s="1"/>
  <c r="I71" i="69"/>
  <c r="F69" i="69"/>
  <c r="K34" i="69"/>
  <c r="I32" i="69"/>
  <c r="H7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N108" i="30"/>
  <c r="CC3" i="67"/>
  <c r="I3" i="156" s="1"/>
  <c r="N2" i="36"/>
  <c r="N2" i="32"/>
  <c r="N16" i="30"/>
  <c r="N25" i="30"/>
  <c r="N33" i="30"/>
  <c r="N84" i="30"/>
  <c r="N42" i="30"/>
  <c r="N104" i="30"/>
  <c r="N35" i="30"/>
  <c r="N24" i="30"/>
  <c r="N41" i="30"/>
  <c r="N90" i="30"/>
  <c r="N50" i="30"/>
  <c r="N93" i="30"/>
  <c r="N51" i="30"/>
  <c r="N4" i="30"/>
  <c r="N49" i="30"/>
  <c r="N98" i="30"/>
  <c r="N58" i="30"/>
  <c r="N105" i="30"/>
  <c r="N83" i="30"/>
  <c r="N3" i="30"/>
  <c r="N12" i="30"/>
  <c r="N99" i="30"/>
  <c r="N66" i="30"/>
  <c r="N32" i="30"/>
  <c r="N57" i="30"/>
  <c r="N11" i="30"/>
  <c r="N20" i="30"/>
  <c r="N65" i="30"/>
  <c r="N31" i="30"/>
  <c r="N74" i="30"/>
  <c r="N40" i="30"/>
  <c r="N19" i="30"/>
  <c r="N28" i="30"/>
  <c r="N73" i="30"/>
  <c r="N39" i="30"/>
  <c r="N82" i="30"/>
  <c r="N48" i="30"/>
  <c r="N27" i="30"/>
  <c r="N10" i="30"/>
  <c r="N81" i="30"/>
  <c r="N47" i="30"/>
  <c r="N92" i="30"/>
  <c r="N56" i="30"/>
  <c r="N30" i="30"/>
  <c r="N89" i="30"/>
  <c r="N55" i="30"/>
  <c r="N102" i="30"/>
  <c r="N64" i="30"/>
  <c r="N38" i="30"/>
  <c r="N67" i="30"/>
  <c r="N63" i="30"/>
  <c r="N103" i="30"/>
  <c r="N72" i="30"/>
  <c r="N6" i="30"/>
  <c r="N97" i="30"/>
  <c r="N71" i="30"/>
  <c r="N80" i="30"/>
  <c r="N5" i="30"/>
  <c r="N46" i="30"/>
  <c r="N37" i="30"/>
  <c r="N13" i="30"/>
  <c r="N14" i="30"/>
  <c r="N54" i="30"/>
  <c r="N36" i="30"/>
  <c r="N79" i="30"/>
  <c r="N45" i="30"/>
  <c r="N88" i="30"/>
  <c r="N87" i="30"/>
  <c r="N22" i="30"/>
  <c r="N44" i="30"/>
  <c r="N106" i="30"/>
  <c r="N29" i="30"/>
  <c r="N70" i="30"/>
  <c r="N52" i="30"/>
  <c r="N91" i="30"/>
  <c r="N61" i="30"/>
  <c r="N94" i="30"/>
  <c r="N78" i="30"/>
  <c r="N60" i="30"/>
  <c r="N100" i="30"/>
  <c r="N69" i="30"/>
  <c r="N107" i="30"/>
  <c r="N9" i="30"/>
  <c r="N77" i="30"/>
  <c r="N21" i="30"/>
  <c r="N62" i="30"/>
  <c r="N53" i="30"/>
  <c r="N86" i="30"/>
  <c r="N68" i="30"/>
  <c r="N101" i="30"/>
  <c r="N8" i="30"/>
  <c r="N17" i="30"/>
  <c r="N96" i="30"/>
  <c r="N76" i="30"/>
  <c r="N34" i="30"/>
  <c r="N85" i="30"/>
  <c r="J19" i="69"/>
  <c r="K19" i="69" s="1"/>
  <c r="L19" i="69" s="1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8" i="69"/>
  <c r="K98" i="69" s="1"/>
  <c r="L98" i="69" s="1"/>
  <c r="M98" i="69" s="1"/>
  <c r="C4" i="69"/>
  <c r="E4" i="69" s="1"/>
  <c r="E3" i="69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I27" i="72"/>
  <c r="P35" i="72"/>
  <c r="F76" i="72"/>
  <c r="F78" i="72"/>
  <c r="P33" i="72"/>
  <c r="D74" i="72"/>
  <c r="G20" i="70"/>
  <c r="H20" i="70" s="1"/>
  <c r="G5" i="70"/>
  <c r="U15" i="70"/>
  <c r="F2" i="70" s="1"/>
  <c r="F6" i="70" s="1"/>
  <c r="F8" i="70" s="1"/>
  <c r="G31" i="70"/>
  <c r="W15" i="70"/>
  <c r="G2" i="70" s="1"/>
  <c r="K14" i="72" l="1"/>
  <c r="L39" i="69"/>
  <c r="L41" i="69"/>
  <c r="AN26" i="57"/>
  <c r="AM25" i="57"/>
  <c r="J31" i="74" s="1"/>
  <c r="D75" i="72"/>
  <c r="M82" i="69"/>
  <c r="N82" i="69" s="1"/>
  <c r="O82" i="69" s="1"/>
  <c r="P82" i="69" s="1"/>
  <c r="G3" i="154"/>
  <c r="P3" i="154" s="1"/>
  <c r="G3" i="153"/>
  <c r="P3" i="153" s="1"/>
  <c r="U3" i="153" s="1"/>
  <c r="K3" i="75"/>
  <c r="H3" i="38"/>
  <c r="N3" i="38" s="1"/>
  <c r="H3" i="28"/>
  <c r="N98" i="69"/>
  <c r="O98" i="69" s="1"/>
  <c r="M31" i="69"/>
  <c r="M28" i="69" s="1"/>
  <c r="N28" i="69" s="1"/>
  <c r="M121" i="69"/>
  <c r="I77" i="69"/>
  <c r="F121" i="69"/>
  <c r="M78" i="69"/>
  <c r="M59" i="69" s="1"/>
  <c r="G121" i="69"/>
  <c r="I54" i="69"/>
  <c r="I57" i="69" s="1"/>
  <c r="J121" i="69"/>
  <c r="L121" i="69"/>
  <c r="H121" i="69"/>
  <c r="I121" i="69"/>
  <c r="I31" i="69"/>
  <c r="I105" i="69" s="1"/>
  <c r="K121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L110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41" i="69"/>
  <c r="M29" i="69"/>
  <c r="F76" i="69"/>
  <c r="G111" i="69"/>
  <c r="G41" i="69"/>
  <c r="G22" i="69" s="1"/>
  <c r="I108" i="69"/>
  <c r="I38" i="69"/>
  <c r="F109" i="69"/>
  <c r="F39" i="69"/>
  <c r="K111" i="69"/>
  <c r="K41" i="69"/>
  <c r="K22" i="69" s="1"/>
  <c r="L111" i="69"/>
  <c r="L78" i="69"/>
  <c r="I75" i="69"/>
  <c r="J111" i="69"/>
  <c r="J41" i="69"/>
  <c r="J22" i="69" s="1"/>
  <c r="F110" i="69"/>
  <c r="F40" i="69"/>
  <c r="F17" i="69" s="1"/>
  <c r="G108" i="69"/>
  <c r="G38" i="69"/>
  <c r="J108" i="69"/>
  <c r="J38" i="69"/>
  <c r="H110" i="69"/>
  <c r="H40" i="69"/>
  <c r="H17" i="69" s="1"/>
  <c r="L108" i="69"/>
  <c r="L75" i="69"/>
  <c r="J75" i="69"/>
  <c r="H66" i="69"/>
  <c r="H82" i="69"/>
  <c r="I110" i="69"/>
  <c r="I40" i="69"/>
  <c r="I17" i="69" s="1"/>
  <c r="L40" i="69"/>
  <c r="F75" i="69"/>
  <c r="I109" i="69"/>
  <c r="G76" i="69"/>
  <c r="H106" i="69"/>
  <c r="H29" i="69"/>
  <c r="K106" i="69"/>
  <c r="K66" i="69"/>
  <c r="K82" i="69"/>
  <c r="G75" i="69"/>
  <c r="F66" i="69"/>
  <c r="F82" i="69"/>
  <c r="H111" i="69"/>
  <c r="H41" i="69"/>
  <c r="H22" i="69" s="1"/>
  <c r="G109" i="69"/>
  <c r="G39" i="69"/>
  <c r="J109" i="69"/>
  <c r="J39" i="69"/>
  <c r="L109" i="69"/>
  <c r="L76" i="69"/>
  <c r="H77" i="69"/>
  <c r="H54" i="69" s="1"/>
  <c r="H57" i="69" s="1"/>
  <c r="K77" i="69"/>
  <c r="K54" i="69" s="1"/>
  <c r="K57" i="69" s="1"/>
  <c r="H109" i="69"/>
  <c r="H39" i="69"/>
  <c r="G66" i="69"/>
  <c r="G82" i="69"/>
  <c r="J106" i="69"/>
  <c r="J66" i="69"/>
  <c r="J82" i="69"/>
  <c r="I41" i="69"/>
  <c r="I22" i="69" s="1"/>
  <c r="I111" i="69"/>
  <c r="M66" i="69"/>
  <c r="M77" i="69"/>
  <c r="M54" i="69" s="1"/>
  <c r="M76" i="69"/>
  <c r="M75" i="69"/>
  <c r="M65" i="69"/>
  <c r="K108" i="69"/>
  <c r="K38" i="69"/>
  <c r="G106" i="69"/>
  <c r="G29" i="69"/>
  <c r="G77" i="69"/>
  <c r="G54" i="69" s="1"/>
  <c r="G57" i="69" s="1"/>
  <c r="L29" i="69"/>
  <c r="L106" i="69"/>
  <c r="H108" i="69"/>
  <c r="H38" i="69"/>
  <c r="F111" i="69"/>
  <c r="F41" i="69"/>
  <c r="F22" i="69" s="1"/>
  <c r="F108" i="69"/>
  <c r="F38" i="69"/>
  <c r="I39" i="69"/>
  <c r="I29" i="69"/>
  <c r="G110" i="69"/>
  <c r="G40" i="69"/>
  <c r="G17" i="69" s="1"/>
  <c r="J110" i="69"/>
  <c r="J40" i="69"/>
  <c r="J17" i="69" s="1"/>
  <c r="K110" i="69"/>
  <c r="K40" i="69"/>
  <c r="K17" i="69" s="1"/>
  <c r="F29" i="69"/>
  <c r="F106" i="69"/>
  <c r="K109" i="69"/>
  <c r="K39" i="69"/>
  <c r="I106" i="69"/>
  <c r="I82" i="69"/>
  <c r="I66" i="69"/>
  <c r="I65" i="69"/>
  <c r="L66" i="69"/>
  <c r="L82" i="69"/>
  <c r="F78" i="69"/>
  <c r="F59" i="69" s="1"/>
  <c r="CC4" i="67"/>
  <c r="I4" i="156" s="1"/>
  <c r="N3" i="36"/>
  <c r="O83" i="69"/>
  <c r="I127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H127" i="69"/>
  <c r="U35" i="72"/>
  <c r="U33" i="72"/>
  <c r="G6" i="70"/>
  <c r="G8" i="70" s="1"/>
  <c r="D36" i="70" s="1"/>
  <c r="E36" i="70" s="1"/>
  <c r="F36" i="70" s="1"/>
  <c r="G36" i="70" s="1"/>
  <c r="H36" i="70" s="1"/>
  <c r="H31" i="70"/>
  <c r="F10" i="69"/>
  <c r="G10" i="69" s="1"/>
  <c r="H10" i="69" s="1"/>
  <c r="I10" i="69" s="1"/>
  <c r="J10" i="69" s="1"/>
  <c r="F31" i="69"/>
  <c r="G31" i="69"/>
  <c r="H31" i="69"/>
  <c r="J31" i="69"/>
  <c r="K31" i="69"/>
  <c r="L31" i="69"/>
  <c r="L22" i="69"/>
  <c r="H25" i="70"/>
  <c r="F25" i="70"/>
  <c r="E25" i="70"/>
  <c r="D25" i="70"/>
  <c r="G25" i="70"/>
  <c r="Q10" i="72" l="1"/>
  <c r="S10" i="72"/>
  <c r="R10" i="72"/>
  <c r="G71" i="72"/>
  <c r="P10" i="72"/>
  <c r="U14" i="72"/>
  <c r="T14" i="72"/>
  <c r="Q14" i="72"/>
  <c r="P14" i="72"/>
  <c r="V3" i="153"/>
  <c r="W3" i="153" s="1"/>
  <c r="AN27" i="57"/>
  <c r="AM27" i="57" s="1"/>
  <c r="AM26" i="57"/>
  <c r="K31" i="74" s="1"/>
  <c r="H49" i="69"/>
  <c r="G4" i="154"/>
  <c r="P4" i="154" s="1"/>
  <c r="G4" i="153"/>
  <c r="P4" i="153" s="1"/>
  <c r="U4" i="153" s="1"/>
  <c r="V4" i="153" s="1"/>
  <c r="W4" i="153" s="1"/>
  <c r="K4" i="75"/>
  <c r="H4" i="38"/>
  <c r="N4" i="38" s="1"/>
  <c r="H4" i="28"/>
  <c r="N4" i="28" s="1"/>
  <c r="G129" i="69"/>
  <c r="H52" i="69"/>
  <c r="N78" i="69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H12" i="69"/>
  <c r="M123" i="69"/>
  <c r="F12" i="69"/>
  <c r="F15" i="69" s="1"/>
  <c r="C47" i="17"/>
  <c r="D47" i="17"/>
  <c r="Y47" i="17"/>
  <c r="Z47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4" i="69" s="1"/>
  <c r="K49" i="69"/>
  <c r="I49" i="69"/>
  <c r="I52" i="69" s="1"/>
  <c r="M38" i="69"/>
  <c r="F105" i="69"/>
  <c r="J12" i="69"/>
  <c r="K12" i="69"/>
  <c r="G114" i="69"/>
  <c r="F124" i="69"/>
  <c r="I28" i="69"/>
  <c r="I107" i="69" s="1"/>
  <c r="J49" i="69"/>
  <c r="J105" i="69"/>
  <c r="L59" i="69"/>
  <c r="L62" i="69" s="1"/>
  <c r="J123" i="69"/>
  <c r="F49" i="69"/>
  <c r="F50" i="69" s="1"/>
  <c r="I115" i="69"/>
  <c r="F115" i="69"/>
  <c r="G12" i="69"/>
  <c r="K115" i="69"/>
  <c r="L112" i="69"/>
  <c r="G49" i="69"/>
  <c r="G52" i="69" s="1"/>
  <c r="J114" i="69"/>
  <c r="H113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3" i="69"/>
  <c r="I12" i="69"/>
  <c r="F128" i="69"/>
  <c r="K112" i="69"/>
  <c r="I112" i="69"/>
  <c r="H114" i="69"/>
  <c r="L49" i="69"/>
  <c r="F131" i="69" s="1"/>
  <c r="N65" i="69"/>
  <c r="O65" i="69" s="1"/>
  <c r="J112" i="69"/>
  <c r="G115" i="69"/>
  <c r="H122" i="69"/>
  <c r="L113" i="69"/>
  <c r="G112" i="69"/>
  <c r="I113" i="69"/>
  <c r="F112" i="69"/>
  <c r="J113" i="69"/>
  <c r="F114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3" i="69"/>
  <c r="G113" i="69"/>
  <c r="I123" i="69"/>
  <c r="I20" i="69"/>
  <c r="J115" i="69"/>
  <c r="L17" i="69"/>
  <c r="F132" i="69" s="1"/>
  <c r="F141" i="69" s="1"/>
  <c r="H112" i="69"/>
  <c r="I25" i="69"/>
  <c r="I124" i="69"/>
  <c r="I114" i="69"/>
  <c r="H115" i="69"/>
  <c r="L115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4" i="69"/>
  <c r="L114" i="69"/>
  <c r="H123" i="69"/>
  <c r="H124" i="69"/>
  <c r="H105" i="69"/>
  <c r="G105" i="69"/>
  <c r="G123" i="69"/>
  <c r="G124" i="69"/>
  <c r="K123" i="69"/>
  <c r="L28" i="69"/>
  <c r="F129" i="69"/>
  <c r="L105" i="69"/>
  <c r="K124" i="69"/>
  <c r="F123" i="69"/>
  <c r="K105" i="69"/>
  <c r="J124" i="69"/>
  <c r="CC5" i="67"/>
  <c r="I5" i="156" s="1"/>
  <c r="N4" i="36"/>
  <c r="N4" i="32"/>
  <c r="P83" i="69"/>
  <c r="J127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48" i="17"/>
  <c r="X48" i="17"/>
  <c r="G78" i="72"/>
  <c r="G74" i="72"/>
  <c r="G76" i="72"/>
  <c r="K20" i="69"/>
  <c r="J28" i="69"/>
  <c r="J107" i="69" s="1"/>
  <c r="K28" i="69"/>
  <c r="K107" i="69" s="1"/>
  <c r="I42" i="70"/>
  <c r="H20" i="69"/>
  <c r="H28" i="69"/>
  <c r="H107" i="69" s="1"/>
  <c r="H25" i="69"/>
  <c r="H15" i="69"/>
  <c r="F28" i="69"/>
  <c r="F107" i="69" s="1"/>
  <c r="G20" i="69"/>
  <c r="F20" i="69"/>
  <c r="F18" i="69"/>
  <c r="L25" i="69"/>
  <c r="G28" i="69"/>
  <c r="G107" i="69" s="1"/>
  <c r="F25" i="69"/>
  <c r="F23" i="69"/>
  <c r="G25" i="69"/>
  <c r="J25" i="69"/>
  <c r="K25" i="69"/>
  <c r="J20" i="69"/>
  <c r="C71" i="72" l="1"/>
  <c r="P28" i="72"/>
  <c r="D71" i="72"/>
  <c r="R28" i="72"/>
  <c r="E71" i="72"/>
  <c r="S28" i="72"/>
  <c r="Q28" i="72"/>
  <c r="U28" i="72"/>
  <c r="T28" i="72"/>
  <c r="C75" i="72"/>
  <c r="P32" i="72"/>
  <c r="S32" i="72"/>
  <c r="R32" i="72"/>
  <c r="Q32" i="72"/>
  <c r="F75" i="72"/>
  <c r="T32" i="72"/>
  <c r="U32" i="72"/>
  <c r="G75" i="72"/>
  <c r="F13" i="69"/>
  <c r="F16" i="69" s="1"/>
  <c r="AN28" i="57"/>
  <c r="AN29" i="57" s="1"/>
  <c r="L31" i="74"/>
  <c r="G5" i="153"/>
  <c r="P5" i="153" s="1"/>
  <c r="U5" i="153" s="1"/>
  <c r="V5" i="153" s="1"/>
  <c r="W5" i="153" s="1"/>
  <c r="G5" i="154"/>
  <c r="P5" i="154" s="1"/>
  <c r="K5" i="75"/>
  <c r="H5" i="38"/>
  <c r="N5" i="38" s="1"/>
  <c r="H5" i="28"/>
  <c r="F133" i="69"/>
  <c r="F145" i="69" s="1"/>
  <c r="K122" i="69"/>
  <c r="J15" i="69"/>
  <c r="J122" i="69"/>
  <c r="J52" i="69"/>
  <c r="I122" i="69"/>
  <c r="Y48" i="17"/>
  <c r="Z48" i="17"/>
  <c r="N47" i="17"/>
  <c r="O47" i="17"/>
  <c r="C48" i="17"/>
  <c r="D48" i="17"/>
  <c r="Q83" i="69"/>
  <c r="R83" i="69" s="1"/>
  <c r="L124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22" i="69" s="1"/>
  <c r="O28" i="69"/>
  <c r="G122" i="69"/>
  <c r="F122" i="69"/>
  <c r="G15" i="69"/>
  <c r="F52" i="69"/>
  <c r="L122" i="69"/>
  <c r="L20" i="69"/>
  <c r="L123" i="69"/>
  <c r="I15" i="69"/>
  <c r="F137" i="69"/>
  <c r="CC6" i="67"/>
  <c r="I6" i="156" s="1"/>
  <c r="N5" i="36"/>
  <c r="N5" i="32"/>
  <c r="L14" i="69"/>
  <c r="K15" i="69"/>
  <c r="L51" i="69"/>
  <c r="K52" i="69"/>
  <c r="P65" i="69"/>
  <c r="F53" i="69"/>
  <c r="G50" i="69"/>
  <c r="G60" i="69"/>
  <c r="F63" i="69"/>
  <c r="G55" i="69"/>
  <c r="F58" i="69"/>
  <c r="X49" i="17"/>
  <c r="M48" i="17"/>
  <c r="B49" i="17"/>
  <c r="J78" i="72"/>
  <c r="F21" i="69"/>
  <c r="G18" i="69"/>
  <c r="G13" i="69"/>
  <c r="G16" i="69" s="1"/>
  <c r="L107" i="69"/>
  <c r="F26" i="69"/>
  <c r="G23" i="69"/>
  <c r="J71" i="72" l="1"/>
  <c r="J75" i="72"/>
  <c r="Q96" i="72"/>
  <c r="P96" i="72"/>
  <c r="R96" i="72"/>
  <c r="S96" i="72"/>
  <c r="O96" i="72"/>
  <c r="U96" i="72" s="1"/>
  <c r="G6" i="154"/>
  <c r="P6" i="154" s="1"/>
  <c r="G6" i="153"/>
  <c r="P6" i="153" s="1"/>
  <c r="U6" i="153" s="1"/>
  <c r="H6" i="28"/>
  <c r="K6" i="75"/>
  <c r="H6" i="38"/>
  <c r="N6" i="38" s="1"/>
  <c r="F130" i="69"/>
  <c r="F93" i="69"/>
  <c r="F100" i="69" s="1"/>
  <c r="F94" i="69"/>
  <c r="F101" i="69" s="1"/>
  <c r="F90" i="69"/>
  <c r="F92" i="69"/>
  <c r="F99" i="69" s="1"/>
  <c r="F91" i="69"/>
  <c r="K127" i="69"/>
  <c r="N48" i="17"/>
  <c r="O48" i="17"/>
  <c r="C49" i="17"/>
  <c r="D49" i="17"/>
  <c r="Y49" i="17"/>
  <c r="Z49" i="17"/>
  <c r="CC7" i="67"/>
  <c r="I7" i="156" s="1"/>
  <c r="N6" i="36"/>
  <c r="N6" i="32"/>
  <c r="L127" i="69"/>
  <c r="S83" i="69"/>
  <c r="T83" i="69" s="1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B50" i="17"/>
  <c r="M49" i="17"/>
  <c r="X50" i="17"/>
  <c r="J74" i="72"/>
  <c r="J76" i="72"/>
  <c r="G21" i="69"/>
  <c r="H18" i="69"/>
  <c r="I18" i="69" s="1"/>
  <c r="H13" i="69"/>
  <c r="I13" i="69" s="1"/>
  <c r="I16" i="69" s="1"/>
  <c r="I46" i="70"/>
  <c r="G26" i="69"/>
  <c r="H23" i="69"/>
  <c r="I23" i="69" s="1"/>
  <c r="P89" i="72" l="1"/>
  <c r="O89" i="72"/>
  <c r="Q89" i="72"/>
  <c r="R89" i="72"/>
  <c r="S89" i="72"/>
  <c r="O92" i="72"/>
  <c r="P92" i="72"/>
  <c r="Q92" i="72"/>
  <c r="R92" i="72"/>
  <c r="S92" i="72"/>
  <c r="R94" i="72"/>
  <c r="S94" i="72"/>
  <c r="O94" i="72"/>
  <c r="Q94" i="72"/>
  <c r="P94" i="72"/>
  <c r="V6" i="153"/>
  <c r="W6" i="153" s="1"/>
  <c r="G93" i="69"/>
  <c r="G100" i="69" s="1"/>
  <c r="G7" i="153"/>
  <c r="P7" i="153" s="1"/>
  <c r="U7" i="153" s="1"/>
  <c r="V7" i="153" s="1"/>
  <c r="W7" i="153" s="1"/>
  <c r="G7" i="154"/>
  <c r="P7" i="154" s="1"/>
  <c r="H7" i="38"/>
  <c r="N7" i="38" s="1"/>
  <c r="H7" i="28"/>
  <c r="K7" i="75"/>
  <c r="F102" i="69"/>
  <c r="F95" i="69"/>
  <c r="G94" i="69"/>
  <c r="G101" i="69" s="1"/>
  <c r="G90" i="69"/>
  <c r="G91" i="69"/>
  <c r="G92" i="69"/>
  <c r="G99" i="69" s="1"/>
  <c r="N49" i="17"/>
  <c r="O49" i="17"/>
  <c r="C50" i="17"/>
  <c r="D50" i="17"/>
  <c r="Y50" i="17"/>
  <c r="Z50" i="17"/>
  <c r="CC8" i="67"/>
  <c r="I8" i="156" s="1"/>
  <c r="N7" i="36"/>
  <c r="N7" i="32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1" i="17"/>
  <c r="M50" i="17"/>
  <c r="X51" i="17"/>
  <c r="U83" i="69"/>
  <c r="H21" i="69"/>
  <c r="H26" i="69"/>
  <c r="H16" i="69"/>
  <c r="U89" i="72" l="1"/>
  <c r="U94" i="72"/>
  <c r="U92" i="72"/>
  <c r="G8" i="154"/>
  <c r="P8" i="154" s="1"/>
  <c r="G8" i="153"/>
  <c r="P8" i="153" s="1"/>
  <c r="U8" i="153" s="1"/>
  <c r="V8" i="153" s="1"/>
  <c r="W8" i="153" s="1"/>
  <c r="H8" i="38"/>
  <c r="N8" i="38" s="1"/>
  <c r="K8" i="75"/>
  <c r="H8" i="28"/>
  <c r="I94" i="69"/>
  <c r="I101" i="69" s="1"/>
  <c r="G95" i="69"/>
  <c r="G102" i="69"/>
  <c r="I93" i="69"/>
  <c r="I100" i="69" s="1"/>
  <c r="H93" i="69"/>
  <c r="H100" i="69" s="1"/>
  <c r="H94" i="69"/>
  <c r="H101" i="69" s="1"/>
  <c r="H92" i="69"/>
  <c r="H90" i="69"/>
  <c r="H91" i="69"/>
  <c r="I90" i="69"/>
  <c r="I91" i="69"/>
  <c r="I92" i="69"/>
  <c r="N50" i="17"/>
  <c r="O50" i="17"/>
  <c r="Y51" i="17"/>
  <c r="Z51" i="17"/>
  <c r="C51" i="17"/>
  <c r="D51" i="17"/>
  <c r="CC9" i="67"/>
  <c r="I9" i="156" s="1"/>
  <c r="N8" i="36"/>
  <c r="N8" i="32"/>
  <c r="O51" i="69"/>
  <c r="S65" i="69"/>
  <c r="M51" i="17"/>
  <c r="B52" i="17"/>
  <c r="X52" i="17"/>
  <c r="V83" i="69"/>
  <c r="G9" i="153" l="1"/>
  <c r="P9" i="153" s="1"/>
  <c r="U9" i="153" s="1"/>
  <c r="V9" i="153" s="1"/>
  <c r="W9" i="153" s="1"/>
  <c r="G9" i="154"/>
  <c r="P9" i="154" s="1"/>
  <c r="K9" i="75"/>
  <c r="H9" i="38"/>
  <c r="N9" i="38" s="1"/>
  <c r="H9" i="28"/>
  <c r="H99" i="69"/>
  <c r="H102" i="69" s="1"/>
  <c r="I99" i="69"/>
  <c r="I102" i="69" s="1"/>
  <c r="I95" i="69"/>
  <c r="H95" i="69"/>
  <c r="C52" i="17"/>
  <c r="D52" i="17"/>
  <c r="Y52" i="17"/>
  <c r="Z52" i="17"/>
  <c r="N51" i="17"/>
  <c r="O51" i="17"/>
  <c r="CC10" i="67"/>
  <c r="I10" i="156" s="1"/>
  <c r="N9" i="36"/>
  <c r="N9" i="32"/>
  <c r="P51" i="69"/>
  <c r="T65" i="69"/>
  <c r="K60" i="69"/>
  <c r="J63" i="69"/>
  <c r="J53" i="69"/>
  <c r="K50" i="69"/>
  <c r="J58" i="69"/>
  <c r="K55" i="69"/>
  <c r="X53" i="17"/>
  <c r="Y53" i="17" s="1"/>
  <c r="B53" i="17"/>
  <c r="C53" i="17" s="1"/>
  <c r="M52" i="17"/>
  <c r="W83" i="69"/>
  <c r="J26" i="69"/>
  <c r="K23" i="69"/>
  <c r="J16" i="69"/>
  <c r="K13" i="69"/>
  <c r="L13" i="69" s="1"/>
  <c r="J21" i="69"/>
  <c r="K18" i="69"/>
  <c r="G10" i="154" l="1"/>
  <c r="P10" i="154" s="1"/>
  <c r="G10" i="153"/>
  <c r="P10" i="153" s="1"/>
  <c r="U10" i="153" s="1"/>
  <c r="V10" i="153" s="1"/>
  <c r="W10" i="153" s="1"/>
  <c r="K10" i="75"/>
  <c r="H10" i="38"/>
  <c r="N10" i="38" s="1"/>
  <c r="H10" i="28"/>
  <c r="J94" i="69"/>
  <c r="J101" i="69" s="1"/>
  <c r="J93" i="69"/>
  <c r="J100" i="69" s="1"/>
  <c r="J91" i="69"/>
  <c r="J90" i="69"/>
  <c r="J92" i="69"/>
  <c r="N52" i="17"/>
  <c r="O52" i="17"/>
  <c r="CC11" i="67"/>
  <c r="I11" i="156" s="1"/>
  <c r="N10" i="36"/>
  <c r="N10" i="32"/>
  <c r="X83" i="69"/>
  <c r="Q51" i="69"/>
  <c r="U65" i="69"/>
  <c r="K58" i="69"/>
  <c r="L55" i="69"/>
  <c r="K53" i="69"/>
  <c r="L50" i="69"/>
  <c r="F138" i="69" s="1"/>
  <c r="L60" i="69"/>
  <c r="K63" i="69"/>
  <c r="M53" i="17"/>
  <c r="N53" i="17" s="1"/>
  <c r="B54" i="17"/>
  <c r="C54" i="17" s="1"/>
  <c r="X54" i="17"/>
  <c r="Y54" i="17" s="1"/>
  <c r="K16" i="69"/>
  <c r="L23" i="69"/>
  <c r="K26" i="69"/>
  <c r="K21" i="69"/>
  <c r="L18" i="69"/>
  <c r="G11" i="154" l="1"/>
  <c r="P11" i="154" s="1"/>
  <c r="G11" i="153"/>
  <c r="P11" i="153" s="1"/>
  <c r="U11" i="153" s="1"/>
  <c r="V11" i="153" s="1"/>
  <c r="W11" i="153" s="1"/>
  <c r="K11" i="75"/>
  <c r="H11" i="38"/>
  <c r="N11" i="38" s="1"/>
  <c r="H11" i="28"/>
  <c r="J99" i="69"/>
  <c r="J102" i="69" s="1"/>
  <c r="J95" i="69"/>
  <c r="K93" i="69"/>
  <c r="K100" i="69" s="1"/>
  <c r="K94" i="69"/>
  <c r="K101" i="69" s="1"/>
  <c r="K91" i="69"/>
  <c r="K92" i="69"/>
  <c r="K90" i="69"/>
  <c r="F142" i="69"/>
  <c r="F146" i="69"/>
  <c r="CC12" i="67"/>
  <c r="I12" i="156" s="1"/>
  <c r="N11" i="36"/>
  <c r="N11" i="32"/>
  <c r="Y83" i="69"/>
  <c r="R51" i="69"/>
  <c r="V65" i="69"/>
  <c r="L63" i="69"/>
  <c r="M60" i="69"/>
  <c r="L53" i="69"/>
  <c r="M50" i="69"/>
  <c r="L58" i="69"/>
  <c r="M55" i="69"/>
  <c r="X55" i="17"/>
  <c r="B55" i="17"/>
  <c r="M54" i="17"/>
  <c r="N54" i="17" s="1"/>
  <c r="L16" i="69"/>
  <c r="L21" i="69"/>
  <c r="L26" i="69"/>
  <c r="G12" i="154" l="1"/>
  <c r="P12" i="154" s="1"/>
  <c r="G12" i="153"/>
  <c r="P12" i="153" s="1"/>
  <c r="U12" i="153" s="1"/>
  <c r="V12" i="153" s="1"/>
  <c r="W12" i="153" s="1"/>
  <c r="K12" i="75"/>
  <c r="H12" i="38"/>
  <c r="N12" i="38" s="1"/>
  <c r="H12" i="28"/>
  <c r="F143" i="69"/>
  <c r="K95" i="69"/>
  <c r="C55" i="17"/>
  <c r="B56" i="17"/>
  <c r="C56" i="17" s="1"/>
  <c r="Y55" i="17"/>
  <c r="X56" i="17"/>
  <c r="Y56" i="17" s="1"/>
  <c r="K99" i="69"/>
  <c r="K102" i="69" s="1"/>
  <c r="L93" i="69"/>
  <c r="L100" i="69" s="1"/>
  <c r="L94" i="69"/>
  <c r="L101" i="69" s="1"/>
  <c r="F147" i="69"/>
  <c r="F139" i="69"/>
  <c r="L91" i="69"/>
  <c r="L92" i="69"/>
  <c r="L90" i="69"/>
  <c r="CC13" i="67"/>
  <c r="I13" i="156" s="1"/>
  <c r="N12" i="36"/>
  <c r="N12" i="32"/>
  <c r="Z83" i="69"/>
  <c r="S51" i="69"/>
  <c r="W65" i="69"/>
  <c r="X65" i="69" s="1"/>
  <c r="M63" i="69"/>
  <c r="M58" i="69"/>
  <c r="M53" i="69"/>
  <c r="M55" i="17"/>
  <c r="G13" i="153" l="1"/>
  <c r="P13" i="153" s="1"/>
  <c r="U13" i="153" s="1"/>
  <c r="V13" i="153" s="1"/>
  <c r="W13" i="153" s="1"/>
  <c r="G13" i="154"/>
  <c r="P13" i="154" s="1"/>
  <c r="K13" i="75"/>
  <c r="H13" i="38"/>
  <c r="N13" i="38" s="1"/>
  <c r="H13" i="28"/>
  <c r="N55" i="17"/>
  <c r="M56" i="17"/>
  <c r="N56" i="17" s="1"/>
  <c r="L95" i="69"/>
  <c r="L99" i="69"/>
  <c r="L102" i="69" s="1"/>
  <c r="CC14" i="67"/>
  <c r="I14" i="156" s="1"/>
  <c r="N13" i="36"/>
  <c r="N13" i="32"/>
  <c r="Y65" i="69"/>
  <c r="AA83" i="69"/>
  <c r="T51" i="69"/>
  <c r="X57" i="17"/>
  <c r="B57" i="17"/>
  <c r="G14" i="154" l="1"/>
  <c r="P14" i="154" s="1"/>
  <c r="G14" i="153"/>
  <c r="P14" i="153" s="1"/>
  <c r="U14" i="153" s="1"/>
  <c r="H14" i="28"/>
  <c r="K14" i="75"/>
  <c r="H14" i="38"/>
  <c r="N14" i="38" s="1"/>
  <c r="CC15" i="67"/>
  <c r="I15" i="156" s="1"/>
  <c r="N14" i="36"/>
  <c r="N14" i="32"/>
  <c r="Z65" i="69"/>
  <c r="U51" i="69"/>
  <c r="B58" i="17"/>
  <c r="M57" i="17"/>
  <c r="X58" i="17"/>
  <c r="V14" i="153" l="1"/>
  <c r="W14" i="153" s="1"/>
  <c r="G15" i="153"/>
  <c r="P15" i="153" s="1"/>
  <c r="U15" i="153" s="1"/>
  <c r="V15" i="153" s="1"/>
  <c r="W15" i="153" s="1"/>
  <c r="H15" i="38"/>
  <c r="N15" i="38" s="1"/>
  <c r="H15" i="28"/>
  <c r="G15" i="154"/>
  <c r="P15" i="154" s="1"/>
  <c r="K15" i="75"/>
  <c r="CC16" i="67"/>
  <c r="I16" i="156" s="1"/>
  <c r="N15" i="36"/>
  <c r="N15" i="32"/>
  <c r="AA65" i="69"/>
  <c r="V51" i="69"/>
  <c r="M58" i="17"/>
  <c r="G16" i="154" l="1"/>
  <c r="P16" i="154" s="1"/>
  <c r="G16" i="153"/>
  <c r="P16" i="153" s="1"/>
  <c r="U16" i="153" s="1"/>
  <c r="H16" i="38"/>
  <c r="N16" i="38" s="1"/>
  <c r="H16" i="28"/>
  <c r="K16" i="75"/>
  <c r="CC17" i="67"/>
  <c r="I17" i="156" s="1"/>
  <c r="N16" i="36"/>
  <c r="N16" i="32"/>
  <c r="W51" i="69"/>
  <c r="X51" i="69" s="1"/>
  <c r="Y51" i="69" s="1"/>
  <c r="Z51" i="69" s="1"/>
  <c r="AA51" i="69" s="1"/>
  <c r="V16" i="153" l="1"/>
  <c r="W16" i="153" s="1"/>
  <c r="G17" i="153"/>
  <c r="P17" i="153" s="1"/>
  <c r="U17" i="153" s="1"/>
  <c r="V17" i="153" s="1"/>
  <c r="W17" i="153" s="1"/>
  <c r="G17" i="154"/>
  <c r="P17" i="154" s="1"/>
  <c r="K17" i="75"/>
  <c r="H17" i="28"/>
  <c r="H17" i="38"/>
  <c r="N17" i="38" s="1"/>
  <c r="CC18" i="67"/>
  <c r="I18" i="156" s="1"/>
  <c r="N17" i="36"/>
  <c r="N17" i="32"/>
  <c r="G18" i="154" l="1"/>
  <c r="P18" i="154" s="1"/>
  <c r="G18" i="153"/>
  <c r="P18" i="153" s="1"/>
  <c r="U18" i="153" s="1"/>
  <c r="V18" i="153" s="1"/>
  <c r="W18" i="153" s="1"/>
  <c r="K18" i="75"/>
  <c r="H18" i="28"/>
  <c r="H18" i="38"/>
  <c r="N18" i="38" s="1"/>
  <c r="CC19" i="67"/>
  <c r="I19" i="156" s="1"/>
  <c r="N18" i="36"/>
  <c r="N18" i="32"/>
  <c r="G19" i="154" l="1"/>
  <c r="P19" i="154" s="1"/>
  <c r="G19" i="153"/>
  <c r="P19" i="153" s="1"/>
  <c r="U19" i="153" s="1"/>
  <c r="V19" i="153" s="1"/>
  <c r="W19" i="153" s="1"/>
  <c r="K19" i="75"/>
  <c r="H19" i="38"/>
  <c r="N19" i="38" s="1"/>
  <c r="H19" i="28"/>
  <c r="CC20" i="67"/>
  <c r="I20" i="156" s="1"/>
  <c r="N19" i="36"/>
  <c r="N19" i="32"/>
  <c r="G20" i="154" l="1"/>
  <c r="P20" i="154" s="1"/>
  <c r="G20" i="153"/>
  <c r="P20" i="153" s="1"/>
  <c r="U20" i="153" s="1"/>
  <c r="V20" i="153" s="1"/>
  <c r="W20" i="153" s="1"/>
  <c r="K20" i="75"/>
  <c r="H20" i="38"/>
  <c r="N20" i="38" s="1"/>
  <c r="H20" i="28"/>
  <c r="CC21" i="67"/>
  <c r="I21" i="156" s="1"/>
  <c r="N20" i="36"/>
  <c r="N20" i="32"/>
  <c r="G21" i="153" l="1"/>
  <c r="P21" i="153" s="1"/>
  <c r="U21" i="153" s="1"/>
  <c r="V21" i="153" s="1"/>
  <c r="W21" i="153" s="1"/>
  <c r="G21" i="154"/>
  <c r="P21" i="154" s="1"/>
  <c r="K21" i="75"/>
  <c r="H21" i="38"/>
  <c r="N21" i="38" s="1"/>
  <c r="H21" i="28"/>
  <c r="CC22" i="67"/>
  <c r="I22" i="156" s="1"/>
  <c r="N21" i="36"/>
  <c r="N21" i="32"/>
  <c r="G22" i="154" l="1"/>
  <c r="P22" i="154" s="1"/>
  <c r="G22" i="153"/>
  <c r="P22" i="153" s="1"/>
  <c r="U22" i="153" s="1"/>
  <c r="V22" i="153" s="1"/>
  <c r="W22" i="153" s="1"/>
  <c r="H22" i="28"/>
  <c r="K22" i="75"/>
  <c r="H22" i="38"/>
  <c r="N22" i="38" s="1"/>
  <c r="CC23" i="67"/>
  <c r="I23" i="156" s="1"/>
  <c r="N22" i="36"/>
  <c r="N22" i="32"/>
  <c r="G23" i="153" l="1"/>
  <c r="P23" i="153" s="1"/>
  <c r="U23" i="153" s="1"/>
  <c r="V23" i="153" s="1"/>
  <c r="W23" i="153" s="1"/>
  <c r="G23" i="154"/>
  <c r="P23" i="154" s="1"/>
  <c r="H23" i="38"/>
  <c r="N23" i="38" s="1"/>
  <c r="H23" i="28"/>
  <c r="K23" i="75"/>
  <c r="CC24" i="67"/>
  <c r="I24" i="156" s="1"/>
  <c r="N23" i="36"/>
  <c r="N23" i="32"/>
  <c r="G24" i="154" l="1"/>
  <c r="P24" i="154" s="1"/>
  <c r="H24" i="38"/>
  <c r="N24" i="38" s="1"/>
  <c r="G24" i="153"/>
  <c r="P24" i="153" s="1"/>
  <c r="U24" i="153" s="1"/>
  <c r="V24" i="153" s="1"/>
  <c r="W24" i="153" s="1"/>
  <c r="K24" i="75"/>
  <c r="H24" i="28"/>
  <c r="CC25" i="67"/>
  <c r="I25" i="156" s="1"/>
  <c r="N24" i="36"/>
  <c r="N24" i="32"/>
  <c r="G25" i="153" l="1"/>
  <c r="P25" i="153" s="1"/>
  <c r="U25" i="153" s="1"/>
  <c r="V25" i="153" s="1"/>
  <c r="W25" i="153" s="1"/>
  <c r="G25" i="154"/>
  <c r="P25" i="154" s="1"/>
  <c r="K25" i="75"/>
  <c r="H25" i="28"/>
  <c r="H25" i="38"/>
  <c r="N25" i="38" s="1"/>
  <c r="CC26" i="67"/>
  <c r="I26" i="156" s="1"/>
  <c r="N25" i="36"/>
  <c r="N25" i="32"/>
  <c r="G26" i="154" l="1"/>
  <c r="P26" i="154" s="1"/>
  <c r="G26" i="153"/>
  <c r="P26" i="153" s="1"/>
  <c r="U26" i="153" s="1"/>
  <c r="K26" i="75"/>
  <c r="H26" i="28"/>
  <c r="H26" i="38"/>
  <c r="N26" i="38" s="1"/>
  <c r="CC27" i="67"/>
  <c r="I27" i="156" s="1"/>
  <c r="N26" i="36"/>
  <c r="N26" i="32"/>
  <c r="V26" i="153" l="1"/>
  <c r="W26" i="153" s="1"/>
  <c r="G27" i="154"/>
  <c r="P27" i="154" s="1"/>
  <c r="G27" i="153"/>
  <c r="P27" i="153" s="1"/>
  <c r="U27" i="153" s="1"/>
  <c r="V27" i="153" s="1"/>
  <c r="W27" i="153" s="1"/>
  <c r="K27" i="75"/>
  <c r="H27" i="38"/>
  <c r="N27" i="38" s="1"/>
  <c r="H27" i="28"/>
  <c r="CC28" i="67"/>
  <c r="I28" i="156" s="1"/>
  <c r="N27" i="36"/>
  <c r="N27" i="32"/>
  <c r="G28" i="154" l="1"/>
  <c r="P28" i="154" s="1"/>
  <c r="G28" i="153"/>
  <c r="P28" i="153" s="1"/>
  <c r="U28" i="153" s="1"/>
  <c r="K28" i="75"/>
  <c r="H28" i="38"/>
  <c r="N28" i="38" s="1"/>
  <c r="H28" i="28"/>
  <c r="CC29" i="67"/>
  <c r="I29" i="156" s="1"/>
  <c r="N28" i="36"/>
  <c r="N28" i="32"/>
  <c r="V28" i="153" l="1"/>
  <c r="W28" i="153" s="1"/>
  <c r="G29" i="154"/>
  <c r="P29" i="154" s="1"/>
  <c r="G29" i="153"/>
  <c r="P29" i="153" s="1"/>
  <c r="U29" i="153" s="1"/>
  <c r="V29" i="153" s="1"/>
  <c r="W29" i="153" s="1"/>
  <c r="K29" i="75"/>
  <c r="H29" i="38"/>
  <c r="N29" i="38" s="1"/>
  <c r="H29" i="28"/>
  <c r="CC30" i="67"/>
  <c r="I30" i="156" s="1"/>
  <c r="N29" i="32"/>
  <c r="N29" i="36"/>
  <c r="G30" i="154" l="1"/>
  <c r="P30" i="154" s="1"/>
  <c r="G30" i="153"/>
  <c r="P30" i="153" s="1"/>
  <c r="U30" i="153" s="1"/>
  <c r="V30" i="153" s="1"/>
  <c r="W30" i="153" s="1"/>
  <c r="H30" i="28"/>
  <c r="K30" i="75"/>
  <c r="H30" i="38"/>
  <c r="N30" i="38" s="1"/>
  <c r="CC31" i="67"/>
  <c r="I31" i="156" s="1"/>
  <c r="N30" i="36"/>
  <c r="N30" i="32"/>
  <c r="G31" i="153" l="1"/>
  <c r="P31" i="153" s="1"/>
  <c r="U31" i="153" s="1"/>
  <c r="V31" i="153" s="1"/>
  <c r="W31" i="153" s="1"/>
  <c r="G31" i="154"/>
  <c r="P31" i="154" s="1"/>
  <c r="H31" i="38"/>
  <c r="N31" i="38" s="1"/>
  <c r="H31" i="28"/>
  <c r="K31" i="75"/>
  <c r="CC32" i="67"/>
  <c r="I32" i="156" s="1"/>
  <c r="N31" i="36"/>
  <c r="N31" i="32"/>
  <c r="G32" i="154" l="1"/>
  <c r="P32" i="154" s="1"/>
  <c r="G32" i="153"/>
  <c r="P32" i="153" s="1"/>
  <c r="U32" i="153" s="1"/>
  <c r="V32" i="153" s="1"/>
  <c r="W32" i="153" s="1"/>
  <c r="H32" i="38"/>
  <c r="N32" i="38" s="1"/>
  <c r="H32" i="28"/>
  <c r="K32" i="75"/>
  <c r="CC33" i="67"/>
  <c r="I33" i="156" s="1"/>
  <c r="N32" i="36"/>
  <c r="N32" i="32"/>
  <c r="G33" i="153" l="1"/>
  <c r="P33" i="153" s="1"/>
  <c r="U33" i="153" s="1"/>
  <c r="V33" i="153" s="1"/>
  <c r="W33" i="153" s="1"/>
  <c r="G33" i="154"/>
  <c r="P33" i="154" s="1"/>
  <c r="K33" i="75"/>
  <c r="H33" i="28"/>
  <c r="H33" i="38"/>
  <c r="N33" i="38" s="1"/>
  <c r="CC34" i="67"/>
  <c r="I34" i="156" s="1"/>
  <c r="N33" i="32"/>
  <c r="N33" i="36"/>
  <c r="G34" i="154" l="1"/>
  <c r="P34" i="154" s="1"/>
  <c r="G34" i="153"/>
  <c r="P34" i="153" s="1"/>
  <c r="U34" i="153" s="1"/>
  <c r="V34" i="153" s="1"/>
  <c r="W34" i="153" s="1"/>
  <c r="K34" i="75"/>
  <c r="H34" i="28"/>
  <c r="H34" i="38"/>
  <c r="N34" i="38" s="1"/>
  <c r="CC35" i="67"/>
  <c r="I35" i="156" s="1"/>
  <c r="N34" i="36"/>
  <c r="N34" i="32"/>
  <c r="G35" i="154" l="1"/>
  <c r="P35" i="154" s="1"/>
  <c r="G35" i="153"/>
  <c r="P35" i="153" s="1"/>
  <c r="U35" i="153" s="1"/>
  <c r="V35" i="153" s="1"/>
  <c r="W35" i="153" s="1"/>
  <c r="K35" i="75"/>
  <c r="H35" i="38"/>
  <c r="N35" i="38" s="1"/>
  <c r="H35" i="28"/>
  <c r="CC36" i="67"/>
  <c r="I36" i="156" s="1"/>
  <c r="N35" i="36"/>
  <c r="N35" i="32"/>
  <c r="G36" i="154" l="1"/>
  <c r="P36" i="154" s="1"/>
  <c r="G36" i="153"/>
  <c r="P36" i="153" s="1"/>
  <c r="U36" i="153" s="1"/>
  <c r="V36" i="153" s="1"/>
  <c r="W36" i="153" s="1"/>
  <c r="K36" i="75"/>
  <c r="H36" i="38"/>
  <c r="N36" i="38" s="1"/>
  <c r="H36" i="28"/>
  <c r="CC37" i="67"/>
  <c r="I37" i="156" s="1"/>
  <c r="N36" i="36"/>
  <c r="N36" i="32"/>
  <c r="G37" i="154" l="1"/>
  <c r="P37" i="154" s="1"/>
  <c r="G37" i="153"/>
  <c r="P37" i="153" s="1"/>
  <c r="U37" i="153" s="1"/>
  <c r="V37" i="153" s="1"/>
  <c r="W37" i="153" s="1"/>
  <c r="K37" i="75"/>
  <c r="H37" i="28"/>
  <c r="H37" i="38"/>
  <c r="N37" i="38" s="1"/>
  <c r="CC38" i="67"/>
  <c r="I38" i="156" s="1"/>
  <c r="N37" i="36"/>
  <c r="N37" i="32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2" i="36"/>
  <c r="C122" i="36"/>
  <c r="B123" i="36"/>
  <c r="C123" i="36"/>
  <c r="B124" i="36"/>
  <c r="C124" i="36"/>
  <c r="B125" i="36"/>
  <c r="C125" i="36"/>
  <c r="B126" i="36"/>
  <c r="C126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86" i="34"/>
  <c r="C86" i="34"/>
  <c r="K86" i="34"/>
  <c r="B87" i="34"/>
  <c r="C87" i="34"/>
  <c r="K87" i="34"/>
  <c r="B88" i="34"/>
  <c r="C88" i="34"/>
  <c r="K88" i="34"/>
  <c r="B89" i="34"/>
  <c r="C89" i="34"/>
  <c r="K89" i="34"/>
  <c r="B90" i="34"/>
  <c r="C90" i="34"/>
  <c r="K90" i="34"/>
  <c r="B91" i="34"/>
  <c r="C91" i="34"/>
  <c r="K91" i="34"/>
  <c r="B92" i="34"/>
  <c r="C92" i="34"/>
  <c r="K92" i="34"/>
  <c r="B93" i="34"/>
  <c r="C93" i="34"/>
  <c r="K93" i="34"/>
  <c r="B94" i="34"/>
  <c r="C94" i="34"/>
  <c r="K94" i="34"/>
  <c r="B95" i="34"/>
  <c r="C95" i="34"/>
  <c r="K95" i="34"/>
  <c r="B96" i="34"/>
  <c r="C96" i="34"/>
  <c r="K96" i="34"/>
  <c r="B97" i="34"/>
  <c r="C97" i="34"/>
  <c r="K97" i="34"/>
  <c r="B98" i="34"/>
  <c r="C98" i="34"/>
  <c r="K98" i="34"/>
  <c r="B99" i="34"/>
  <c r="C99" i="34"/>
  <c r="K99" i="34"/>
  <c r="B100" i="34"/>
  <c r="C100" i="34"/>
  <c r="K100" i="34"/>
  <c r="B101" i="34"/>
  <c r="C101" i="34"/>
  <c r="K101" i="34"/>
  <c r="B102" i="34"/>
  <c r="C102" i="34"/>
  <c r="K102" i="34"/>
  <c r="B103" i="34"/>
  <c r="C103" i="34"/>
  <c r="K103" i="34"/>
  <c r="B104" i="34"/>
  <c r="C104" i="34"/>
  <c r="K104" i="34"/>
  <c r="B105" i="34"/>
  <c r="C105" i="34"/>
  <c r="K105" i="34"/>
  <c r="B106" i="34"/>
  <c r="C106" i="34"/>
  <c r="K106" i="34"/>
  <c r="B107" i="34"/>
  <c r="C107" i="34"/>
  <c r="K107" i="34"/>
  <c r="B108" i="34"/>
  <c r="C108" i="34"/>
  <c r="K108" i="34"/>
  <c r="B109" i="34"/>
  <c r="C109" i="34"/>
  <c r="K109" i="34"/>
  <c r="B110" i="34"/>
  <c r="C110" i="34"/>
  <c r="K110" i="34"/>
  <c r="B111" i="34"/>
  <c r="C111" i="34"/>
  <c r="K111" i="34"/>
  <c r="B112" i="34"/>
  <c r="C112" i="34"/>
  <c r="K112" i="34"/>
  <c r="B113" i="34"/>
  <c r="C113" i="34"/>
  <c r="K113" i="34"/>
  <c r="B114" i="34"/>
  <c r="C114" i="34"/>
  <c r="K114" i="34"/>
  <c r="B115" i="34"/>
  <c r="C115" i="34"/>
  <c r="K115" i="34"/>
  <c r="B116" i="34"/>
  <c r="C116" i="34"/>
  <c r="B117" i="34"/>
  <c r="C117" i="34"/>
  <c r="B118" i="34"/>
  <c r="C118" i="34"/>
  <c r="B119" i="34"/>
  <c r="C119" i="34"/>
  <c r="B120" i="34"/>
  <c r="C120" i="34"/>
  <c r="B121" i="34"/>
  <c r="C121" i="34"/>
  <c r="B122" i="34"/>
  <c r="C122" i="34"/>
  <c r="K122" i="34"/>
  <c r="B123" i="34"/>
  <c r="C123" i="34"/>
  <c r="K123" i="34"/>
  <c r="B124" i="34"/>
  <c r="C124" i="34"/>
  <c r="K124" i="34"/>
  <c r="B125" i="34"/>
  <c r="C125" i="34"/>
  <c r="K125" i="34"/>
  <c r="B126" i="34"/>
  <c r="C126" i="34"/>
  <c r="K126" i="34"/>
  <c r="B127" i="34"/>
  <c r="C127" i="34"/>
  <c r="K127" i="34"/>
  <c r="B128" i="34"/>
  <c r="C128" i="34"/>
  <c r="K128" i="34"/>
  <c r="B129" i="34"/>
  <c r="C129" i="34"/>
  <c r="K129" i="34"/>
  <c r="B130" i="34"/>
  <c r="C130" i="34"/>
  <c r="K130" i="34"/>
  <c r="B131" i="34"/>
  <c r="C131" i="34"/>
  <c r="K131" i="34"/>
  <c r="B132" i="34"/>
  <c r="C132" i="34"/>
  <c r="K132" i="34"/>
  <c r="B133" i="34"/>
  <c r="C133" i="34"/>
  <c r="K133" i="34"/>
  <c r="B134" i="34"/>
  <c r="C134" i="34"/>
  <c r="K134" i="34"/>
  <c r="B135" i="34"/>
  <c r="C135" i="34"/>
  <c r="K135" i="34"/>
  <c r="B136" i="34"/>
  <c r="C136" i="34"/>
  <c r="K136" i="34"/>
  <c r="B137" i="34"/>
  <c r="C137" i="34"/>
  <c r="K137" i="34"/>
  <c r="B138" i="34"/>
  <c r="C138" i="34"/>
  <c r="K138" i="34"/>
  <c r="B139" i="34"/>
  <c r="C139" i="34"/>
  <c r="K139" i="34"/>
  <c r="B140" i="34"/>
  <c r="C140" i="34"/>
  <c r="K140" i="34"/>
  <c r="B141" i="34"/>
  <c r="C141" i="34"/>
  <c r="K141" i="34"/>
  <c r="B142" i="34"/>
  <c r="C142" i="34"/>
  <c r="K142" i="34"/>
  <c r="B143" i="34"/>
  <c r="C143" i="34"/>
  <c r="K143" i="34"/>
  <c r="B144" i="34"/>
  <c r="C144" i="34"/>
  <c r="K144" i="34"/>
  <c r="B145" i="34"/>
  <c r="C145" i="34"/>
  <c r="K145" i="34"/>
  <c r="B120" i="38"/>
  <c r="C120" i="38"/>
  <c r="B121" i="38"/>
  <c r="C121" i="38"/>
  <c r="B122" i="38"/>
  <c r="C122" i="38"/>
  <c r="B123" i="38"/>
  <c r="C123" i="38"/>
  <c r="B124" i="38"/>
  <c r="C124" i="38"/>
  <c r="B125" i="38"/>
  <c r="C125" i="38"/>
  <c r="B126" i="38"/>
  <c r="C126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W1" i="4"/>
  <c r="DV1" i="4"/>
  <c r="DU1" i="4"/>
  <c r="L62" i="32"/>
  <c r="M62" i="32"/>
  <c r="L63" i="32"/>
  <c r="M63" i="32"/>
  <c r="L64" i="32"/>
  <c r="M64" i="32"/>
  <c r="L65" i="32"/>
  <c r="L66" i="32"/>
  <c r="L66" i="28"/>
  <c r="L67" i="32"/>
  <c r="L68" i="32"/>
  <c r="L69" i="32"/>
  <c r="M69" i="32"/>
  <c r="L70" i="32"/>
  <c r="M70" i="32"/>
  <c r="L71" i="32"/>
  <c r="L72" i="32"/>
  <c r="M72" i="32"/>
  <c r="L73" i="32"/>
  <c r="M73" i="32"/>
  <c r="L74" i="32"/>
  <c r="L75" i="32"/>
  <c r="L75" i="28"/>
  <c r="L76" i="32"/>
  <c r="L77" i="32"/>
  <c r="M77" i="32"/>
  <c r="L78" i="32"/>
  <c r="M78" i="32"/>
  <c r="L79" i="32"/>
  <c r="L80" i="32"/>
  <c r="M80" i="32"/>
  <c r="L81" i="32"/>
  <c r="L82" i="32"/>
  <c r="M82" i="32"/>
  <c r="L83" i="32"/>
  <c r="L83" i="28"/>
  <c r="L84" i="32"/>
  <c r="L85" i="32"/>
  <c r="L86" i="32"/>
  <c r="M86" i="32"/>
  <c r="L87" i="32"/>
  <c r="L87" i="28"/>
  <c r="L88" i="32"/>
  <c r="M88" i="32"/>
  <c r="L89" i="32"/>
  <c r="L90" i="32"/>
  <c r="M90" i="32"/>
  <c r="L91" i="32"/>
  <c r="L91" i="28"/>
  <c r="L92" i="32"/>
  <c r="L93" i="32"/>
  <c r="L93" i="28"/>
  <c r="L94" i="32"/>
  <c r="L95" i="32"/>
  <c r="L96" i="32"/>
  <c r="L96" i="28"/>
  <c r="L97" i="32"/>
  <c r="L98" i="32"/>
  <c r="L99" i="32"/>
  <c r="L99" i="28"/>
  <c r="L100" i="32"/>
  <c r="M100" i="32"/>
  <c r="L101" i="32"/>
  <c r="L102" i="32"/>
  <c r="L102" i="28"/>
  <c r="L103" i="32"/>
  <c r="L104" i="32"/>
  <c r="L105" i="32"/>
  <c r="L106" i="32"/>
  <c r="L106" i="28"/>
  <c r="L107" i="32"/>
  <c r="L77" i="28"/>
  <c r="L80" i="28"/>
  <c r="L86" i="28"/>
  <c r="L90" i="28"/>
  <c r="L62" i="28"/>
  <c r="L63" i="28"/>
  <c r="L64" i="28"/>
  <c r="L69" i="28"/>
  <c r="L70" i="28"/>
  <c r="L72" i="28"/>
  <c r="G38" i="154" l="1"/>
  <c r="P38" i="154" s="1"/>
  <c r="G38" i="153"/>
  <c r="P38" i="153" s="1"/>
  <c r="U38" i="153" s="1"/>
  <c r="H38" i="28"/>
  <c r="K38" i="75"/>
  <c r="H38" i="38"/>
  <c r="N38" i="38" s="1"/>
  <c r="CC39" i="67"/>
  <c r="I39" i="156" s="1"/>
  <c r="N38" i="36"/>
  <c r="N38" i="32"/>
  <c r="L109" i="32"/>
  <c r="K109" i="28"/>
  <c r="L109" i="30"/>
  <c r="M108" i="30"/>
  <c r="L109" i="28"/>
  <c r="M109" i="30"/>
  <c r="L108" i="32"/>
  <c r="K108" i="28"/>
  <c r="L108" i="30"/>
  <c r="M75" i="32"/>
  <c r="M91" i="32"/>
  <c r="L82" i="28"/>
  <c r="M85" i="32"/>
  <c r="L85" i="28"/>
  <c r="L105" i="28"/>
  <c r="M105" i="32"/>
  <c r="L100" i="28"/>
  <c r="M97" i="32"/>
  <c r="L97" i="28"/>
  <c r="M65" i="32"/>
  <c r="L65" i="28"/>
  <c r="L94" i="28"/>
  <c r="M94" i="32"/>
  <c r="L88" i="28"/>
  <c r="L81" i="28"/>
  <c r="M81" i="32"/>
  <c r="L73" i="28"/>
  <c r="L78" i="28"/>
  <c r="L98" i="28"/>
  <c r="M98" i="32"/>
  <c r="M68" i="32"/>
  <c r="L68" i="28"/>
  <c r="L84" i="28"/>
  <c r="M84" i="32"/>
  <c r="L104" i="28"/>
  <c r="M104" i="32"/>
  <c r="M89" i="32"/>
  <c r="L89" i="28"/>
  <c r="L107" i="28"/>
  <c r="M107" i="32"/>
  <c r="M101" i="32"/>
  <c r="L101" i="28"/>
  <c r="L108" i="28"/>
  <c r="M108" i="32"/>
  <c r="M92" i="32"/>
  <c r="L92" i="28"/>
  <c r="L76" i="28"/>
  <c r="M76" i="32"/>
  <c r="M96" i="32"/>
  <c r="L74" i="28"/>
  <c r="M74" i="32"/>
  <c r="M102" i="32"/>
  <c r="M106" i="32"/>
  <c r="M93" i="32"/>
  <c r="M66" i="32"/>
  <c r="L95" i="28"/>
  <c r="M95" i="32"/>
  <c r="L79" i="28"/>
  <c r="M79" i="32"/>
  <c r="M83" i="32"/>
  <c r="M99" i="32"/>
  <c r="M87" i="32"/>
  <c r="L67" i="28"/>
  <c r="M67" i="32"/>
  <c r="M109" i="32"/>
  <c r="L103" i="28"/>
  <c r="M103" i="32"/>
  <c r="L71" i="28"/>
  <c r="M71" i="32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B52" i="65"/>
  <c r="B53" i="65"/>
  <c r="B54" i="65"/>
  <c r="B55" i="65"/>
  <c r="B56" i="65"/>
  <c r="B57" i="65"/>
  <c r="B58" i="65"/>
  <c r="B59" i="65"/>
  <c r="B60" i="65"/>
  <c r="B61" i="65"/>
  <c r="B62" i="65"/>
  <c r="B63" i="65"/>
  <c r="B64" i="65"/>
  <c r="B65" i="65"/>
  <c r="B66" i="65"/>
  <c r="B67" i="65"/>
  <c r="B68" i="65"/>
  <c r="B69" i="65"/>
  <c r="B70" i="65"/>
  <c r="B71" i="65"/>
  <c r="B72" i="65"/>
  <c r="B73" i="65"/>
  <c r="B74" i="65"/>
  <c r="B75" i="65"/>
  <c r="B76" i="65"/>
  <c r="B77" i="65"/>
  <c r="B78" i="65"/>
  <c r="B79" i="65"/>
  <c r="B80" i="65"/>
  <c r="B81" i="65"/>
  <c r="B82" i="65"/>
  <c r="B83" i="65"/>
  <c r="B84" i="65"/>
  <c r="B85" i="65"/>
  <c r="B86" i="65"/>
  <c r="B87" i="65"/>
  <c r="B88" i="65"/>
  <c r="B89" i="65"/>
  <c r="B90" i="65"/>
  <c r="B91" i="65"/>
  <c r="B92" i="65"/>
  <c r="B93" i="65"/>
  <c r="B94" i="65"/>
  <c r="B95" i="65"/>
  <c r="B96" i="65"/>
  <c r="B97" i="65"/>
  <c r="B98" i="65"/>
  <c r="B99" i="65"/>
  <c r="B100" i="65"/>
  <c r="B101" i="65"/>
  <c r="B102" i="65"/>
  <c r="B103" i="65"/>
  <c r="B104" i="65"/>
  <c r="B105" i="65"/>
  <c r="B106" i="65"/>
  <c r="B107" i="65"/>
  <c r="B108" i="65"/>
  <c r="B109" i="65"/>
  <c r="B110" i="65"/>
  <c r="B111" i="65"/>
  <c r="B125" i="65"/>
  <c r="B126" i="65"/>
  <c r="B127" i="65"/>
  <c r="B128" i="65"/>
  <c r="B129" i="65"/>
  <c r="B130" i="65"/>
  <c r="B131" i="65"/>
  <c r="B132" i="65"/>
  <c r="B133" i="65"/>
  <c r="B134" i="65"/>
  <c r="B135" i="65"/>
  <c r="B136" i="65"/>
  <c r="B137" i="65"/>
  <c r="B138" i="65"/>
  <c r="B139" i="65"/>
  <c r="B140" i="65"/>
  <c r="B141" i="65"/>
  <c r="B142" i="65"/>
  <c r="B143" i="65"/>
  <c r="B144" i="65"/>
  <c r="B145" i="65"/>
  <c r="B146" i="65"/>
  <c r="B147" i="65"/>
  <c r="B112" i="65"/>
  <c r="B113" i="65"/>
  <c r="B114" i="65"/>
  <c r="B115" i="65"/>
  <c r="B116" i="65"/>
  <c r="B117" i="65"/>
  <c r="B118" i="65"/>
  <c r="B119" i="65"/>
  <c r="B120" i="65"/>
  <c r="B121" i="65"/>
  <c r="B122" i="65"/>
  <c r="B123" i="65"/>
  <c r="B124" i="65"/>
  <c r="V38" i="153" l="1"/>
  <c r="W38" i="153" s="1"/>
  <c r="G39" i="153"/>
  <c r="P39" i="153" s="1"/>
  <c r="U39" i="153" s="1"/>
  <c r="V39" i="153" s="1"/>
  <c r="W39" i="153" s="1"/>
  <c r="G39" i="154"/>
  <c r="P39" i="154" s="1"/>
  <c r="H39" i="38"/>
  <c r="N39" i="38" s="1"/>
  <c r="H39" i="28"/>
  <c r="K39" i="75"/>
  <c r="CC40" i="67"/>
  <c r="I40" i="156" s="1"/>
  <c r="N39" i="36"/>
  <c r="N39" i="32"/>
  <c r="M82" i="28"/>
  <c r="M82" i="38"/>
  <c r="M61" i="28"/>
  <c r="M61" i="38"/>
  <c r="M29" i="28"/>
  <c r="M29" i="38"/>
  <c r="M13" i="28"/>
  <c r="M13" i="38"/>
  <c r="M41" i="28"/>
  <c r="M41" i="38"/>
  <c r="M45" i="28"/>
  <c r="M45" i="38"/>
  <c r="M105" i="28"/>
  <c r="M105" i="38"/>
  <c r="M81" i="28"/>
  <c r="M81" i="38"/>
  <c r="M60" i="28"/>
  <c r="M60" i="38"/>
  <c r="M44" i="28"/>
  <c r="M44" i="38"/>
  <c r="M28" i="28"/>
  <c r="M28" i="38"/>
  <c r="M12" i="28"/>
  <c r="M12" i="38"/>
  <c r="M85" i="28"/>
  <c r="M85" i="38"/>
  <c r="M69" i="28"/>
  <c r="M69" i="38"/>
  <c r="M80" i="28"/>
  <c r="M80" i="38"/>
  <c r="M10" i="28"/>
  <c r="M10" i="38"/>
  <c r="M100" i="28"/>
  <c r="M100" i="38"/>
  <c r="M98" i="28"/>
  <c r="M98" i="38"/>
  <c r="M73" i="28"/>
  <c r="M73" i="38"/>
  <c r="M56" i="28"/>
  <c r="M56" i="38"/>
  <c r="M40" i="28"/>
  <c r="M40" i="38"/>
  <c r="M24" i="28"/>
  <c r="M24" i="38"/>
  <c r="M8" i="28"/>
  <c r="M8" i="38"/>
  <c r="M97" i="28"/>
  <c r="M97" i="38"/>
  <c r="M72" i="28"/>
  <c r="M72" i="38"/>
  <c r="M55" i="28"/>
  <c r="M55" i="38"/>
  <c r="M39" i="28"/>
  <c r="M39" i="38"/>
  <c r="M23" i="28"/>
  <c r="M23" i="38"/>
  <c r="M7" i="28"/>
  <c r="M7" i="38"/>
  <c r="M9" i="28"/>
  <c r="M9" i="38"/>
  <c r="M96" i="28"/>
  <c r="M96" i="38"/>
  <c r="M71" i="28"/>
  <c r="M71" i="38"/>
  <c r="M54" i="28"/>
  <c r="M54" i="38"/>
  <c r="M38" i="28"/>
  <c r="M38" i="38"/>
  <c r="M22" i="28"/>
  <c r="M22" i="38"/>
  <c r="M6" i="28"/>
  <c r="M6" i="38"/>
  <c r="M42" i="28"/>
  <c r="M42" i="38"/>
  <c r="M57" i="28"/>
  <c r="M57" i="38"/>
  <c r="M95" i="28"/>
  <c r="M95" i="38"/>
  <c r="M70" i="28"/>
  <c r="M70" i="38"/>
  <c r="M53" i="28"/>
  <c r="M53" i="38"/>
  <c r="M37" i="28"/>
  <c r="M37" i="38"/>
  <c r="M21" i="28"/>
  <c r="M21" i="38"/>
  <c r="M5" i="28"/>
  <c r="M5" i="38"/>
  <c r="M103" i="28"/>
  <c r="M103" i="38"/>
  <c r="M102" i="28"/>
  <c r="M102" i="38"/>
  <c r="M25" i="28"/>
  <c r="M25" i="38"/>
  <c r="M94" i="28"/>
  <c r="M94" i="38"/>
  <c r="M68" i="28"/>
  <c r="M68" i="38"/>
  <c r="M52" i="28"/>
  <c r="M52" i="38"/>
  <c r="M36" i="28"/>
  <c r="M36" i="38"/>
  <c r="M20" i="28"/>
  <c r="M20" i="38"/>
  <c r="M4" i="28"/>
  <c r="M4" i="38"/>
  <c r="M89" i="28"/>
  <c r="M89" i="38"/>
  <c r="M67" i="28"/>
  <c r="M67" i="38"/>
  <c r="M51" i="28"/>
  <c r="M51" i="38"/>
  <c r="M35" i="28"/>
  <c r="M35" i="38"/>
  <c r="M19" i="28"/>
  <c r="M19" i="38"/>
  <c r="M3" i="28"/>
  <c r="M3" i="38"/>
  <c r="M88" i="28"/>
  <c r="M88" i="38"/>
  <c r="M66" i="28"/>
  <c r="M66" i="38"/>
  <c r="M50" i="28"/>
  <c r="M50" i="38"/>
  <c r="M34" i="28"/>
  <c r="M34" i="38"/>
  <c r="M18" i="28"/>
  <c r="M18" i="38"/>
  <c r="M2" i="28"/>
  <c r="M2" i="38"/>
  <c r="M11" i="28"/>
  <c r="M11" i="38"/>
  <c r="M58" i="28"/>
  <c r="M58" i="38"/>
  <c r="M87" i="28"/>
  <c r="M87" i="38"/>
  <c r="M65" i="28"/>
  <c r="M65" i="38"/>
  <c r="M49" i="28"/>
  <c r="M49" i="38"/>
  <c r="M33" i="28"/>
  <c r="M33" i="38"/>
  <c r="M17" i="28"/>
  <c r="M17" i="38"/>
  <c r="M90" i="28"/>
  <c r="M90" i="38"/>
  <c r="M74" i="28"/>
  <c r="M74" i="38"/>
  <c r="M59" i="28"/>
  <c r="M59" i="38"/>
  <c r="M86" i="28"/>
  <c r="M86" i="38"/>
  <c r="M64" i="28"/>
  <c r="M64" i="38"/>
  <c r="M48" i="28"/>
  <c r="M48" i="38"/>
  <c r="M32" i="28"/>
  <c r="M32" i="38"/>
  <c r="M16" i="28"/>
  <c r="M16" i="38"/>
  <c r="M43" i="28"/>
  <c r="M43" i="38"/>
  <c r="M79" i="28"/>
  <c r="M79" i="38"/>
  <c r="M84" i="28"/>
  <c r="M84" i="38"/>
  <c r="M63" i="28"/>
  <c r="M63" i="38"/>
  <c r="M47" i="28"/>
  <c r="M47" i="38"/>
  <c r="M31" i="28"/>
  <c r="M31" i="38"/>
  <c r="M15" i="28"/>
  <c r="M15" i="38"/>
  <c r="M27" i="28"/>
  <c r="M27" i="38"/>
  <c r="M26" i="28"/>
  <c r="M26" i="38"/>
  <c r="M78" i="28"/>
  <c r="M78" i="38"/>
  <c r="M83" i="28"/>
  <c r="M83" i="38"/>
  <c r="M62" i="28"/>
  <c r="M62" i="38"/>
  <c r="M46" i="28"/>
  <c r="M46" i="38"/>
  <c r="M30" i="28"/>
  <c r="M30" i="38"/>
  <c r="M14" i="28"/>
  <c r="M14" i="38"/>
  <c r="M127" i="65"/>
  <c r="L125" i="65"/>
  <c r="M129" i="65"/>
  <c r="L129" i="65"/>
  <c r="L127" i="65"/>
  <c r="R111" i="65"/>
  <c r="AW109" i="67" s="1"/>
  <c r="I120" i="65"/>
  <c r="O105" i="34"/>
  <c r="O97" i="34"/>
  <c r="O89" i="34"/>
  <c r="O102" i="34"/>
  <c r="O94" i="34"/>
  <c r="O86" i="34"/>
  <c r="O107" i="34"/>
  <c r="O99" i="34"/>
  <c r="O91" i="34"/>
  <c r="O104" i="34"/>
  <c r="O96" i="34"/>
  <c r="O88" i="34"/>
  <c r="O109" i="34"/>
  <c r="O101" i="34"/>
  <c r="O93" i="34"/>
  <c r="O106" i="34"/>
  <c r="O98" i="34"/>
  <c r="O90" i="34"/>
  <c r="O103" i="34"/>
  <c r="O95" i="34"/>
  <c r="O87" i="34"/>
  <c r="O108" i="34"/>
  <c r="O100" i="34"/>
  <c r="O92" i="34"/>
  <c r="BO2" i="4"/>
  <c r="CC2" i="4"/>
  <c r="BA2" i="4"/>
  <c r="CQ2" i="4"/>
  <c r="DE2" i="4"/>
  <c r="Y2" i="4"/>
  <c r="AU2" i="4"/>
  <c r="R106" i="65"/>
  <c r="AW104" i="67" s="1"/>
  <c r="R100" i="65"/>
  <c r="AW98" i="67" s="1"/>
  <c r="M122" i="65"/>
  <c r="AN120" i="67" s="1"/>
  <c r="M126" i="65"/>
  <c r="L124" i="65"/>
  <c r="L128" i="65"/>
  <c r="M121" i="65"/>
  <c r="AN119" i="67" s="1"/>
  <c r="L126" i="65"/>
  <c r="M128" i="65"/>
  <c r="I116" i="65"/>
  <c r="I132" i="65" l="1"/>
  <c r="I144" i="65" s="1"/>
  <c r="AJ118" i="67"/>
  <c r="I128" i="65"/>
  <c r="I140" i="65" s="1"/>
  <c r="AJ114" i="67"/>
  <c r="G40" i="154"/>
  <c r="P40" i="154" s="1"/>
  <c r="G40" i="153"/>
  <c r="P40" i="153" s="1"/>
  <c r="U40" i="153" s="1"/>
  <c r="H40" i="38"/>
  <c r="N40" i="38" s="1"/>
  <c r="K40" i="75"/>
  <c r="H40" i="28"/>
  <c r="S118" i="65"/>
  <c r="AX116" i="67" s="1"/>
  <c r="M116" i="156" s="1"/>
  <c r="S119" i="65"/>
  <c r="AX117" i="67" s="1"/>
  <c r="M117" i="156" s="1"/>
  <c r="CC41" i="67"/>
  <c r="I41" i="156" s="1"/>
  <c r="N40" i="36"/>
  <c r="N40" i="32"/>
  <c r="M141" i="65"/>
  <c r="U129" i="65"/>
  <c r="M130" i="65"/>
  <c r="U118" i="65"/>
  <c r="M133" i="65"/>
  <c r="U121" i="65"/>
  <c r="L136" i="65"/>
  <c r="L131" i="65"/>
  <c r="T119" i="65"/>
  <c r="L141" i="65"/>
  <c r="T129" i="65"/>
  <c r="L139" i="65"/>
  <c r="T127" i="65"/>
  <c r="M139" i="65"/>
  <c r="L130" i="65"/>
  <c r="T118" i="65"/>
  <c r="M134" i="65"/>
  <c r="U122" i="65"/>
  <c r="L137" i="65"/>
  <c r="L138" i="65"/>
  <c r="L140" i="65"/>
  <c r="T140" i="65" s="1"/>
  <c r="T128" i="65"/>
  <c r="M131" i="65"/>
  <c r="U119" i="65"/>
  <c r="M132" i="65"/>
  <c r="U120" i="65"/>
  <c r="M138" i="65"/>
  <c r="M140" i="65"/>
  <c r="AV113" i="67"/>
  <c r="AV114" i="67"/>
  <c r="AV110" i="67"/>
  <c r="R103" i="65"/>
  <c r="AW101" i="67" s="1"/>
  <c r="J115" i="65"/>
  <c r="R101" i="65"/>
  <c r="AW99" i="67" s="1"/>
  <c r="I112" i="65"/>
  <c r="H123" i="65"/>
  <c r="M92" i="28"/>
  <c r="M92" i="38"/>
  <c r="M76" i="28"/>
  <c r="M76" i="38"/>
  <c r="O111" i="34"/>
  <c r="M104" i="28"/>
  <c r="M104" i="38"/>
  <c r="M77" i="28"/>
  <c r="M77" i="38"/>
  <c r="M93" i="28"/>
  <c r="M93" i="38"/>
  <c r="M101" i="28"/>
  <c r="M101" i="38"/>
  <c r="O114" i="34"/>
  <c r="M99" i="28"/>
  <c r="M99" i="38"/>
  <c r="O110" i="34"/>
  <c r="M75" i="28"/>
  <c r="M75" i="38"/>
  <c r="M91" i="28"/>
  <c r="M91" i="38"/>
  <c r="K124" i="65"/>
  <c r="R102" i="65"/>
  <c r="AW100" i="67" s="1"/>
  <c r="K126" i="65"/>
  <c r="K125" i="65"/>
  <c r="K130" i="65"/>
  <c r="K131" i="65"/>
  <c r="H114" i="65"/>
  <c r="O112" i="34"/>
  <c r="K128" i="65"/>
  <c r="O113" i="34"/>
  <c r="K129" i="65"/>
  <c r="O115" i="34"/>
  <c r="K127" i="65"/>
  <c r="R112" i="65"/>
  <c r="H118" i="65"/>
  <c r="H113" i="65"/>
  <c r="H115" i="65"/>
  <c r="H135" i="65"/>
  <c r="R135" i="65" s="1"/>
  <c r="DF2" i="4"/>
  <c r="CD2" i="4"/>
  <c r="Z2" i="4"/>
  <c r="BP2" i="4"/>
  <c r="CR2" i="4"/>
  <c r="AV2" i="4"/>
  <c r="BB2" i="4"/>
  <c r="J118" i="65"/>
  <c r="K122" i="65"/>
  <c r="AL120" i="67" s="1"/>
  <c r="M123" i="65"/>
  <c r="AN121" i="67" s="1"/>
  <c r="K121" i="65"/>
  <c r="AL119" i="67" s="1"/>
  <c r="R109" i="65"/>
  <c r="AW107" i="67" s="1"/>
  <c r="L123" i="65"/>
  <c r="R108" i="65"/>
  <c r="AW106" i="67" s="1"/>
  <c r="J120" i="65"/>
  <c r="M124" i="65"/>
  <c r="J119" i="65"/>
  <c r="I121" i="65"/>
  <c r="L121" i="65"/>
  <c r="AM119" i="67" s="1"/>
  <c r="K123" i="65"/>
  <c r="AL121" i="67" s="1"/>
  <c r="J121" i="65"/>
  <c r="I122" i="65"/>
  <c r="J122" i="65"/>
  <c r="I118" i="65"/>
  <c r="R110" i="65"/>
  <c r="AW108" i="67" s="1"/>
  <c r="R107" i="65"/>
  <c r="AW105" i="67" s="1"/>
  <c r="M125" i="65"/>
  <c r="U128" i="65" s="1"/>
  <c r="L122" i="65"/>
  <c r="AM120" i="67" s="1"/>
  <c r="I119" i="65"/>
  <c r="J123" i="65"/>
  <c r="I123" i="65"/>
  <c r="V40" i="153" l="1"/>
  <c r="W40" i="153" s="1"/>
  <c r="H126" i="36"/>
  <c r="O126" i="36" s="1"/>
  <c r="J126" i="77"/>
  <c r="Q126" i="77" s="1"/>
  <c r="J129" i="77"/>
  <c r="Q129" i="77" s="1"/>
  <c r="H129" i="36"/>
  <c r="O129" i="36" s="1"/>
  <c r="J128" i="77"/>
  <c r="Q128" i="77" s="1"/>
  <c r="H128" i="36"/>
  <c r="O128" i="36" s="1"/>
  <c r="H121" i="32"/>
  <c r="O121" i="32" s="1"/>
  <c r="J121" i="77"/>
  <c r="H121" i="36"/>
  <c r="O121" i="36" s="1"/>
  <c r="J124" i="77"/>
  <c r="Q124" i="77" s="1"/>
  <c r="H124" i="36"/>
  <c r="O124" i="36" s="1"/>
  <c r="J125" i="77"/>
  <c r="Q125" i="77" s="1"/>
  <c r="H125" i="36"/>
  <c r="O125" i="36" s="1"/>
  <c r="J122" i="77"/>
  <c r="Q122" i="77" s="1"/>
  <c r="H122" i="36"/>
  <c r="O122" i="36" s="1"/>
  <c r="J119" i="77"/>
  <c r="H119" i="32"/>
  <c r="O119" i="32" s="1"/>
  <c r="H119" i="36"/>
  <c r="O119" i="36" s="1"/>
  <c r="J127" i="77"/>
  <c r="Q127" i="77" s="1"/>
  <c r="H127" i="36"/>
  <c r="O127" i="36" s="1"/>
  <c r="J123" i="77"/>
  <c r="Q123" i="77" s="1"/>
  <c r="H123" i="36"/>
  <c r="O123" i="36" s="1"/>
  <c r="J120" i="77"/>
  <c r="H120" i="36"/>
  <c r="O120" i="36" s="1"/>
  <c r="H120" i="32"/>
  <c r="O120" i="32" s="1"/>
  <c r="G41" i="153"/>
  <c r="P41" i="153" s="1"/>
  <c r="U41" i="153" s="1"/>
  <c r="V41" i="153" s="1"/>
  <c r="W41" i="153" s="1"/>
  <c r="G41" i="154"/>
  <c r="P41" i="154" s="1"/>
  <c r="K41" i="75"/>
  <c r="H41" i="28"/>
  <c r="H41" i="38"/>
  <c r="N41" i="38" s="1"/>
  <c r="J131" i="65"/>
  <c r="J143" i="65" s="1"/>
  <c r="AK117" i="67"/>
  <c r="K117" i="154"/>
  <c r="T117" i="154" s="1"/>
  <c r="K117" i="153"/>
  <c r="T117" i="153" s="1"/>
  <c r="K116" i="154"/>
  <c r="T116" i="154" s="1"/>
  <c r="K116" i="153"/>
  <c r="T116" i="153" s="1"/>
  <c r="I133" i="65"/>
  <c r="I145" i="65" s="1"/>
  <c r="AJ119" i="67"/>
  <c r="I135" i="65"/>
  <c r="I147" i="65" s="1"/>
  <c r="AJ121" i="67"/>
  <c r="J132" i="65"/>
  <c r="J144" i="65" s="1"/>
  <c r="AK118" i="67"/>
  <c r="R115" i="65"/>
  <c r="AW113" i="67" s="1"/>
  <c r="AI113" i="67"/>
  <c r="J135" i="65"/>
  <c r="J147" i="65" s="1"/>
  <c r="AK121" i="67"/>
  <c r="I131" i="65"/>
  <c r="I143" i="65" s="1"/>
  <c r="AJ117" i="67"/>
  <c r="T126" i="65"/>
  <c r="AM121" i="67"/>
  <c r="R118" i="65"/>
  <c r="AW116" i="67" s="1"/>
  <c r="AI116" i="67"/>
  <c r="R113" i="65"/>
  <c r="AW111" i="67" s="1"/>
  <c r="AI111" i="67"/>
  <c r="I124" i="65"/>
  <c r="I136" i="65" s="1"/>
  <c r="AJ110" i="67"/>
  <c r="R123" i="65"/>
  <c r="AW121" i="67" s="1"/>
  <c r="AI121" i="67"/>
  <c r="J133" i="65"/>
  <c r="J145" i="65" s="1"/>
  <c r="AK119" i="67"/>
  <c r="R114" i="65"/>
  <c r="AW112" i="67" s="1"/>
  <c r="AI112" i="67"/>
  <c r="I130" i="65"/>
  <c r="I142" i="65" s="1"/>
  <c r="AJ116" i="67"/>
  <c r="J130" i="65"/>
  <c r="J142" i="65" s="1"/>
  <c r="AK116" i="67"/>
  <c r="J134" i="65"/>
  <c r="J146" i="65" s="1"/>
  <c r="AK120" i="67"/>
  <c r="I134" i="65"/>
  <c r="I146" i="65" s="1"/>
  <c r="AJ120" i="67"/>
  <c r="J127" i="65"/>
  <c r="J139" i="65" s="1"/>
  <c r="AK113" i="67"/>
  <c r="N117" i="30"/>
  <c r="Q117" i="30" s="1"/>
  <c r="N117" i="34"/>
  <c r="N116" i="34"/>
  <c r="N116" i="30"/>
  <c r="Q116" i="30" s="1"/>
  <c r="T139" i="65"/>
  <c r="T141" i="65"/>
  <c r="S121" i="65"/>
  <c r="M122" i="156" s="1"/>
  <c r="V122" i="156" s="1"/>
  <c r="S122" i="65"/>
  <c r="M123" i="156" s="1"/>
  <c r="V123" i="156" s="1"/>
  <c r="S129" i="65"/>
  <c r="S123" i="65"/>
  <c r="M124" i="156" s="1"/>
  <c r="V124" i="156" s="1"/>
  <c r="S128" i="65"/>
  <c r="M129" i="156" s="1"/>
  <c r="V129" i="156" s="1"/>
  <c r="S120" i="65"/>
  <c r="AX118" i="67" s="1"/>
  <c r="M118" i="156" s="1"/>
  <c r="S130" i="65"/>
  <c r="CC42" i="67"/>
  <c r="I42" i="156" s="1"/>
  <c r="N41" i="36"/>
  <c r="N41" i="32"/>
  <c r="M136" i="65"/>
  <c r="U136" i="65" s="1"/>
  <c r="U124" i="65"/>
  <c r="U127" i="65"/>
  <c r="M135" i="65"/>
  <c r="U138" i="65" s="1"/>
  <c r="U123" i="65"/>
  <c r="M144" i="65"/>
  <c r="U144" i="65" s="1"/>
  <c r="U132" i="65"/>
  <c r="M143" i="65"/>
  <c r="U143" i="65" s="1"/>
  <c r="U131" i="65"/>
  <c r="L134" i="65"/>
  <c r="T137" i="65" s="1"/>
  <c r="T122" i="65"/>
  <c r="L143" i="65"/>
  <c r="T143" i="65" s="1"/>
  <c r="T131" i="65"/>
  <c r="L133" i="65"/>
  <c r="T121" i="65"/>
  <c r="S131" i="65"/>
  <c r="T124" i="65"/>
  <c r="T136" i="65"/>
  <c r="T125" i="65"/>
  <c r="M145" i="65"/>
  <c r="U133" i="65"/>
  <c r="M137" i="65"/>
  <c r="U137" i="65" s="1"/>
  <c r="U125" i="65"/>
  <c r="U126" i="65"/>
  <c r="L132" i="65"/>
  <c r="T120" i="65"/>
  <c r="S126" i="65"/>
  <c r="M146" i="65"/>
  <c r="U134" i="65"/>
  <c r="M142" i="65"/>
  <c r="U142" i="65" s="1"/>
  <c r="U130" i="65"/>
  <c r="S125" i="65"/>
  <c r="K136" i="65"/>
  <c r="S124" i="65"/>
  <c r="L135" i="65"/>
  <c r="T123" i="65"/>
  <c r="S127" i="65"/>
  <c r="L142" i="65"/>
  <c r="T142" i="65" s="1"/>
  <c r="T130" i="65"/>
  <c r="U141" i="65"/>
  <c r="AT112" i="67"/>
  <c r="AU112" i="67"/>
  <c r="AV115" i="67"/>
  <c r="AV111" i="67"/>
  <c r="AS113" i="67"/>
  <c r="AS114" i="67"/>
  <c r="AT111" i="67"/>
  <c r="AU110" i="67"/>
  <c r="AT110" i="67"/>
  <c r="AT114" i="67"/>
  <c r="AS112" i="67"/>
  <c r="AU114" i="67"/>
  <c r="AU115" i="67"/>
  <c r="AT113" i="67"/>
  <c r="AV112" i="67"/>
  <c r="AU113" i="67"/>
  <c r="AS111" i="67"/>
  <c r="AS110" i="67"/>
  <c r="AU111" i="67"/>
  <c r="AT115" i="67"/>
  <c r="AS115" i="67"/>
  <c r="I113" i="65"/>
  <c r="I117" i="65"/>
  <c r="R105" i="65"/>
  <c r="AW103" i="67" s="1"/>
  <c r="R104" i="65"/>
  <c r="AW102" i="67" s="1"/>
  <c r="J114" i="65"/>
  <c r="J117" i="65"/>
  <c r="J113" i="65"/>
  <c r="J116" i="65"/>
  <c r="J112" i="65"/>
  <c r="I114" i="65"/>
  <c r="I115" i="65"/>
  <c r="AX113" i="67"/>
  <c r="M113" i="156" s="1"/>
  <c r="AX114" i="67"/>
  <c r="M114" i="156" s="1"/>
  <c r="AX110" i="67"/>
  <c r="M110" i="156" s="1"/>
  <c r="AX115" i="67"/>
  <c r="M115" i="156" s="1"/>
  <c r="AW110" i="67"/>
  <c r="AX112" i="67"/>
  <c r="M112" i="156" s="1"/>
  <c r="AX111" i="67"/>
  <c r="M111" i="156" s="1"/>
  <c r="M107" i="28"/>
  <c r="M107" i="38"/>
  <c r="M108" i="28"/>
  <c r="M108" i="38"/>
  <c r="M109" i="28"/>
  <c r="M109" i="38"/>
  <c r="M106" i="28"/>
  <c r="M106" i="38"/>
  <c r="H126" i="65"/>
  <c r="R126" i="65" s="1"/>
  <c r="K140" i="65"/>
  <c r="K135" i="65"/>
  <c r="K132" i="65"/>
  <c r="K143" i="65"/>
  <c r="K137" i="65"/>
  <c r="K134" i="65"/>
  <c r="K139" i="65"/>
  <c r="K138" i="65"/>
  <c r="K141" i="65"/>
  <c r="K142" i="65"/>
  <c r="K133" i="65"/>
  <c r="H130" i="65"/>
  <c r="R130" i="65" s="1"/>
  <c r="H119" i="65"/>
  <c r="H147" i="65"/>
  <c r="R147" i="65" s="1"/>
  <c r="H116" i="65"/>
  <c r="H120" i="65"/>
  <c r="H122" i="65"/>
  <c r="H127" i="65"/>
  <c r="R127" i="65" s="1"/>
  <c r="R124" i="65"/>
  <c r="H117" i="65"/>
  <c r="H121" i="65"/>
  <c r="H125" i="65"/>
  <c r="R125" i="65" s="1"/>
  <c r="BC2" i="4"/>
  <c r="CE2" i="4"/>
  <c r="DG2" i="4"/>
  <c r="CS2" i="4"/>
  <c r="AA2" i="4"/>
  <c r="BQ2" i="4"/>
  <c r="K128" i="154" l="1"/>
  <c r="T128" i="154" s="1"/>
  <c r="M128" i="156"/>
  <c r="V128" i="156" s="1"/>
  <c r="J140" i="77"/>
  <c r="Q140" i="77" s="1"/>
  <c r="H140" i="36"/>
  <c r="O140" i="36" s="1"/>
  <c r="J134" i="77"/>
  <c r="Q134" i="77" s="1"/>
  <c r="H134" i="36"/>
  <c r="O134" i="36" s="1"/>
  <c r="J131" i="77"/>
  <c r="Q131" i="77" s="1"/>
  <c r="H131" i="36"/>
  <c r="O131" i="36" s="1"/>
  <c r="K132" i="154"/>
  <c r="T132" i="154" s="1"/>
  <c r="M132" i="156"/>
  <c r="V132" i="156" s="1"/>
  <c r="J139" i="77"/>
  <c r="Q139" i="77" s="1"/>
  <c r="H139" i="36"/>
  <c r="O139" i="36" s="1"/>
  <c r="J136" i="77"/>
  <c r="Q136" i="77" s="1"/>
  <c r="H136" i="36"/>
  <c r="O136" i="36" s="1"/>
  <c r="J141" i="77"/>
  <c r="Q141" i="77" s="1"/>
  <c r="H141" i="36"/>
  <c r="O141" i="36" s="1"/>
  <c r="K125" i="154"/>
  <c r="T125" i="154" s="1"/>
  <c r="M125" i="156"/>
  <c r="V125" i="156" s="1"/>
  <c r="J132" i="77"/>
  <c r="Q132" i="77" s="1"/>
  <c r="H132" i="36"/>
  <c r="O132" i="36" s="1"/>
  <c r="K126" i="154"/>
  <c r="T126" i="154" s="1"/>
  <c r="M126" i="156"/>
  <c r="V126" i="156" s="1"/>
  <c r="J135" i="77"/>
  <c r="Q135" i="77" s="1"/>
  <c r="H135" i="36"/>
  <c r="O135" i="36" s="1"/>
  <c r="J130" i="77"/>
  <c r="Q130" i="77" s="1"/>
  <c r="H130" i="36"/>
  <c r="O130" i="36" s="1"/>
  <c r="J138" i="77"/>
  <c r="Q138" i="77" s="1"/>
  <c r="H138" i="36"/>
  <c r="O138" i="36" s="1"/>
  <c r="K127" i="154"/>
  <c r="T127" i="154" s="1"/>
  <c r="M127" i="156"/>
  <c r="V127" i="156" s="1"/>
  <c r="J137" i="77"/>
  <c r="Q137" i="77" s="1"/>
  <c r="H137" i="36"/>
  <c r="O137" i="36" s="1"/>
  <c r="K131" i="154"/>
  <c r="T131" i="154" s="1"/>
  <c r="M131" i="156"/>
  <c r="V131" i="156" s="1"/>
  <c r="J133" i="77"/>
  <c r="Q133" i="77" s="1"/>
  <c r="H133" i="36"/>
  <c r="O133" i="36" s="1"/>
  <c r="K130" i="154"/>
  <c r="T130" i="154" s="1"/>
  <c r="M130" i="156"/>
  <c r="V130" i="156" s="1"/>
  <c r="K118" i="154"/>
  <c r="T118" i="154" s="1"/>
  <c r="K118" i="153"/>
  <c r="T118" i="153" s="1"/>
  <c r="P126" i="76"/>
  <c r="K129" i="154"/>
  <c r="T129" i="154" s="1"/>
  <c r="R119" i="65"/>
  <c r="AW117" i="67" s="1"/>
  <c r="AI117" i="67"/>
  <c r="AX121" i="67"/>
  <c r="M121" i="156" s="1"/>
  <c r="K124" i="154"/>
  <c r="T124" i="154" s="1"/>
  <c r="U139" i="65"/>
  <c r="J124" i="65"/>
  <c r="J136" i="65" s="1"/>
  <c r="AK110" i="67"/>
  <c r="AX120" i="67"/>
  <c r="M120" i="156" s="1"/>
  <c r="K123" i="154"/>
  <c r="T123" i="154" s="1"/>
  <c r="AX119" i="67"/>
  <c r="M119" i="156" s="1"/>
  <c r="K122" i="154"/>
  <c r="T122" i="154" s="1"/>
  <c r="J125" i="65"/>
  <c r="J137" i="65" s="1"/>
  <c r="AK111" i="67"/>
  <c r="J129" i="65"/>
  <c r="J141" i="65" s="1"/>
  <c r="AK115" i="67"/>
  <c r="R116" i="65"/>
  <c r="AW114" i="67" s="1"/>
  <c r="AI114" i="67"/>
  <c r="I126" i="65"/>
  <c r="I138" i="65" s="1"/>
  <c r="AJ112" i="67"/>
  <c r="J128" i="65"/>
  <c r="J140" i="65" s="1"/>
  <c r="AK114" i="67"/>
  <c r="K111" i="154"/>
  <c r="T111" i="154" s="1"/>
  <c r="K111" i="153"/>
  <c r="T111" i="153" s="1"/>
  <c r="J126" i="65"/>
  <c r="J138" i="65" s="1"/>
  <c r="AK112" i="67"/>
  <c r="I127" i="65"/>
  <c r="I139" i="65" s="1"/>
  <c r="AJ113" i="67"/>
  <c r="K112" i="154"/>
  <c r="T112" i="154" s="1"/>
  <c r="K112" i="153"/>
  <c r="T112" i="153" s="1"/>
  <c r="R121" i="65"/>
  <c r="AW119" i="67" s="1"/>
  <c r="AI119" i="67"/>
  <c r="R117" i="65"/>
  <c r="AW115" i="67" s="1"/>
  <c r="AI115" i="67"/>
  <c r="I129" i="65"/>
  <c r="I141" i="65" s="1"/>
  <c r="AJ115" i="67"/>
  <c r="K110" i="154"/>
  <c r="T110" i="154" s="1"/>
  <c r="K110" i="153"/>
  <c r="T110" i="153" s="1"/>
  <c r="I125" i="65"/>
  <c r="I137" i="65" s="1"/>
  <c r="AJ111" i="67"/>
  <c r="R122" i="65"/>
  <c r="AW120" i="67" s="1"/>
  <c r="AI120" i="67"/>
  <c r="K115" i="154"/>
  <c r="T115" i="154" s="1"/>
  <c r="K115" i="153"/>
  <c r="T115" i="153" s="1"/>
  <c r="K114" i="154"/>
  <c r="T114" i="154" s="1"/>
  <c r="K114" i="153"/>
  <c r="T114" i="153" s="1"/>
  <c r="G42" i="154"/>
  <c r="P42" i="154" s="1"/>
  <c r="G42" i="153"/>
  <c r="P42" i="153" s="1"/>
  <c r="U42" i="153" s="1"/>
  <c r="V42" i="153" s="1"/>
  <c r="W42" i="153" s="1"/>
  <c r="K42" i="75"/>
  <c r="H42" i="28"/>
  <c r="H42" i="38"/>
  <c r="N42" i="38" s="1"/>
  <c r="R120" i="65"/>
  <c r="AW118" i="67" s="1"/>
  <c r="AI118" i="67"/>
  <c r="K113" i="154"/>
  <c r="T113" i="154" s="1"/>
  <c r="K113" i="153"/>
  <c r="T113" i="153" s="1"/>
  <c r="P127" i="76"/>
  <c r="N118" i="34"/>
  <c r="N118" i="30"/>
  <c r="Q118" i="30" s="1"/>
  <c r="N121" i="34"/>
  <c r="N121" i="30"/>
  <c r="Q121" i="30" s="1"/>
  <c r="N120" i="34"/>
  <c r="N120" i="30"/>
  <c r="Q120" i="30" s="1"/>
  <c r="N119" i="30"/>
  <c r="Q119" i="30" s="1"/>
  <c r="N119" i="34"/>
  <c r="U140" i="65"/>
  <c r="U146" i="65"/>
  <c r="S139" i="65"/>
  <c r="S134" i="65"/>
  <c r="S137" i="65"/>
  <c r="M138" i="156" s="1"/>
  <c r="V138" i="156" s="1"/>
  <c r="S133" i="65"/>
  <c r="M134" i="156" s="1"/>
  <c r="V134" i="156" s="1"/>
  <c r="S140" i="65"/>
  <c r="S141" i="65"/>
  <c r="S138" i="65"/>
  <c r="P128" i="76"/>
  <c r="S132" i="65"/>
  <c r="CC43" i="67"/>
  <c r="I43" i="156" s="1"/>
  <c r="N42" i="36"/>
  <c r="N42" i="32"/>
  <c r="N112" i="30"/>
  <c r="Q112" i="30" s="1"/>
  <c r="N110" i="30"/>
  <c r="Q110" i="30" s="1"/>
  <c r="N114" i="30"/>
  <c r="Q114" i="30" s="1"/>
  <c r="N111" i="30"/>
  <c r="Q111" i="30" s="1"/>
  <c r="N115" i="30"/>
  <c r="Q115" i="30" s="1"/>
  <c r="N113" i="30"/>
  <c r="Q113" i="30" s="1"/>
  <c r="P124" i="76"/>
  <c r="P129" i="76"/>
  <c r="L144" i="65"/>
  <c r="T144" i="65" s="1"/>
  <c r="T132" i="65"/>
  <c r="P125" i="76"/>
  <c r="L145" i="65"/>
  <c r="T145" i="65" s="1"/>
  <c r="T133" i="65"/>
  <c r="L147" i="65"/>
  <c r="T135" i="65"/>
  <c r="M147" i="65"/>
  <c r="U147" i="65" s="1"/>
  <c r="U135" i="65"/>
  <c r="T138" i="65"/>
  <c r="P122" i="76"/>
  <c r="S136" i="65"/>
  <c r="U145" i="65"/>
  <c r="S143" i="65"/>
  <c r="S142" i="65"/>
  <c r="S135" i="65"/>
  <c r="P123" i="76"/>
  <c r="L146" i="65"/>
  <c r="T146" i="65" s="1"/>
  <c r="T134" i="65"/>
  <c r="H138" i="65"/>
  <c r="R138" i="65" s="1"/>
  <c r="K147" i="65"/>
  <c r="K145" i="65"/>
  <c r="K146" i="65"/>
  <c r="K144" i="65"/>
  <c r="H129" i="65"/>
  <c r="R129" i="65" s="1"/>
  <c r="R136" i="65"/>
  <c r="H139" i="65"/>
  <c r="R139" i="65" s="1"/>
  <c r="H128" i="65"/>
  <c r="R128" i="65" s="1"/>
  <c r="H131" i="65"/>
  <c r="R131" i="65" s="1"/>
  <c r="H137" i="65"/>
  <c r="R137" i="65" s="1"/>
  <c r="H134" i="65"/>
  <c r="R134" i="65" s="1"/>
  <c r="H142" i="65"/>
  <c r="R142" i="65" s="1"/>
  <c r="H133" i="65"/>
  <c r="R133" i="65" s="1"/>
  <c r="H132" i="65"/>
  <c r="R132" i="65" s="1"/>
  <c r="BR2" i="4"/>
  <c r="BD2" i="4"/>
  <c r="DH2" i="4"/>
  <c r="AB2" i="4"/>
  <c r="CT2" i="4"/>
  <c r="CF2" i="4"/>
  <c r="K141" i="154" l="1"/>
  <c r="T141" i="154" s="1"/>
  <c r="M141" i="156"/>
  <c r="V141" i="156" s="1"/>
  <c r="K136" i="154"/>
  <c r="T136" i="154" s="1"/>
  <c r="M136" i="156"/>
  <c r="V136" i="156" s="1"/>
  <c r="K144" i="154"/>
  <c r="T144" i="154" s="1"/>
  <c r="M144" i="156"/>
  <c r="V144" i="156" s="1"/>
  <c r="K140" i="154"/>
  <c r="T140" i="154" s="1"/>
  <c r="M140" i="156"/>
  <c r="V140" i="156" s="1"/>
  <c r="K143" i="154"/>
  <c r="T143" i="154" s="1"/>
  <c r="M143" i="156"/>
  <c r="V143" i="156" s="1"/>
  <c r="K135" i="154"/>
  <c r="T135" i="154" s="1"/>
  <c r="M135" i="156"/>
  <c r="V135" i="156" s="1"/>
  <c r="H142" i="36"/>
  <c r="O142" i="36" s="1"/>
  <c r="J142" i="77"/>
  <c r="Q142" i="77" s="1"/>
  <c r="J144" i="77"/>
  <c r="Q144" i="77" s="1"/>
  <c r="H144" i="36"/>
  <c r="O144" i="36" s="1"/>
  <c r="J143" i="77"/>
  <c r="Q143" i="77" s="1"/>
  <c r="H143" i="36"/>
  <c r="O143" i="36" s="1"/>
  <c r="K137" i="154"/>
  <c r="T137" i="154" s="1"/>
  <c r="M137" i="156"/>
  <c r="V137" i="156" s="1"/>
  <c r="J145" i="77"/>
  <c r="Q145" i="77" s="1"/>
  <c r="H145" i="36"/>
  <c r="O145" i="36" s="1"/>
  <c r="K133" i="154"/>
  <c r="T133" i="154" s="1"/>
  <c r="M133" i="156"/>
  <c r="V133" i="156" s="1"/>
  <c r="K139" i="154"/>
  <c r="T139" i="154" s="1"/>
  <c r="M139" i="156"/>
  <c r="V139" i="156" s="1"/>
  <c r="K142" i="154"/>
  <c r="T142" i="154" s="1"/>
  <c r="M142" i="156"/>
  <c r="V142" i="156" s="1"/>
  <c r="K119" i="154"/>
  <c r="T119" i="154" s="1"/>
  <c r="K119" i="153"/>
  <c r="T119" i="153" s="1"/>
  <c r="K120" i="154"/>
  <c r="T120" i="154" s="1"/>
  <c r="K120" i="153"/>
  <c r="T120" i="153" s="1"/>
  <c r="G43" i="154"/>
  <c r="P43" i="154" s="1"/>
  <c r="G43" i="153"/>
  <c r="P43" i="153" s="1"/>
  <c r="U43" i="153" s="1"/>
  <c r="V43" i="153" s="1"/>
  <c r="W43" i="153" s="1"/>
  <c r="K43" i="75"/>
  <c r="H43" i="38"/>
  <c r="N43" i="38" s="1"/>
  <c r="H43" i="28"/>
  <c r="K121" i="154"/>
  <c r="T121" i="154" s="1"/>
  <c r="K121" i="153"/>
  <c r="T121" i="153" s="1"/>
  <c r="P131" i="76"/>
  <c r="K134" i="154"/>
  <c r="T134" i="154" s="1"/>
  <c r="P135" i="76"/>
  <c r="K138" i="154"/>
  <c r="T138" i="154" s="1"/>
  <c r="P136" i="76"/>
  <c r="P132" i="76"/>
  <c r="P137" i="76"/>
  <c r="P138" i="76"/>
  <c r="P130" i="76"/>
  <c r="P139" i="76"/>
  <c r="S146" i="65"/>
  <c r="P144" i="76" s="1"/>
  <c r="S145" i="65"/>
  <c r="S144" i="65"/>
  <c r="S147" i="65"/>
  <c r="P145" i="76" s="1"/>
  <c r="CC44" i="67"/>
  <c r="I44" i="156" s="1"/>
  <c r="N43" i="36"/>
  <c r="N43" i="32"/>
  <c r="P134" i="76"/>
  <c r="P133" i="76"/>
  <c r="P140" i="76"/>
  <c r="T147" i="65"/>
  <c r="P141" i="76"/>
  <c r="H143" i="65"/>
  <c r="R143" i="65" s="1"/>
  <c r="H146" i="65"/>
  <c r="R146" i="65" s="1"/>
  <c r="H140" i="65"/>
  <c r="R140" i="65" s="1"/>
  <c r="H144" i="65"/>
  <c r="R144" i="65" s="1"/>
  <c r="H145" i="65"/>
  <c r="R145" i="65" s="1"/>
  <c r="H141" i="65"/>
  <c r="R141" i="65" s="1"/>
  <c r="DI2" i="4"/>
  <c r="CU2" i="4"/>
  <c r="BE2" i="4"/>
  <c r="AC2" i="4"/>
  <c r="CG2" i="4"/>
  <c r="BS2" i="4"/>
  <c r="K145" i="154" l="1"/>
  <c r="T145" i="154" s="1"/>
  <c r="M145" i="156"/>
  <c r="V145" i="156" s="1"/>
  <c r="G44" i="154"/>
  <c r="P44" i="154" s="1"/>
  <c r="G44" i="153"/>
  <c r="P44" i="153" s="1"/>
  <c r="U44" i="153" s="1"/>
  <c r="V44" i="153" s="1"/>
  <c r="W44" i="153" s="1"/>
  <c r="K44" i="75"/>
  <c r="H44" i="38"/>
  <c r="N44" i="38" s="1"/>
  <c r="H44" i="28"/>
  <c r="P142" i="76"/>
  <c r="P143" i="76"/>
  <c r="CC45" i="67"/>
  <c r="I45" i="156" s="1"/>
  <c r="N44" i="36"/>
  <c r="N44" i="32"/>
  <c r="DJ2" i="4"/>
  <c r="BF2" i="4"/>
  <c r="CH2" i="4"/>
  <c r="BT2" i="4"/>
  <c r="AD2" i="4"/>
  <c r="CV2" i="4"/>
  <c r="G45" i="154" l="1"/>
  <c r="P45" i="154" s="1"/>
  <c r="G45" i="153"/>
  <c r="P45" i="153" s="1"/>
  <c r="U45" i="153" s="1"/>
  <c r="V45" i="153" s="1"/>
  <c r="W45" i="153" s="1"/>
  <c r="K45" i="75"/>
  <c r="H45" i="38"/>
  <c r="N45" i="38" s="1"/>
  <c r="H45" i="28"/>
  <c r="CC46" i="67"/>
  <c r="I46" i="156" s="1"/>
  <c r="N45" i="32"/>
  <c r="N45" i="36"/>
  <c r="DK2" i="4"/>
  <c r="CW2" i="4"/>
  <c r="BU2" i="4"/>
  <c r="BG2" i="4"/>
  <c r="AE2" i="4"/>
  <c r="CI2" i="4"/>
  <c r="G46" i="154" l="1"/>
  <c r="P46" i="154" s="1"/>
  <c r="G46" i="153"/>
  <c r="P46" i="153" s="1"/>
  <c r="U46" i="153" s="1"/>
  <c r="V46" i="153" s="1"/>
  <c r="W46" i="153" s="1"/>
  <c r="H46" i="28"/>
  <c r="K46" i="75"/>
  <c r="H46" i="38"/>
  <c r="N46" i="38" s="1"/>
  <c r="CC47" i="67"/>
  <c r="I47" i="156" s="1"/>
  <c r="N46" i="36"/>
  <c r="N46" i="32"/>
  <c r="P52" i="17"/>
  <c r="H52" i="17"/>
  <c r="S52" i="17"/>
  <c r="E52" i="17"/>
  <c r="AD52" i="17"/>
  <c r="AA52" i="17"/>
  <c r="DL2" i="4"/>
  <c r="BH2" i="4"/>
  <c r="CX2" i="4"/>
  <c r="AF2" i="4"/>
  <c r="BV2" i="4"/>
  <c r="CJ2" i="4"/>
  <c r="C73" i="4"/>
  <c r="C85" i="4" s="1"/>
  <c r="C97" i="4" s="1"/>
  <c r="C109" i="4" s="1"/>
  <c r="C121" i="4" s="1"/>
  <c r="B73" i="4"/>
  <c r="B85" i="4" s="1"/>
  <c r="B97" i="4" s="1"/>
  <c r="B109" i="4" s="1"/>
  <c r="B121" i="4" s="1"/>
  <c r="C72" i="4"/>
  <c r="C84" i="4" s="1"/>
  <c r="C96" i="4" s="1"/>
  <c r="C108" i="4" s="1"/>
  <c r="C120" i="4" s="1"/>
  <c r="B72" i="4"/>
  <c r="B84" i="4" s="1"/>
  <c r="B96" i="4" s="1"/>
  <c r="B108" i="4" s="1"/>
  <c r="B120" i="4" s="1"/>
  <c r="C71" i="4"/>
  <c r="C83" i="4" s="1"/>
  <c r="C95" i="4" s="1"/>
  <c r="C107" i="4" s="1"/>
  <c r="C119" i="4" s="1"/>
  <c r="B71" i="4"/>
  <c r="B83" i="4" s="1"/>
  <c r="B95" i="4" s="1"/>
  <c r="B107" i="4" s="1"/>
  <c r="B119" i="4" s="1"/>
  <c r="C70" i="4"/>
  <c r="C82" i="4" s="1"/>
  <c r="C94" i="4" s="1"/>
  <c r="C106" i="4" s="1"/>
  <c r="C118" i="4" s="1"/>
  <c r="B70" i="4"/>
  <c r="B82" i="4" s="1"/>
  <c r="B94" i="4" s="1"/>
  <c r="B106" i="4" s="1"/>
  <c r="B118" i="4" s="1"/>
  <c r="C69" i="4"/>
  <c r="C81" i="4" s="1"/>
  <c r="C93" i="4" s="1"/>
  <c r="C105" i="4" s="1"/>
  <c r="C117" i="4" s="1"/>
  <c r="B69" i="4"/>
  <c r="B81" i="4" s="1"/>
  <c r="B93" i="4" s="1"/>
  <c r="B105" i="4" s="1"/>
  <c r="B117" i="4" s="1"/>
  <c r="C68" i="4"/>
  <c r="C80" i="4" s="1"/>
  <c r="C92" i="4" s="1"/>
  <c r="C104" i="4" s="1"/>
  <c r="C116" i="4" s="1"/>
  <c r="B68" i="4"/>
  <c r="B80" i="4" s="1"/>
  <c r="B92" i="4" s="1"/>
  <c r="B104" i="4" s="1"/>
  <c r="B116" i="4" s="1"/>
  <c r="C67" i="4"/>
  <c r="C79" i="4" s="1"/>
  <c r="C91" i="4" s="1"/>
  <c r="C103" i="4" s="1"/>
  <c r="C115" i="4" s="1"/>
  <c r="B67" i="4"/>
  <c r="B79" i="4" s="1"/>
  <c r="B91" i="4" s="1"/>
  <c r="B103" i="4" s="1"/>
  <c r="B115" i="4" s="1"/>
  <c r="C66" i="4"/>
  <c r="C78" i="4" s="1"/>
  <c r="C90" i="4" s="1"/>
  <c r="C102" i="4" s="1"/>
  <c r="C114" i="4" s="1"/>
  <c r="B66" i="4"/>
  <c r="B78" i="4" s="1"/>
  <c r="B90" i="4" s="1"/>
  <c r="B102" i="4" s="1"/>
  <c r="B114" i="4" s="1"/>
  <c r="C65" i="4"/>
  <c r="C77" i="4" s="1"/>
  <c r="C89" i="4" s="1"/>
  <c r="C101" i="4" s="1"/>
  <c r="C113" i="4" s="1"/>
  <c r="B65" i="4"/>
  <c r="B77" i="4" s="1"/>
  <c r="B89" i="4" s="1"/>
  <c r="B101" i="4" s="1"/>
  <c r="B113" i="4" s="1"/>
  <c r="C64" i="4"/>
  <c r="C76" i="4" s="1"/>
  <c r="C88" i="4" s="1"/>
  <c r="C100" i="4" s="1"/>
  <c r="C112" i="4" s="1"/>
  <c r="B64" i="4"/>
  <c r="B76" i="4" s="1"/>
  <c r="B88" i="4" s="1"/>
  <c r="B100" i="4" s="1"/>
  <c r="B112" i="4" s="1"/>
  <c r="C63" i="4"/>
  <c r="C75" i="4" s="1"/>
  <c r="C87" i="4" s="1"/>
  <c r="C99" i="4" s="1"/>
  <c r="C111" i="4" s="1"/>
  <c r="B63" i="4"/>
  <c r="B75" i="4" s="1"/>
  <c r="B87" i="4" s="1"/>
  <c r="B99" i="4" s="1"/>
  <c r="B111" i="4" s="1"/>
  <c r="C62" i="4"/>
  <c r="C74" i="4" s="1"/>
  <c r="C86" i="4" s="1"/>
  <c r="C98" i="4" s="1"/>
  <c r="C110" i="4" s="1"/>
  <c r="B62" i="4"/>
  <c r="G47" i="153" l="1"/>
  <c r="P47" i="153" s="1"/>
  <c r="U47" i="153" s="1"/>
  <c r="V47" i="153" s="1"/>
  <c r="W47" i="153" s="1"/>
  <c r="G47" i="154"/>
  <c r="P47" i="154" s="1"/>
  <c r="H47" i="38"/>
  <c r="N47" i="38" s="1"/>
  <c r="H47" i="28"/>
  <c r="K47" i="75"/>
  <c r="CC48" i="67"/>
  <c r="I48" i="156" s="1"/>
  <c r="N47" i="36"/>
  <c r="N47" i="32"/>
  <c r="DM2" i="4"/>
  <c r="BI2" i="4"/>
  <c r="CY2" i="4"/>
  <c r="B74" i="4"/>
  <c r="AG2" i="4"/>
  <c r="BW2" i="4"/>
  <c r="CK2" i="4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8" i="65"/>
  <c r="B7" i="65"/>
  <c r="B6" i="65"/>
  <c r="B5" i="65"/>
  <c r="B4" i="65"/>
  <c r="G48" i="154" l="1"/>
  <c r="P48" i="154" s="1"/>
  <c r="H48" i="38"/>
  <c r="N48" i="38" s="1"/>
  <c r="H48" i="28"/>
  <c r="K48" i="75"/>
  <c r="G48" i="153"/>
  <c r="P48" i="153" s="1"/>
  <c r="U48" i="153" s="1"/>
  <c r="V48" i="153" s="1"/>
  <c r="W48" i="153" s="1"/>
  <c r="CC49" i="67"/>
  <c r="I49" i="156" s="1"/>
  <c r="N48" i="36"/>
  <c r="N48" i="32"/>
  <c r="B86" i="4"/>
  <c r="BZ5" i="4"/>
  <c r="BJ2" i="4"/>
  <c r="CZ2" i="4"/>
  <c r="BX2" i="4"/>
  <c r="CL2" i="4"/>
  <c r="DN2" i="4"/>
  <c r="G49" i="153" l="1"/>
  <c r="P49" i="153" s="1"/>
  <c r="U49" i="153" s="1"/>
  <c r="V49" i="153" s="1"/>
  <c r="W49" i="153" s="1"/>
  <c r="G49" i="154"/>
  <c r="P49" i="154" s="1"/>
  <c r="K49" i="75"/>
  <c r="H49" i="28"/>
  <c r="H49" i="38"/>
  <c r="N49" i="38" s="1"/>
  <c r="CC50" i="67"/>
  <c r="I50" i="156" s="1"/>
  <c r="N49" i="36"/>
  <c r="N49" i="32"/>
  <c r="CN5" i="4"/>
  <c r="B98" i="4"/>
  <c r="BZ6" i="4"/>
  <c r="BL5" i="4"/>
  <c r="AJ5" i="4"/>
  <c r="AX5" i="4"/>
  <c r="DB5" i="4"/>
  <c r="BZ19" i="4"/>
  <c r="BL19" i="4"/>
  <c r="AJ19" i="4"/>
  <c r="DB19" i="4"/>
  <c r="AX19" i="4"/>
  <c r="CN19" i="4"/>
  <c r="G50" i="154" l="1"/>
  <c r="P50" i="154" s="1"/>
  <c r="G50" i="153"/>
  <c r="P50" i="153" s="1"/>
  <c r="U50" i="153" s="1"/>
  <c r="K50" i="75"/>
  <c r="H50" i="28"/>
  <c r="H50" i="38"/>
  <c r="N50" i="38" s="1"/>
  <c r="BR4" i="4"/>
  <c r="CR4" i="4"/>
  <c r="CF5" i="4"/>
  <c r="W13" i="4"/>
  <c r="AG27" i="4"/>
  <c r="CJ18" i="4"/>
  <c r="DF18" i="4"/>
  <c r="CC5" i="4"/>
  <c r="Z13" i="4"/>
  <c r="BC4" i="4"/>
  <c r="AU4" i="4"/>
  <c r="CG18" i="4"/>
  <c r="DM4" i="4"/>
  <c r="CZ18" i="4"/>
  <c r="W26" i="4"/>
  <c r="W4" i="4"/>
  <c r="DN18" i="4"/>
  <c r="X12" i="4"/>
  <c r="DM18" i="4"/>
  <c r="CR18" i="4"/>
  <c r="W12" i="4"/>
  <c r="AG26" i="4"/>
  <c r="CW4" i="4"/>
  <c r="DI4" i="4"/>
  <c r="DL18" i="4"/>
  <c r="CQ18" i="4"/>
  <c r="AB27" i="4"/>
  <c r="CV4" i="4"/>
  <c r="DH4" i="4"/>
  <c r="DK18" i="4"/>
  <c r="X13" i="4"/>
  <c r="CT4" i="4"/>
  <c r="DG4" i="4"/>
  <c r="CE5" i="4"/>
  <c r="CY18" i="4"/>
  <c r="X25" i="4"/>
  <c r="X23" i="4"/>
  <c r="CP4" i="4"/>
  <c r="DF4" i="4"/>
  <c r="CI5" i="4"/>
  <c r="CX18" i="4"/>
  <c r="W8" i="4"/>
  <c r="X19" i="4"/>
  <c r="CZ4" i="4"/>
  <c r="CW18" i="4"/>
  <c r="W11" i="4"/>
  <c r="AB26" i="4"/>
  <c r="AR4" i="4"/>
  <c r="BX4" i="4"/>
  <c r="CH18" i="4"/>
  <c r="CX4" i="4"/>
  <c r="CL4" i="4"/>
  <c r="CK5" i="4"/>
  <c r="CT18" i="4"/>
  <c r="AA26" i="4"/>
  <c r="X27" i="4"/>
  <c r="AF18" i="4"/>
  <c r="AP4" i="4"/>
  <c r="BT4" i="4"/>
  <c r="CU4" i="4"/>
  <c r="DJ18" i="4"/>
  <c r="CH5" i="4"/>
  <c r="CS18" i="4"/>
  <c r="W25" i="4"/>
  <c r="W5" i="4"/>
  <c r="AO4" i="4"/>
  <c r="BS4" i="4"/>
  <c r="CC18" i="4"/>
  <c r="CS4" i="4"/>
  <c r="DI18" i="4"/>
  <c r="CG5" i="4"/>
  <c r="W27" i="4"/>
  <c r="X8" i="4"/>
  <c r="W24" i="4"/>
  <c r="B110" i="4"/>
  <c r="BO18" i="4" s="1"/>
  <c r="AE13" i="4"/>
  <c r="X6" i="4"/>
  <c r="CH4" i="4"/>
  <c r="Z27" i="4"/>
  <c r="X24" i="4"/>
  <c r="CD4" i="4"/>
  <c r="W20" i="4"/>
  <c r="CB4" i="4"/>
  <c r="X22" i="4"/>
  <c r="CC4" i="4"/>
  <c r="CJ4" i="4"/>
  <c r="X18" i="4"/>
  <c r="CE4" i="4"/>
  <c r="Z26" i="4"/>
  <c r="AC26" i="4"/>
  <c r="CI4" i="4"/>
  <c r="W22" i="4"/>
  <c r="AF13" i="4"/>
  <c r="CF4" i="4"/>
  <c r="W18" i="4"/>
  <c r="W7" i="4"/>
  <c r="CG4" i="4"/>
  <c r="X5" i="4"/>
  <c r="Y27" i="4"/>
  <c r="W6" i="4"/>
  <c r="AA13" i="4"/>
  <c r="AD26" i="4"/>
  <c r="AC13" i="4"/>
  <c r="W19" i="4"/>
  <c r="Y13" i="4"/>
  <c r="AF26" i="4"/>
  <c r="X21" i="4"/>
  <c r="W10" i="4"/>
  <c r="CK4" i="4"/>
  <c r="AD13" i="4"/>
  <c r="X10" i="4"/>
  <c r="W9" i="4"/>
  <c r="AE27" i="4"/>
  <c r="X20" i="4"/>
  <c r="X7" i="4"/>
  <c r="AB13" i="4"/>
  <c r="AG13" i="4"/>
  <c r="BM4" i="4"/>
  <c r="V22" i="4"/>
  <c r="V21" i="4"/>
  <c r="CI19" i="4"/>
  <c r="CJ19" i="4"/>
  <c r="CK19" i="4"/>
  <c r="CA19" i="4"/>
  <c r="CB19" i="4"/>
  <c r="CC19" i="4"/>
  <c r="CD19" i="4"/>
  <c r="CE19" i="4"/>
  <c r="CF19" i="4"/>
  <c r="CG19" i="4"/>
  <c r="CH19" i="4"/>
  <c r="CL19" i="4"/>
  <c r="V6" i="4"/>
  <c r="CX19" i="4"/>
  <c r="CY19" i="4"/>
  <c r="CZ19" i="4"/>
  <c r="CP19" i="4"/>
  <c r="CQ19" i="4"/>
  <c r="CR19" i="4"/>
  <c r="CS19" i="4"/>
  <c r="CO19" i="4"/>
  <c r="CT19" i="4"/>
  <c r="CU19" i="4"/>
  <c r="CV19" i="4"/>
  <c r="CW19" i="4"/>
  <c r="DH5" i="4"/>
  <c r="DI5" i="4"/>
  <c r="DJ5" i="4"/>
  <c r="DK5" i="4"/>
  <c r="DL5" i="4"/>
  <c r="DM5" i="4"/>
  <c r="DN5" i="4"/>
  <c r="DD5" i="4"/>
  <c r="DE5" i="4"/>
  <c r="DF5" i="4"/>
  <c r="DC5" i="4"/>
  <c r="DG5" i="4"/>
  <c r="V13" i="4"/>
  <c r="CA4" i="4"/>
  <c r="CG6" i="4"/>
  <c r="CH6" i="4"/>
  <c r="CI6" i="4"/>
  <c r="CK6" i="4"/>
  <c r="CA6" i="4"/>
  <c r="CL6" i="4"/>
  <c r="CF6" i="4"/>
  <c r="CB6" i="4"/>
  <c r="CC6" i="4"/>
  <c r="CD6" i="4"/>
  <c r="CE6" i="4"/>
  <c r="CJ6" i="4"/>
  <c r="V27" i="4"/>
  <c r="V24" i="4"/>
  <c r="V25" i="4"/>
  <c r="V5" i="4"/>
  <c r="V23" i="4"/>
  <c r="DC18" i="4"/>
  <c r="CA5" i="4"/>
  <c r="V11" i="4"/>
  <c r="V12" i="4"/>
  <c r="CR5" i="4"/>
  <c r="CS5" i="4"/>
  <c r="CT5" i="4"/>
  <c r="CV5" i="4"/>
  <c r="CW5" i="4"/>
  <c r="CX5" i="4"/>
  <c r="CZ5" i="4"/>
  <c r="CP5" i="4"/>
  <c r="CQ5" i="4"/>
  <c r="CU5" i="4"/>
  <c r="CY5" i="4"/>
  <c r="CO5" i="4"/>
  <c r="V9" i="4"/>
  <c r="V4" i="4"/>
  <c r="V8" i="4"/>
  <c r="V26" i="4"/>
  <c r="V10" i="4"/>
  <c r="CA18" i="4"/>
  <c r="CO4" i="4"/>
  <c r="V7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C4" i="4"/>
  <c r="CO18" i="4"/>
  <c r="CC51" i="67"/>
  <c r="I51" i="156" s="1"/>
  <c r="N50" i="36"/>
  <c r="N50" i="32"/>
  <c r="BZ7" i="4"/>
  <c r="BL6" i="4"/>
  <c r="BS5" i="4"/>
  <c r="BN5" i="4"/>
  <c r="BO5" i="4"/>
  <c r="BW5" i="4"/>
  <c r="BX5" i="4"/>
  <c r="BP5" i="4"/>
  <c r="BQ5" i="4"/>
  <c r="BR5" i="4"/>
  <c r="BT5" i="4"/>
  <c r="BU5" i="4"/>
  <c r="BM5" i="4"/>
  <c r="BV5" i="4"/>
  <c r="CN6" i="4"/>
  <c r="AX6" i="4"/>
  <c r="BI5" i="4"/>
  <c r="BD5" i="4"/>
  <c r="AZ5" i="4"/>
  <c r="BA5" i="4"/>
  <c r="BF5" i="4"/>
  <c r="BG5" i="4"/>
  <c r="BH5" i="4"/>
  <c r="AY5" i="4"/>
  <c r="BJ5" i="4"/>
  <c r="BB5" i="4"/>
  <c r="BC5" i="4"/>
  <c r="BE5" i="4"/>
  <c r="DB6" i="4"/>
  <c r="AJ6" i="4"/>
  <c r="AO5" i="4"/>
  <c r="AK5" i="4"/>
  <c r="AR5" i="4"/>
  <c r="AL5" i="4"/>
  <c r="AM5" i="4"/>
  <c r="AN5" i="4"/>
  <c r="AP5" i="4"/>
  <c r="AQ5" i="4"/>
  <c r="AS5" i="4"/>
  <c r="AT5" i="4"/>
  <c r="AV5" i="4"/>
  <c r="AU5" i="4"/>
  <c r="Y19" i="4"/>
  <c r="Z19" i="4"/>
  <c r="AA19" i="4"/>
  <c r="AC19" i="4"/>
  <c r="AB19" i="4"/>
  <c r="AD19" i="4"/>
  <c r="AF19" i="4"/>
  <c r="AE19" i="4"/>
  <c r="AG19" i="4"/>
  <c r="DB20" i="4"/>
  <c r="CN20" i="4"/>
  <c r="BL20" i="4"/>
  <c r="BP19" i="4"/>
  <c r="BN19" i="4"/>
  <c r="BQ19" i="4"/>
  <c r="BT19" i="4"/>
  <c r="BU19" i="4"/>
  <c r="BV19" i="4"/>
  <c r="BO19" i="4"/>
  <c r="BR19" i="4"/>
  <c r="BS19" i="4"/>
  <c r="BW19" i="4"/>
  <c r="BX19" i="4"/>
  <c r="BM19" i="4"/>
  <c r="AJ20" i="4"/>
  <c r="AR19" i="4"/>
  <c r="AS19" i="4"/>
  <c r="AV19" i="4"/>
  <c r="AL19" i="4"/>
  <c r="AM19" i="4"/>
  <c r="AP19" i="4"/>
  <c r="AQ19" i="4"/>
  <c r="AT19" i="4"/>
  <c r="AN19" i="4"/>
  <c r="AO19" i="4"/>
  <c r="AK19" i="4"/>
  <c r="AU19" i="4"/>
  <c r="AX20" i="4"/>
  <c r="BB19" i="4"/>
  <c r="BH19" i="4"/>
  <c r="BI19" i="4"/>
  <c r="BJ19" i="4"/>
  <c r="BD19" i="4"/>
  <c r="BA19" i="4"/>
  <c r="BC19" i="4"/>
  <c r="AZ19" i="4"/>
  <c r="AY19" i="4"/>
  <c r="BG19" i="4"/>
  <c r="BE19" i="4"/>
  <c r="BF19" i="4"/>
  <c r="BZ20" i="4"/>
  <c r="Y5" i="4"/>
  <c r="Z5" i="4"/>
  <c r="AA5" i="4"/>
  <c r="AB5" i="4"/>
  <c r="AC5" i="4"/>
  <c r="AD5" i="4"/>
  <c r="AF5" i="4"/>
  <c r="AE5" i="4"/>
  <c r="AG5" i="4"/>
  <c r="V50" i="153" l="1"/>
  <c r="W50" i="153" s="1"/>
  <c r="DE18" i="4"/>
  <c r="CK18" i="4"/>
  <c r="CV18" i="4"/>
  <c r="DN4" i="4"/>
  <c r="BP4" i="4"/>
  <c r="CI18" i="4"/>
  <c r="AQ4" i="4"/>
  <c r="DL4" i="4"/>
  <c r="BN4" i="4"/>
  <c r="AE26" i="4"/>
  <c r="X4" i="4"/>
  <c r="X14" i="4" s="1"/>
  <c r="X15" i="4" s="1"/>
  <c r="CF18" i="4"/>
  <c r="W23" i="4"/>
  <c r="X11" i="4"/>
  <c r="DH18" i="4"/>
  <c r="DD18" i="4"/>
  <c r="DJ4" i="4"/>
  <c r="CB18" i="4"/>
  <c r="BO4" i="4"/>
  <c r="AD27" i="4"/>
  <c r="DK4" i="4"/>
  <c r="X9" i="4"/>
  <c r="CD5" i="4"/>
  <c r="CD18" i="4"/>
  <c r="CJ5" i="4"/>
  <c r="W21" i="4"/>
  <c r="CE18" i="4"/>
  <c r="X26" i="4"/>
  <c r="X28" i="4" s="1"/>
  <c r="X29" i="4" s="1"/>
  <c r="DG18" i="4"/>
  <c r="DE4" i="4"/>
  <c r="CP18" i="4"/>
  <c r="AC27" i="4"/>
  <c r="CB5" i="4"/>
  <c r="CQ4" i="4"/>
  <c r="AL4" i="4"/>
  <c r="BD4" i="4"/>
  <c r="AG18" i="4"/>
  <c r="BB18" i="4"/>
  <c r="AA4" i="4"/>
  <c r="BC18" i="4"/>
  <c r="AC4" i="4"/>
  <c r="BW18" i="4"/>
  <c r="BG4" i="4"/>
  <c r="AC18" i="4"/>
  <c r="AV18" i="4"/>
  <c r="AB4" i="4"/>
  <c r="BG18" i="4"/>
  <c r="BH4" i="4"/>
  <c r="AD18" i="4"/>
  <c r="AL18" i="4"/>
  <c r="BE18" i="4"/>
  <c r="BF4" i="4"/>
  <c r="BJ4" i="4"/>
  <c r="AE18" i="4"/>
  <c r="AM18" i="4"/>
  <c r="BD18" i="4"/>
  <c r="AZ4" i="4"/>
  <c r="AP18" i="4"/>
  <c r="BH18" i="4"/>
  <c r="BI18" i="4"/>
  <c r="BQ4" i="4"/>
  <c r="BA4" i="4"/>
  <c r="BX18" i="4"/>
  <c r="AR18" i="4"/>
  <c r="BF18" i="4"/>
  <c r="BS18" i="4"/>
  <c r="AQ18" i="4"/>
  <c r="AA27" i="4"/>
  <c r="BU4" i="4"/>
  <c r="BB4" i="4"/>
  <c r="AS18" i="4"/>
  <c r="AF27" i="4"/>
  <c r="BV4" i="4"/>
  <c r="BE4" i="4"/>
  <c r="BT18" i="4"/>
  <c r="AT18" i="4"/>
  <c r="CU18" i="4"/>
  <c r="BW4" i="4"/>
  <c r="BI4" i="4"/>
  <c r="BU18" i="4"/>
  <c r="AO18" i="4"/>
  <c r="AZ18" i="4"/>
  <c r="CL5" i="4"/>
  <c r="DD4" i="4"/>
  <c r="AM4" i="4"/>
  <c r="BP18" i="4"/>
  <c r="AU18" i="4"/>
  <c r="AD4" i="4"/>
  <c r="AF4" i="4"/>
  <c r="CY4" i="4"/>
  <c r="AS4" i="4"/>
  <c r="BQ18" i="4"/>
  <c r="AN18" i="4"/>
  <c r="AG4" i="4"/>
  <c r="BA18" i="4"/>
  <c r="CL18" i="4"/>
  <c r="AT4" i="4"/>
  <c r="Z18" i="4"/>
  <c r="BV18" i="4"/>
  <c r="AE4" i="4"/>
  <c r="AV4" i="4"/>
  <c r="Y18" i="4"/>
  <c r="BR18" i="4"/>
  <c r="Z4" i="4"/>
  <c r="AN4" i="4"/>
  <c r="AA18" i="4"/>
  <c r="BN18" i="4"/>
  <c r="BJ18" i="4"/>
  <c r="Y4" i="4"/>
  <c r="AB18" i="4"/>
  <c r="AK4" i="4"/>
  <c r="G51" i="154"/>
  <c r="P51" i="154" s="1"/>
  <c r="G51" i="153"/>
  <c r="P51" i="153" s="1"/>
  <c r="U51" i="153" s="1"/>
  <c r="V51" i="153" s="1"/>
  <c r="W51" i="153" s="1"/>
  <c r="K51" i="75"/>
  <c r="H51" i="38"/>
  <c r="N51" i="38" s="1"/>
  <c r="H51" i="28"/>
  <c r="V19" i="4"/>
  <c r="V18" i="4"/>
  <c r="V28" i="4" s="1"/>
  <c r="V29" i="4" s="1"/>
  <c r="V20" i="4"/>
  <c r="W14" i="4"/>
  <c r="W15" i="4" s="1"/>
  <c r="W28" i="4"/>
  <c r="W29" i="4" s="1"/>
  <c r="AK18" i="4"/>
  <c r="AY4" i="4"/>
  <c r="AY18" i="4"/>
  <c r="BM18" i="4"/>
  <c r="CQ20" i="4"/>
  <c r="CR20" i="4"/>
  <c r="CS20" i="4"/>
  <c r="CU20" i="4"/>
  <c r="CV20" i="4"/>
  <c r="CW20" i="4"/>
  <c r="CX20" i="4"/>
  <c r="CY20" i="4"/>
  <c r="CO20" i="4"/>
  <c r="CZ20" i="4"/>
  <c r="CP20" i="4"/>
  <c r="CT20" i="4"/>
  <c r="DM6" i="4"/>
  <c r="DN6" i="4"/>
  <c r="DE6" i="4"/>
  <c r="DF6" i="4"/>
  <c r="DG6" i="4"/>
  <c r="DH6" i="4"/>
  <c r="DI6" i="4"/>
  <c r="DJ6" i="4"/>
  <c r="DK6" i="4"/>
  <c r="DL6" i="4"/>
  <c r="DC6" i="4"/>
  <c r="DD6" i="4"/>
  <c r="CA20" i="4"/>
  <c r="CB20" i="4"/>
  <c r="CC20" i="4"/>
  <c r="CE20" i="4"/>
  <c r="CF20" i="4"/>
  <c r="CG20" i="4"/>
  <c r="CH20" i="4"/>
  <c r="CI20" i="4"/>
  <c r="CJ20" i="4"/>
  <c r="CK20" i="4"/>
  <c r="CL20" i="4"/>
  <c r="CD20" i="4"/>
  <c r="DE20" i="4"/>
  <c r="DF20" i="4"/>
  <c r="DG20" i="4"/>
  <c r="DC20" i="4"/>
  <c r="DH20" i="4"/>
  <c r="DI20" i="4"/>
  <c r="DJ20" i="4"/>
  <c r="DK20" i="4"/>
  <c r="DL20" i="4"/>
  <c r="DM20" i="4"/>
  <c r="DN20" i="4"/>
  <c r="DD20" i="4"/>
  <c r="V14" i="4"/>
  <c r="V15" i="4" s="1"/>
  <c r="CL7" i="4"/>
  <c r="CA7" i="4"/>
  <c r="CB7" i="4"/>
  <c r="CK7" i="4"/>
  <c r="CE7" i="4"/>
  <c r="CD7" i="4"/>
  <c r="CG7" i="4"/>
  <c r="CH7" i="4"/>
  <c r="CJ7" i="4"/>
  <c r="CC7" i="4"/>
  <c r="CF7" i="4"/>
  <c r="CI7" i="4"/>
  <c r="CW6" i="4"/>
  <c r="CX6" i="4"/>
  <c r="CY6" i="4"/>
  <c r="CO6" i="4"/>
  <c r="CR6" i="4"/>
  <c r="CS6" i="4"/>
  <c r="CT6" i="4"/>
  <c r="CU6" i="4"/>
  <c r="CV6" i="4"/>
  <c r="CZ6" i="4"/>
  <c r="CP6" i="4"/>
  <c r="CQ6" i="4"/>
  <c r="CC52" i="67"/>
  <c r="I52" i="156" s="1"/>
  <c r="N51" i="36"/>
  <c r="N51" i="32"/>
  <c r="AW5" i="4"/>
  <c r="AW19" i="4"/>
  <c r="AX7" i="4"/>
  <c r="BI6" i="4"/>
  <c r="AY6" i="4"/>
  <c r="BC6" i="4"/>
  <c r="BD6" i="4"/>
  <c r="BF6" i="4"/>
  <c r="BG6" i="4"/>
  <c r="BH6" i="4"/>
  <c r="AZ6" i="4"/>
  <c r="BA6" i="4"/>
  <c r="BB6" i="4"/>
  <c r="BE6" i="4"/>
  <c r="BJ6" i="4"/>
  <c r="BZ8" i="4"/>
  <c r="DB7" i="4"/>
  <c r="BL7" i="4"/>
  <c r="BX6" i="4"/>
  <c r="BS6" i="4"/>
  <c r="BT6" i="4"/>
  <c r="BO6" i="4"/>
  <c r="BP6" i="4"/>
  <c r="BQ6" i="4"/>
  <c r="BW6" i="4"/>
  <c r="BU6" i="4"/>
  <c r="BV6" i="4"/>
  <c r="BM6" i="4"/>
  <c r="BR6" i="4"/>
  <c r="BN6" i="4"/>
  <c r="AJ7" i="4"/>
  <c r="AT6" i="4"/>
  <c r="AM6" i="4"/>
  <c r="AN6" i="4"/>
  <c r="AO6" i="4"/>
  <c r="AP6" i="4"/>
  <c r="AQ6" i="4"/>
  <c r="AR6" i="4"/>
  <c r="AK6" i="4"/>
  <c r="AL6" i="4"/>
  <c r="AS6" i="4"/>
  <c r="AU6" i="4"/>
  <c r="AV6" i="4"/>
  <c r="CN7" i="4"/>
  <c r="BZ21" i="4"/>
  <c r="AJ21" i="4"/>
  <c r="AP20" i="4"/>
  <c r="AQ20" i="4"/>
  <c r="AK20" i="4"/>
  <c r="AR20" i="4"/>
  <c r="AS20" i="4"/>
  <c r="AU20" i="4"/>
  <c r="AL20" i="4"/>
  <c r="AO20" i="4"/>
  <c r="AM20" i="4"/>
  <c r="AN20" i="4"/>
  <c r="AT20" i="4"/>
  <c r="AV20" i="4"/>
  <c r="BL21" i="4"/>
  <c r="BR20" i="4"/>
  <c r="BU20" i="4"/>
  <c r="BO20" i="4"/>
  <c r="BP20" i="4"/>
  <c r="BQ20" i="4"/>
  <c r="BT20" i="4"/>
  <c r="BV20" i="4"/>
  <c r="BW20" i="4"/>
  <c r="BX20" i="4"/>
  <c r="BM20" i="4"/>
  <c r="BN20" i="4"/>
  <c r="BS20" i="4"/>
  <c r="DB21" i="4"/>
  <c r="AX21" i="4"/>
  <c r="BD20" i="4"/>
  <c r="BA20" i="4"/>
  <c r="BF20" i="4"/>
  <c r="BG20" i="4"/>
  <c r="BH20" i="4"/>
  <c r="BI20" i="4"/>
  <c r="BJ20" i="4"/>
  <c r="AY20" i="4"/>
  <c r="BC20" i="4"/>
  <c r="AZ20" i="4"/>
  <c r="BB20" i="4"/>
  <c r="BE20" i="4"/>
  <c r="CN21" i="4"/>
  <c r="Z20" i="4"/>
  <c r="AE20" i="4"/>
  <c r="AF20" i="4"/>
  <c r="AG20" i="4"/>
  <c r="Y20" i="4"/>
  <c r="AC20" i="4"/>
  <c r="AA20" i="4"/>
  <c r="AB20" i="4"/>
  <c r="AD20" i="4"/>
  <c r="AA6" i="4"/>
  <c r="AB6" i="4"/>
  <c r="AC6" i="4"/>
  <c r="AD6" i="4"/>
  <c r="AE6" i="4"/>
  <c r="Y6" i="4"/>
  <c r="Z6" i="4"/>
  <c r="AF6" i="4"/>
  <c r="AG6" i="4"/>
  <c r="AW4" i="4" l="1"/>
  <c r="AW18" i="4"/>
  <c r="G52" i="154"/>
  <c r="P52" i="154" s="1"/>
  <c r="G52" i="153"/>
  <c r="P52" i="153" s="1"/>
  <c r="U52" i="153" s="1"/>
  <c r="K52" i="75"/>
  <c r="H52" i="38"/>
  <c r="N52" i="38" s="1"/>
  <c r="H52" i="28"/>
  <c r="DC7" i="4"/>
  <c r="DD7" i="4"/>
  <c r="DE7" i="4"/>
  <c r="DF7" i="4"/>
  <c r="DG7" i="4"/>
  <c r="DH7" i="4"/>
  <c r="DJ7" i="4"/>
  <c r="DK7" i="4"/>
  <c r="DL7" i="4"/>
  <c r="DM7" i="4"/>
  <c r="DN7" i="4"/>
  <c r="DI7" i="4"/>
  <c r="CB8" i="4"/>
  <c r="CC8" i="4"/>
  <c r="CE8" i="4"/>
  <c r="CF8" i="4"/>
  <c r="CG8" i="4"/>
  <c r="CD8" i="4"/>
  <c r="CI8" i="4"/>
  <c r="CJ8" i="4"/>
  <c r="CH8" i="4"/>
  <c r="CL8" i="4"/>
  <c r="CA8" i="4"/>
  <c r="CK8" i="4"/>
  <c r="DJ21" i="4"/>
  <c r="DK21" i="4"/>
  <c r="DL21" i="4"/>
  <c r="DM21" i="4"/>
  <c r="DC21" i="4"/>
  <c r="DN21" i="4"/>
  <c r="DD21" i="4"/>
  <c r="DE21" i="4"/>
  <c r="DF21" i="4"/>
  <c r="DG21" i="4"/>
  <c r="DH21" i="4"/>
  <c r="DI21" i="4"/>
  <c r="CA21" i="4"/>
  <c r="CB21" i="4"/>
  <c r="CC21" i="4"/>
  <c r="CE21" i="4"/>
  <c r="CF21" i="4"/>
  <c r="CG21" i="4"/>
  <c r="CI21" i="4"/>
  <c r="CJ21" i="4"/>
  <c r="CK21" i="4"/>
  <c r="CL21" i="4"/>
  <c r="CD21" i="4"/>
  <c r="CH21" i="4"/>
  <c r="CP7" i="4"/>
  <c r="CQ7" i="4"/>
  <c r="CO7" i="4"/>
  <c r="CR7" i="4"/>
  <c r="CT7" i="4"/>
  <c r="CW7" i="4"/>
  <c r="CX7" i="4"/>
  <c r="CY7" i="4"/>
  <c r="CZ7" i="4"/>
  <c r="CS7" i="4"/>
  <c r="CU7" i="4"/>
  <c r="CV7" i="4"/>
  <c r="CR21" i="4"/>
  <c r="CS21" i="4"/>
  <c r="CT21" i="4"/>
  <c r="CV21" i="4"/>
  <c r="CW21" i="4"/>
  <c r="CX21" i="4"/>
  <c r="CZ21" i="4"/>
  <c r="CO21" i="4"/>
  <c r="CP21" i="4"/>
  <c r="CQ21" i="4"/>
  <c r="CY21" i="4"/>
  <c r="CU21" i="4"/>
  <c r="CC53" i="67"/>
  <c r="I53" i="156" s="1"/>
  <c r="N52" i="36"/>
  <c r="N52" i="32"/>
  <c r="AW6" i="4"/>
  <c r="AW20" i="4"/>
  <c r="CN8" i="4"/>
  <c r="AX8" i="4"/>
  <c r="BC7" i="4"/>
  <c r="BJ7" i="4"/>
  <c r="BB7" i="4"/>
  <c r="BD7" i="4"/>
  <c r="BE7" i="4"/>
  <c r="BF7" i="4"/>
  <c r="AY7" i="4"/>
  <c r="BG7" i="4"/>
  <c r="BH7" i="4"/>
  <c r="AZ7" i="4"/>
  <c r="BA7" i="4"/>
  <c r="BI7" i="4"/>
  <c r="BZ9" i="4"/>
  <c r="DB8" i="4"/>
  <c r="BL8" i="4"/>
  <c r="BM7" i="4"/>
  <c r="BX7" i="4"/>
  <c r="BT7" i="4"/>
  <c r="BU7" i="4"/>
  <c r="BW7" i="4"/>
  <c r="BN7" i="4"/>
  <c r="BO7" i="4"/>
  <c r="BP7" i="4"/>
  <c r="BQ7" i="4"/>
  <c r="BR7" i="4"/>
  <c r="BS7" i="4"/>
  <c r="BV7" i="4"/>
  <c r="AJ8" i="4"/>
  <c r="AL7" i="4"/>
  <c r="AR7" i="4"/>
  <c r="AS7" i="4"/>
  <c r="AT7" i="4"/>
  <c r="AU7" i="4"/>
  <c r="AV7" i="4"/>
  <c r="AK7" i="4"/>
  <c r="AM7" i="4"/>
  <c r="AP7" i="4"/>
  <c r="AN7" i="4"/>
  <c r="AO7" i="4"/>
  <c r="AQ7" i="4"/>
  <c r="AX22" i="4"/>
  <c r="BI21" i="4"/>
  <c r="BC21" i="4"/>
  <c r="BD21" i="4"/>
  <c r="BE21" i="4"/>
  <c r="BG21" i="4"/>
  <c r="AZ21" i="4"/>
  <c r="BF21" i="4"/>
  <c r="BA21" i="4"/>
  <c r="AY21" i="4"/>
  <c r="BB21" i="4"/>
  <c r="BH21" i="4"/>
  <c r="BJ21" i="4"/>
  <c r="DB22" i="4"/>
  <c r="AJ22" i="4"/>
  <c r="AU21" i="4"/>
  <c r="AM21" i="4"/>
  <c r="AN21" i="4"/>
  <c r="AQ21" i="4"/>
  <c r="AK21" i="4"/>
  <c r="AL21" i="4"/>
  <c r="AR21" i="4"/>
  <c r="AV21" i="4"/>
  <c r="AO21" i="4"/>
  <c r="AP21" i="4"/>
  <c r="AS21" i="4"/>
  <c r="AT21" i="4"/>
  <c r="BL22" i="4"/>
  <c r="BW21" i="4"/>
  <c r="BV21" i="4"/>
  <c r="BX21" i="4"/>
  <c r="BN21" i="4"/>
  <c r="BO21" i="4"/>
  <c r="BS21" i="4"/>
  <c r="BT21" i="4"/>
  <c r="BM21" i="4"/>
  <c r="BU21" i="4"/>
  <c r="BP21" i="4"/>
  <c r="BQ21" i="4"/>
  <c r="BR21" i="4"/>
  <c r="CN22" i="4"/>
  <c r="AE21" i="4"/>
  <c r="AB21" i="4"/>
  <c r="AF21" i="4"/>
  <c r="AC21" i="4"/>
  <c r="AD21" i="4"/>
  <c r="AG21" i="4"/>
  <c r="Z21" i="4"/>
  <c r="AA21" i="4"/>
  <c r="Y21" i="4"/>
  <c r="BZ22" i="4"/>
  <c r="AC7" i="4"/>
  <c r="AF7" i="4"/>
  <c r="AG7" i="4"/>
  <c r="AD7" i="4"/>
  <c r="AE7" i="4"/>
  <c r="Y7" i="4"/>
  <c r="Z7" i="4"/>
  <c r="AA7" i="4"/>
  <c r="AB7" i="4"/>
  <c r="V52" i="153" l="1"/>
  <c r="W52" i="153" s="1"/>
  <c r="G53" i="154"/>
  <c r="P53" i="154" s="1"/>
  <c r="G53" i="153"/>
  <c r="P53" i="153" s="1"/>
  <c r="U53" i="153" s="1"/>
  <c r="V53" i="153" s="1"/>
  <c r="W53" i="153" s="1"/>
  <c r="K53" i="75"/>
  <c r="H53" i="28"/>
  <c r="H53" i="38"/>
  <c r="N53" i="38" s="1"/>
  <c r="CW22" i="4"/>
  <c r="CX22" i="4"/>
  <c r="CY22" i="4"/>
  <c r="CP22" i="4"/>
  <c r="CQ22" i="4"/>
  <c r="CR22" i="4"/>
  <c r="CS22" i="4"/>
  <c r="CT22" i="4"/>
  <c r="CU22" i="4"/>
  <c r="CO22" i="4"/>
  <c r="CV22" i="4"/>
  <c r="CZ22" i="4"/>
  <c r="CQ8" i="4"/>
  <c r="CR8" i="4"/>
  <c r="CS8" i="4"/>
  <c r="CU8" i="4"/>
  <c r="CV8" i="4"/>
  <c r="CW8" i="4"/>
  <c r="CO8" i="4"/>
  <c r="CY8" i="4"/>
  <c r="CP8" i="4"/>
  <c r="CX8" i="4"/>
  <c r="CT8" i="4"/>
  <c r="CZ8" i="4"/>
  <c r="DG8" i="4"/>
  <c r="DH8" i="4"/>
  <c r="DC8" i="4"/>
  <c r="DI8" i="4"/>
  <c r="DJ8" i="4"/>
  <c r="DK8" i="4"/>
  <c r="DL8" i="4"/>
  <c r="DM8" i="4"/>
  <c r="DD8" i="4"/>
  <c r="DE8" i="4"/>
  <c r="DF8" i="4"/>
  <c r="DN8" i="4"/>
  <c r="CF9" i="4"/>
  <c r="CG9" i="4"/>
  <c r="CH9" i="4"/>
  <c r="CJ9" i="4"/>
  <c r="CL9" i="4"/>
  <c r="CK9" i="4"/>
  <c r="CI9" i="4"/>
  <c r="CA9" i="4"/>
  <c r="CB9" i="4"/>
  <c r="CC9" i="4"/>
  <c r="CD9" i="4"/>
  <c r="CE9" i="4"/>
  <c r="CE22" i="4"/>
  <c r="CF22" i="4"/>
  <c r="CG22" i="4"/>
  <c r="CI22" i="4"/>
  <c r="CJ22" i="4"/>
  <c r="CK22" i="4"/>
  <c r="CA22" i="4"/>
  <c r="CB22" i="4"/>
  <c r="CC22" i="4"/>
  <c r="CD22" i="4"/>
  <c r="CH22" i="4"/>
  <c r="CL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CC54" i="67"/>
  <c r="I54" i="156" s="1"/>
  <c r="N53" i="32"/>
  <c r="N53" i="36"/>
  <c r="AW21" i="4"/>
  <c r="AW7" i="4"/>
  <c r="AX9" i="4"/>
  <c r="BH8" i="4"/>
  <c r="BC8" i="4"/>
  <c r="AZ8" i="4"/>
  <c r="BB8" i="4"/>
  <c r="BD8" i="4"/>
  <c r="BE8" i="4"/>
  <c r="BJ8" i="4"/>
  <c r="AY8" i="4"/>
  <c r="BA8" i="4"/>
  <c r="BF8" i="4"/>
  <c r="BG8" i="4"/>
  <c r="BI8" i="4"/>
  <c r="BZ10" i="4"/>
  <c r="DB9" i="4"/>
  <c r="BL9" i="4"/>
  <c r="BR8" i="4"/>
  <c r="BM8" i="4"/>
  <c r="BN8" i="4"/>
  <c r="BO8" i="4"/>
  <c r="BT8" i="4"/>
  <c r="BU8" i="4"/>
  <c r="BV8" i="4"/>
  <c r="BW8" i="4"/>
  <c r="BX8" i="4"/>
  <c r="BP8" i="4"/>
  <c r="BQ8" i="4"/>
  <c r="BS8" i="4"/>
  <c r="AJ9" i="4"/>
  <c r="AN8" i="4"/>
  <c r="AQ8" i="4"/>
  <c r="AK8" i="4"/>
  <c r="AL8" i="4"/>
  <c r="AM8" i="4"/>
  <c r="AO8" i="4"/>
  <c r="AP8" i="4"/>
  <c r="AR8" i="4"/>
  <c r="AS8" i="4"/>
  <c r="AU8" i="4"/>
  <c r="AT8" i="4"/>
  <c r="AV8" i="4"/>
  <c r="CN9" i="4"/>
  <c r="BZ23" i="4"/>
  <c r="DB23" i="4"/>
  <c r="AJ23" i="4"/>
  <c r="AS22" i="4"/>
  <c r="AT22" i="4"/>
  <c r="AO22" i="4"/>
  <c r="AP22" i="4"/>
  <c r="AQ22" i="4"/>
  <c r="AK22" i="4"/>
  <c r="AU22" i="4"/>
  <c r="AL22" i="4"/>
  <c r="AM22" i="4"/>
  <c r="AN22" i="4"/>
  <c r="AR22" i="4"/>
  <c r="AV22" i="4"/>
  <c r="CN23" i="4"/>
  <c r="Z22" i="4"/>
  <c r="AA22" i="4"/>
  <c r="AB22" i="4"/>
  <c r="AD22" i="4"/>
  <c r="Y22" i="4"/>
  <c r="AC22" i="4"/>
  <c r="AE22" i="4"/>
  <c r="AF22" i="4"/>
  <c r="AG22" i="4"/>
  <c r="BL23" i="4"/>
  <c r="BO22" i="4"/>
  <c r="BN22" i="4"/>
  <c r="BQ22" i="4"/>
  <c r="BV22" i="4"/>
  <c r="BW22" i="4"/>
  <c r="BX22" i="4"/>
  <c r="BP22" i="4"/>
  <c r="BT22" i="4"/>
  <c r="BU22" i="4"/>
  <c r="BM22" i="4"/>
  <c r="BR22" i="4"/>
  <c r="BS22" i="4"/>
  <c r="AX23" i="4"/>
  <c r="BI22" i="4"/>
  <c r="BJ22" i="4"/>
  <c r="BE22" i="4"/>
  <c r="BH22" i="4"/>
  <c r="BF22" i="4"/>
  <c r="BG22" i="4"/>
  <c r="AY22" i="4"/>
  <c r="AZ22" i="4"/>
  <c r="BA22" i="4"/>
  <c r="BB22" i="4"/>
  <c r="BC22" i="4"/>
  <c r="BD22" i="4"/>
  <c r="Y8" i="4"/>
  <c r="AG8" i="4"/>
  <c r="Z8" i="4"/>
  <c r="AA8" i="4"/>
  <c r="AB8" i="4"/>
  <c r="AE8" i="4"/>
  <c r="AC8" i="4"/>
  <c r="AD8" i="4"/>
  <c r="AF8" i="4"/>
  <c r="G54" i="153" l="1"/>
  <c r="P54" i="153" s="1"/>
  <c r="U54" i="153" s="1"/>
  <c r="V54" i="153" s="1"/>
  <c r="W54" i="153" s="1"/>
  <c r="G54" i="154"/>
  <c r="P54" i="154" s="1"/>
  <c r="K54" i="75"/>
  <c r="H54" i="28"/>
  <c r="H54" i="38"/>
  <c r="N54" i="38" s="1"/>
  <c r="DL9" i="4"/>
  <c r="DM9" i="4"/>
  <c r="DN9" i="4"/>
  <c r="DC9" i="4"/>
  <c r="DD9" i="4"/>
  <c r="DE9" i="4"/>
  <c r="DF9" i="4"/>
  <c r="DG9" i="4"/>
  <c r="DH9" i="4"/>
  <c r="DI9" i="4"/>
  <c r="DJ9" i="4"/>
  <c r="DK9" i="4"/>
  <c r="CK10" i="4"/>
  <c r="CL10" i="4"/>
  <c r="CF10" i="4"/>
  <c r="CD10" i="4"/>
  <c r="CG10" i="4"/>
  <c r="CI10" i="4"/>
  <c r="CH10" i="4"/>
  <c r="CJ10" i="4"/>
  <c r="CC10" i="4"/>
  <c r="CB10" i="4"/>
  <c r="CA10" i="4"/>
  <c r="CE10" i="4"/>
  <c r="CI23" i="4"/>
  <c r="CJ23" i="4"/>
  <c r="CK23" i="4"/>
  <c r="CA23" i="4"/>
  <c r="CB23" i="4"/>
  <c r="CC23" i="4"/>
  <c r="CD23" i="4"/>
  <c r="CE23" i="4"/>
  <c r="CF23" i="4"/>
  <c r="CG23" i="4"/>
  <c r="CH23" i="4"/>
  <c r="CL23" i="4"/>
  <c r="DD23" i="4"/>
  <c r="DE23" i="4"/>
  <c r="DF23" i="4"/>
  <c r="DG23" i="4"/>
  <c r="DH23" i="4"/>
  <c r="DI23" i="4"/>
  <c r="DC23" i="4"/>
  <c r="DJ23" i="4"/>
  <c r="DK23" i="4"/>
  <c r="DL23" i="4"/>
  <c r="DM23" i="4"/>
  <c r="DN23" i="4"/>
  <c r="CP23" i="4"/>
  <c r="CQ23" i="4"/>
  <c r="CR23" i="4"/>
  <c r="CT23" i="4"/>
  <c r="CU23" i="4"/>
  <c r="CV23" i="4"/>
  <c r="CW23" i="4"/>
  <c r="CX23" i="4"/>
  <c r="CY23" i="4"/>
  <c r="CZ23" i="4"/>
  <c r="CO23" i="4"/>
  <c r="CS23" i="4"/>
  <c r="CV9" i="4"/>
  <c r="CW9" i="4"/>
  <c r="CX9" i="4"/>
  <c r="CZ9" i="4"/>
  <c r="CQ9" i="4"/>
  <c r="CR9" i="4"/>
  <c r="CS9" i="4"/>
  <c r="CT9" i="4"/>
  <c r="CU9" i="4"/>
  <c r="CP9" i="4"/>
  <c r="CY9" i="4"/>
  <c r="CO9" i="4"/>
  <c r="CC55" i="67"/>
  <c r="I55" i="156" s="1"/>
  <c r="N54" i="36"/>
  <c r="N54" i="32"/>
  <c r="AW22" i="4"/>
  <c r="AW8" i="4"/>
  <c r="BZ11" i="4"/>
  <c r="DB10" i="4"/>
  <c r="BL10" i="4"/>
  <c r="BW9" i="4"/>
  <c r="BR9" i="4"/>
  <c r="BP9" i="4"/>
  <c r="BQ9" i="4"/>
  <c r="BM9" i="4"/>
  <c r="BT9" i="4"/>
  <c r="BU9" i="4"/>
  <c r="BV9" i="4"/>
  <c r="BN9" i="4"/>
  <c r="BO9" i="4"/>
  <c r="BS9" i="4"/>
  <c r="BX9" i="4"/>
  <c r="AJ10" i="4"/>
  <c r="AS9" i="4"/>
  <c r="AV9" i="4"/>
  <c r="AL9" i="4"/>
  <c r="AM9" i="4"/>
  <c r="AN9" i="4"/>
  <c r="AO9" i="4"/>
  <c r="AP9" i="4"/>
  <c r="AQ9" i="4"/>
  <c r="AK9" i="4"/>
  <c r="AR9" i="4"/>
  <c r="AT9" i="4"/>
  <c r="AU9" i="4"/>
  <c r="CN10" i="4"/>
  <c r="AX10" i="4"/>
  <c r="BH9" i="4"/>
  <c r="BF9" i="4"/>
  <c r="BG9" i="4"/>
  <c r="BJ9" i="4"/>
  <c r="AZ9" i="4"/>
  <c r="BA9" i="4"/>
  <c r="BB9" i="4"/>
  <c r="BC9" i="4"/>
  <c r="BD9" i="4"/>
  <c r="AY9" i="4"/>
  <c r="BE9" i="4"/>
  <c r="BI9" i="4"/>
  <c r="AX24" i="4"/>
  <c r="BC23" i="4"/>
  <c r="AZ23" i="4"/>
  <c r="BB23" i="4"/>
  <c r="BA23" i="4"/>
  <c r="BI23" i="4"/>
  <c r="BJ23" i="4"/>
  <c r="AY23" i="4"/>
  <c r="BE23" i="4"/>
  <c r="BD23" i="4"/>
  <c r="BF23" i="4"/>
  <c r="BG23" i="4"/>
  <c r="BH23" i="4"/>
  <c r="Y23" i="4"/>
  <c r="AF23" i="4"/>
  <c r="AG23" i="4"/>
  <c r="AB23" i="4"/>
  <c r="AE23" i="4"/>
  <c r="AC23" i="4"/>
  <c r="AD23" i="4"/>
  <c r="AA23" i="4"/>
  <c r="Z23" i="4"/>
  <c r="CN24" i="4"/>
  <c r="AJ24" i="4"/>
  <c r="AO23" i="4"/>
  <c r="AL23" i="4"/>
  <c r="AR23" i="4"/>
  <c r="AU23" i="4"/>
  <c r="AS23" i="4"/>
  <c r="AT23" i="4"/>
  <c r="AV23" i="4"/>
  <c r="AM23" i="4"/>
  <c r="AN23" i="4"/>
  <c r="AK23" i="4"/>
  <c r="AP23" i="4"/>
  <c r="AQ23" i="4"/>
  <c r="DB24" i="4"/>
  <c r="BL24" i="4"/>
  <c r="BQ23" i="4"/>
  <c r="BT23" i="4"/>
  <c r="BS23" i="4"/>
  <c r="BU23" i="4"/>
  <c r="BV23" i="4"/>
  <c r="BX23" i="4"/>
  <c r="BN23" i="4"/>
  <c r="BO23" i="4"/>
  <c r="BM23" i="4"/>
  <c r="BP23" i="4"/>
  <c r="BR23" i="4"/>
  <c r="BW23" i="4"/>
  <c r="BZ24" i="4"/>
  <c r="Z9" i="4"/>
  <c r="AA9" i="4"/>
  <c r="AB9" i="4"/>
  <c r="AC9" i="4"/>
  <c r="AD9" i="4"/>
  <c r="Y9" i="4"/>
  <c r="AE9" i="4"/>
  <c r="AF9" i="4"/>
  <c r="AG9" i="4"/>
  <c r="G55" i="153" l="1"/>
  <c r="P55" i="153" s="1"/>
  <c r="U55" i="153" s="1"/>
  <c r="G55" i="154"/>
  <c r="P55" i="154" s="1"/>
  <c r="H55" i="38"/>
  <c r="N55" i="38" s="1"/>
  <c r="H55" i="28"/>
  <c r="K55" i="75"/>
  <c r="CP10" i="4"/>
  <c r="CQ10" i="4"/>
  <c r="CS10" i="4"/>
  <c r="CO10" i="4"/>
  <c r="CV10" i="4"/>
  <c r="CX10" i="4"/>
  <c r="CY10" i="4"/>
  <c r="CZ10" i="4"/>
  <c r="CT10" i="4"/>
  <c r="CR10" i="4"/>
  <c r="CU10" i="4"/>
  <c r="CW10" i="4"/>
  <c r="DK10" i="4"/>
  <c r="DE10" i="4"/>
  <c r="DL10" i="4"/>
  <c r="DM10" i="4"/>
  <c r="DD10" i="4"/>
  <c r="DN10" i="4"/>
  <c r="DI10" i="4"/>
  <c r="DC10" i="4"/>
  <c r="DH10" i="4"/>
  <c r="DF10" i="4"/>
  <c r="DG10" i="4"/>
  <c r="DJ10" i="4"/>
  <c r="CQ24" i="4"/>
  <c r="CO24" i="4"/>
  <c r="CR24" i="4"/>
  <c r="CS24" i="4"/>
  <c r="CU24" i="4"/>
  <c r="CV24" i="4"/>
  <c r="CW24" i="4"/>
  <c r="CY24" i="4"/>
  <c r="CZ24" i="4"/>
  <c r="CP24" i="4"/>
  <c r="CT24" i="4"/>
  <c r="CX24" i="4"/>
  <c r="CB11" i="4"/>
  <c r="CD11" i="4"/>
  <c r="CE11" i="4"/>
  <c r="CF11" i="4"/>
  <c r="CH11" i="4"/>
  <c r="CK11" i="4"/>
  <c r="CA11" i="4"/>
  <c r="CC11" i="4"/>
  <c r="CG11" i="4"/>
  <c r="CI11" i="4"/>
  <c r="CJ11" i="4"/>
  <c r="CL11" i="4"/>
  <c r="CA24" i="4"/>
  <c r="CB24" i="4"/>
  <c r="CC24" i="4"/>
  <c r="CE24" i="4"/>
  <c r="CF24" i="4"/>
  <c r="CG24" i="4"/>
  <c r="CH24" i="4"/>
  <c r="CI24" i="4"/>
  <c r="CJ24" i="4"/>
  <c r="CK24" i="4"/>
  <c r="CL24" i="4"/>
  <c r="CD24" i="4"/>
  <c r="DI24" i="4"/>
  <c r="DJ24" i="4"/>
  <c r="DK24" i="4"/>
  <c r="DL24" i="4"/>
  <c r="DM24" i="4"/>
  <c r="DN24" i="4"/>
  <c r="DC24" i="4"/>
  <c r="DD24" i="4"/>
  <c r="DE24" i="4"/>
  <c r="DF24" i="4"/>
  <c r="DG24" i="4"/>
  <c r="DH24" i="4"/>
  <c r="CC56" i="67"/>
  <c r="I56" i="156" s="1"/>
  <c r="N55" i="36"/>
  <c r="N55" i="32"/>
  <c r="AW9" i="4"/>
  <c r="AW23" i="4"/>
  <c r="DB11" i="4"/>
  <c r="BL11" i="4"/>
  <c r="BW10" i="4"/>
  <c r="BX10" i="4"/>
  <c r="BP10" i="4"/>
  <c r="BQ10" i="4"/>
  <c r="BR10" i="4"/>
  <c r="BS10" i="4"/>
  <c r="BT10" i="4"/>
  <c r="BU10" i="4"/>
  <c r="BM10" i="4"/>
  <c r="BN10" i="4"/>
  <c r="BO10" i="4"/>
  <c r="BV10" i="4"/>
  <c r="AJ11" i="4"/>
  <c r="AQ10" i="4"/>
  <c r="AR10" i="4"/>
  <c r="AS10" i="4"/>
  <c r="AT10" i="4"/>
  <c r="AU10" i="4"/>
  <c r="AV10" i="4"/>
  <c r="AK10" i="4"/>
  <c r="AL10" i="4"/>
  <c r="AO10" i="4"/>
  <c r="AM10" i="4"/>
  <c r="AN10" i="4"/>
  <c r="AP10" i="4"/>
  <c r="CN11" i="4"/>
  <c r="AX11" i="4"/>
  <c r="BB10" i="4"/>
  <c r="AZ10" i="4"/>
  <c r="BA10" i="4"/>
  <c r="BF10" i="4"/>
  <c r="BG10" i="4"/>
  <c r="BH10" i="4"/>
  <c r="BI10" i="4"/>
  <c r="BJ10" i="4"/>
  <c r="BD10" i="4"/>
  <c r="BE10" i="4"/>
  <c r="BC10" i="4"/>
  <c r="AY10" i="4"/>
  <c r="BZ12" i="4"/>
  <c r="DB25" i="4"/>
  <c r="BZ25" i="4"/>
  <c r="AD24" i="4"/>
  <c r="Y24" i="4"/>
  <c r="AB24" i="4"/>
  <c r="AA24" i="4"/>
  <c r="Z24" i="4"/>
  <c r="AF24" i="4"/>
  <c r="AC24" i="4"/>
  <c r="AE24" i="4"/>
  <c r="AG24" i="4"/>
  <c r="CN25" i="4"/>
  <c r="AJ25" i="4"/>
  <c r="AJ26" i="4" s="1"/>
  <c r="AT24" i="4"/>
  <c r="AN24" i="4"/>
  <c r="AO24" i="4"/>
  <c r="AR24" i="4"/>
  <c r="AM24" i="4"/>
  <c r="AP24" i="4"/>
  <c r="AQ24" i="4"/>
  <c r="AU24" i="4"/>
  <c r="AK24" i="4"/>
  <c r="AS24" i="4"/>
  <c r="AV24" i="4"/>
  <c r="AL24" i="4"/>
  <c r="BL25" i="4"/>
  <c r="BL26" i="4" s="1"/>
  <c r="BV24" i="4"/>
  <c r="BM24" i="4"/>
  <c r="BW24" i="4"/>
  <c r="BX24" i="4"/>
  <c r="BS24" i="4"/>
  <c r="BT24" i="4"/>
  <c r="BU24" i="4"/>
  <c r="BN24" i="4"/>
  <c r="BQ24" i="4"/>
  <c r="BO24" i="4"/>
  <c r="BP24" i="4"/>
  <c r="BR24" i="4"/>
  <c r="AX25" i="4"/>
  <c r="BH24" i="4"/>
  <c r="BD24" i="4"/>
  <c r="BE24" i="4"/>
  <c r="BF24" i="4"/>
  <c r="BI24" i="4"/>
  <c r="BG24" i="4"/>
  <c r="BJ24" i="4"/>
  <c r="BA24" i="4"/>
  <c r="AZ24" i="4"/>
  <c r="BB24" i="4"/>
  <c r="BC24" i="4"/>
  <c r="AY24" i="4"/>
  <c r="AB10" i="4"/>
  <c r="AE10" i="4"/>
  <c r="AF10" i="4"/>
  <c r="AG10" i="4"/>
  <c r="AC10" i="4"/>
  <c r="AD10" i="4"/>
  <c r="Y10" i="4"/>
  <c r="Z10" i="4"/>
  <c r="AA10" i="4"/>
  <c r="V55" i="153" l="1"/>
  <c r="W55" i="153" s="1"/>
  <c r="G56" i="154"/>
  <c r="P56" i="154" s="1"/>
  <c r="G56" i="153"/>
  <c r="P56" i="153" s="1"/>
  <c r="U56" i="153" s="1"/>
  <c r="V56" i="153" s="1"/>
  <c r="W56" i="153" s="1"/>
  <c r="H56" i="38"/>
  <c r="N56" i="38" s="1"/>
  <c r="K56" i="75"/>
  <c r="H56" i="28"/>
  <c r="DF11" i="4"/>
  <c r="DG11" i="4"/>
  <c r="DE11" i="4"/>
  <c r="DI11" i="4"/>
  <c r="DM11" i="4"/>
  <c r="DL11" i="4"/>
  <c r="DC11" i="4"/>
  <c r="DN11" i="4"/>
  <c r="DD11" i="4"/>
  <c r="DH11" i="4"/>
  <c r="DJ11" i="4"/>
  <c r="DK11" i="4"/>
  <c r="BG25" i="4"/>
  <c r="BH25" i="4"/>
  <c r="BI25" i="4"/>
  <c r="BJ25" i="4"/>
  <c r="AX26" i="4"/>
  <c r="BA25" i="4"/>
  <c r="BB25" i="4"/>
  <c r="BC25" i="4"/>
  <c r="BD25" i="4"/>
  <c r="BE25" i="4"/>
  <c r="BF25" i="4"/>
  <c r="BZ26" i="4"/>
  <c r="CA25" i="4"/>
  <c r="CB25" i="4"/>
  <c r="CC25" i="4"/>
  <c r="CE25" i="4"/>
  <c r="CF25" i="4"/>
  <c r="CG25" i="4"/>
  <c r="CI25" i="4"/>
  <c r="CJ25" i="4"/>
  <c r="CK25" i="4"/>
  <c r="CL25" i="4"/>
  <c r="CD25" i="4"/>
  <c r="CH25" i="4"/>
  <c r="CT11" i="4"/>
  <c r="CU11" i="4"/>
  <c r="CV11" i="4"/>
  <c r="CW11" i="4"/>
  <c r="CZ11" i="4"/>
  <c r="CX11" i="4"/>
  <c r="CY11" i="4"/>
  <c r="CP11" i="4"/>
  <c r="CQ11" i="4"/>
  <c r="CR11" i="4"/>
  <c r="CS11" i="4"/>
  <c r="CO11" i="4"/>
  <c r="DG25" i="4"/>
  <c r="DH25" i="4"/>
  <c r="DI25" i="4"/>
  <c r="DJ25" i="4"/>
  <c r="DK25" i="4"/>
  <c r="DL25" i="4"/>
  <c r="DM25" i="4"/>
  <c r="DN25" i="4"/>
  <c r="DC25" i="4"/>
  <c r="DD25" i="4"/>
  <c r="DE25" i="4"/>
  <c r="DF25" i="4"/>
  <c r="BZ13" i="4"/>
  <c r="CE12" i="4"/>
  <c r="CF12" i="4"/>
  <c r="CG12" i="4"/>
  <c r="CI12" i="4"/>
  <c r="CJ12" i="4"/>
  <c r="CK12" i="4"/>
  <c r="CL12" i="4"/>
  <c r="CB12" i="4"/>
  <c r="CC12" i="4"/>
  <c r="CA12" i="4"/>
  <c r="CH12" i="4"/>
  <c r="CD12" i="4"/>
  <c r="CN26" i="4"/>
  <c r="CV25" i="4"/>
  <c r="CW25" i="4"/>
  <c r="CX25" i="4"/>
  <c r="CY25" i="4"/>
  <c r="CT25" i="4"/>
  <c r="CZ25" i="4"/>
  <c r="CS25" i="4"/>
  <c r="CU25" i="4"/>
  <c r="CO25" i="4"/>
  <c r="CP25" i="4"/>
  <c r="CQ25" i="4"/>
  <c r="CR25" i="4"/>
  <c r="AJ27" i="4"/>
  <c r="AQ26" i="4"/>
  <c r="AT26" i="4"/>
  <c r="AU26" i="4"/>
  <c r="AV26" i="4"/>
  <c r="AS26" i="4"/>
  <c r="AR26" i="4"/>
  <c r="AO26" i="4"/>
  <c r="AP26" i="4"/>
  <c r="BL27" i="4"/>
  <c r="BR26" i="4"/>
  <c r="BW26" i="4"/>
  <c r="BX26" i="4"/>
  <c r="BV26" i="4"/>
  <c r="BS26" i="4"/>
  <c r="BU26" i="4"/>
  <c r="BT26" i="4"/>
  <c r="BP26" i="4"/>
  <c r="BQ26" i="4"/>
  <c r="CC57" i="67"/>
  <c r="I57" i="156" s="1"/>
  <c r="N56" i="36"/>
  <c r="N56" i="32"/>
  <c r="AW10" i="4"/>
  <c r="AW24" i="4"/>
  <c r="BL12" i="4"/>
  <c r="BQ11" i="4"/>
  <c r="BN11" i="4"/>
  <c r="BP11" i="4"/>
  <c r="BM11" i="4"/>
  <c r="BR11" i="4"/>
  <c r="BS11" i="4"/>
  <c r="BW11" i="4"/>
  <c r="BX11" i="4"/>
  <c r="BV11" i="4"/>
  <c r="BU11" i="4"/>
  <c r="BT11" i="4"/>
  <c r="BO11" i="4"/>
  <c r="AJ12" i="4"/>
  <c r="AJ13" i="4" s="1"/>
  <c r="AM11" i="4"/>
  <c r="AP11" i="4"/>
  <c r="AV11" i="4"/>
  <c r="AL11" i="4"/>
  <c r="AN11" i="4"/>
  <c r="AO11" i="4"/>
  <c r="AQ11" i="4"/>
  <c r="AR11" i="4"/>
  <c r="AT11" i="4"/>
  <c r="AS11" i="4"/>
  <c r="AK11" i="4"/>
  <c r="AU11" i="4"/>
  <c r="CN12" i="4"/>
  <c r="AX12" i="4"/>
  <c r="AX13" i="4" s="1"/>
  <c r="BG11" i="4"/>
  <c r="AY11" i="4"/>
  <c r="BB11" i="4"/>
  <c r="BC11" i="4"/>
  <c r="BD11" i="4"/>
  <c r="BF11" i="4"/>
  <c r="BH11" i="4"/>
  <c r="BI11" i="4"/>
  <c r="AZ11" i="4"/>
  <c r="BA11" i="4"/>
  <c r="BE11" i="4"/>
  <c r="BJ11" i="4"/>
  <c r="BZ14" i="4"/>
  <c r="BZ15" i="4" s="1"/>
  <c r="DB12" i="4"/>
  <c r="AZ25" i="4"/>
  <c r="AY25" i="4"/>
  <c r="AA25" i="4"/>
  <c r="AA28" i="4" s="1"/>
  <c r="AA29" i="4" s="1"/>
  <c r="AB25" i="4"/>
  <c r="AB28" i="4" s="1"/>
  <c r="AB29" i="4" s="1"/>
  <c r="AC25" i="4"/>
  <c r="AC28" i="4" s="1"/>
  <c r="AC29" i="4" s="1"/>
  <c r="AE25" i="4"/>
  <c r="AE28" i="4" s="1"/>
  <c r="AE29" i="4" s="1"/>
  <c r="AD25" i="4"/>
  <c r="AD28" i="4" s="1"/>
  <c r="AD29" i="4" s="1"/>
  <c r="AF25" i="4"/>
  <c r="AF28" i="4" s="1"/>
  <c r="AF29" i="4" s="1"/>
  <c r="AG25" i="4"/>
  <c r="AG28" i="4" s="1"/>
  <c r="AG29" i="4" s="1"/>
  <c r="Y25" i="4"/>
  <c r="Z25" i="4"/>
  <c r="Z28" i="4" s="1"/>
  <c r="Z29" i="4" s="1"/>
  <c r="BN25" i="4"/>
  <c r="BP25" i="4"/>
  <c r="BQ25" i="4"/>
  <c r="BM25" i="4"/>
  <c r="BR25" i="4"/>
  <c r="BT25" i="4"/>
  <c r="BS25" i="4"/>
  <c r="BO25" i="4"/>
  <c r="BU25" i="4"/>
  <c r="BV25" i="4"/>
  <c r="BW25" i="4"/>
  <c r="BX25" i="4"/>
  <c r="AT25" i="4"/>
  <c r="AU25" i="4"/>
  <c r="AV25" i="4"/>
  <c r="AL25" i="4"/>
  <c r="AP25" i="4"/>
  <c r="AS25" i="4"/>
  <c r="AN25" i="4"/>
  <c r="AQ25" i="4"/>
  <c r="AR25" i="4"/>
  <c r="AK25" i="4"/>
  <c r="AM25" i="4"/>
  <c r="AO25" i="4"/>
  <c r="DB26" i="4"/>
  <c r="AG11" i="4"/>
  <c r="AE11" i="4"/>
  <c r="AF11" i="4"/>
  <c r="Y11" i="4"/>
  <c r="Z11" i="4"/>
  <c r="AA11" i="4"/>
  <c r="AB11" i="4"/>
  <c r="AC11" i="4"/>
  <c r="AD11" i="4"/>
  <c r="G57" i="153" l="1"/>
  <c r="P57" i="153" s="1"/>
  <c r="U57" i="153" s="1"/>
  <c r="V57" i="153" s="1"/>
  <c r="W57" i="153" s="1"/>
  <c r="G57" i="154"/>
  <c r="P57" i="154" s="1"/>
  <c r="K57" i="75"/>
  <c r="H57" i="28"/>
  <c r="H57" i="38"/>
  <c r="N57" i="38" s="1"/>
  <c r="BL28" i="4"/>
  <c r="BL29" i="4" s="1"/>
  <c r="BQ27" i="4"/>
  <c r="BQ28" i="4" s="1"/>
  <c r="BQ29" i="4" s="1"/>
  <c r="BR27" i="4"/>
  <c r="BR28" i="4" s="1"/>
  <c r="BR29" i="4" s="1"/>
  <c r="BW27" i="4"/>
  <c r="BW28" i="4" s="1"/>
  <c r="BW29" i="4" s="1"/>
  <c r="BX27" i="4"/>
  <c r="BX28" i="4" s="1"/>
  <c r="BX29" i="4" s="1"/>
  <c r="BT27" i="4"/>
  <c r="BT28" i="4" s="1"/>
  <c r="BT29" i="4" s="1"/>
  <c r="BU27" i="4"/>
  <c r="BU28" i="4" s="1"/>
  <c r="BU29" i="4" s="1"/>
  <c r="BV27" i="4"/>
  <c r="BV28" i="4" s="1"/>
  <c r="BV29" i="4" s="1"/>
  <c r="BP27" i="4"/>
  <c r="BP28" i="4" s="1"/>
  <c r="BP29" i="4" s="1"/>
  <c r="BS27" i="4"/>
  <c r="BS28" i="4" s="1"/>
  <c r="BS29" i="4" s="1"/>
  <c r="BM27" i="4"/>
  <c r="BN27" i="4"/>
  <c r="BO27" i="4"/>
  <c r="BA13" i="4"/>
  <c r="AX14" i="4"/>
  <c r="AX15" i="4" s="1"/>
  <c r="BE13" i="4"/>
  <c r="BH13" i="4"/>
  <c r="BC13" i="4"/>
  <c r="BD13" i="4"/>
  <c r="AZ13" i="4"/>
  <c r="BG13" i="4"/>
  <c r="BF13" i="4"/>
  <c r="BJ13" i="4"/>
  <c r="BI13" i="4"/>
  <c r="BB13" i="4"/>
  <c r="AY13" i="4"/>
  <c r="DC12" i="4"/>
  <c r="DD12" i="4"/>
  <c r="DH12" i="4"/>
  <c r="DE12" i="4"/>
  <c r="DF12" i="4"/>
  <c r="DG12" i="4"/>
  <c r="DI12" i="4"/>
  <c r="DK12" i="4"/>
  <c r="DL12" i="4"/>
  <c r="DJ12" i="4"/>
  <c r="DM12" i="4"/>
  <c r="DN12" i="4"/>
  <c r="DK26" i="4"/>
  <c r="DL26" i="4"/>
  <c r="DC26" i="4"/>
  <c r="DM26" i="4"/>
  <c r="DN26" i="4"/>
  <c r="DE26" i="4"/>
  <c r="DI26" i="4"/>
  <c r="DD26" i="4"/>
  <c r="DF26" i="4"/>
  <c r="DB27" i="4"/>
  <c r="DG26" i="4"/>
  <c r="DH26" i="4"/>
  <c r="DJ26" i="4"/>
  <c r="AK13" i="4"/>
  <c r="AJ14" i="4"/>
  <c r="AJ15" i="4" s="1"/>
  <c r="AP13" i="4"/>
  <c r="AQ13" i="4"/>
  <c r="AR13" i="4"/>
  <c r="AN13" i="4"/>
  <c r="AO13" i="4"/>
  <c r="AV13" i="4"/>
  <c r="AS13" i="4"/>
  <c r="AM13" i="4"/>
  <c r="AL13" i="4"/>
  <c r="AU13" i="4"/>
  <c r="AT13" i="4"/>
  <c r="CF13" i="4"/>
  <c r="CF14" i="4" s="1"/>
  <c r="CI13" i="4"/>
  <c r="CI14" i="4" s="1"/>
  <c r="CK13" i="4"/>
  <c r="CK14" i="4" s="1"/>
  <c r="CJ13" i="4"/>
  <c r="CJ14" i="4" s="1"/>
  <c r="CL13" i="4"/>
  <c r="CL14" i="4" s="1"/>
  <c r="CH13" i="4"/>
  <c r="CH14" i="4" s="1"/>
  <c r="CG13" i="4"/>
  <c r="CG14" i="4" s="1"/>
  <c r="CA13" i="4"/>
  <c r="CA14" i="4" s="1"/>
  <c r="CB13" i="4"/>
  <c r="CB14" i="4" s="1"/>
  <c r="CC13" i="4"/>
  <c r="CC14" i="4" s="1"/>
  <c r="CD13" i="4"/>
  <c r="CD14" i="4" s="1"/>
  <c r="CE13" i="4"/>
  <c r="CE14" i="4" s="1"/>
  <c r="CU12" i="4"/>
  <c r="CY12" i="4"/>
  <c r="CN13" i="4"/>
  <c r="CN14" i="4" s="1"/>
  <c r="CN15" i="4" s="1"/>
  <c r="CT12" i="4"/>
  <c r="CV12" i="4"/>
  <c r="CW12" i="4"/>
  <c r="CZ12" i="4"/>
  <c r="CX12" i="4"/>
  <c r="CP12" i="4"/>
  <c r="CQ12" i="4"/>
  <c r="CR12" i="4"/>
  <c r="CO12" i="4"/>
  <c r="CS12" i="4"/>
  <c r="CN27" i="4"/>
  <c r="CS26" i="4"/>
  <c r="CX26" i="4"/>
  <c r="CT26" i="4"/>
  <c r="CU26" i="4"/>
  <c r="CW26" i="4"/>
  <c r="CV26" i="4"/>
  <c r="CY26" i="4"/>
  <c r="CZ26" i="4"/>
  <c r="CO26" i="4"/>
  <c r="CP26" i="4"/>
  <c r="CQ26" i="4"/>
  <c r="CR26" i="4"/>
  <c r="CJ26" i="4"/>
  <c r="CK26" i="4"/>
  <c r="BZ27" i="4"/>
  <c r="CL26" i="4"/>
  <c r="CD26" i="4"/>
  <c r="CC26" i="4"/>
  <c r="CE26" i="4"/>
  <c r="CF26" i="4"/>
  <c r="CH26" i="4"/>
  <c r="CG26" i="4"/>
  <c r="CI26" i="4"/>
  <c r="CA26" i="4"/>
  <c r="CB26" i="4"/>
  <c r="AJ28" i="4"/>
  <c r="AJ29" i="4" s="1"/>
  <c r="AV27" i="4"/>
  <c r="AV28" i="4" s="1"/>
  <c r="AV29" i="4" s="1"/>
  <c r="AO27" i="4"/>
  <c r="AO28" i="4" s="1"/>
  <c r="AO29" i="4" s="1"/>
  <c r="AP27" i="4"/>
  <c r="AP28" i="4" s="1"/>
  <c r="AP29" i="4" s="1"/>
  <c r="AR27" i="4"/>
  <c r="AR28" i="4" s="1"/>
  <c r="AR29" i="4" s="1"/>
  <c r="AQ27" i="4"/>
  <c r="AQ28" i="4" s="1"/>
  <c r="AQ29" i="4" s="1"/>
  <c r="AS27" i="4"/>
  <c r="AS28" i="4" s="1"/>
  <c r="AS29" i="4" s="1"/>
  <c r="AU27" i="4"/>
  <c r="AU28" i="4" s="1"/>
  <c r="AU29" i="4" s="1"/>
  <c r="AT27" i="4"/>
  <c r="AT28" i="4" s="1"/>
  <c r="AT29" i="4" s="1"/>
  <c r="AK27" i="4"/>
  <c r="AL27" i="4"/>
  <c r="AM27" i="4"/>
  <c r="AN27" i="4"/>
  <c r="AX27" i="4"/>
  <c r="BA26" i="4"/>
  <c r="BB26" i="4"/>
  <c r="BH26" i="4"/>
  <c r="BG26" i="4"/>
  <c r="BD26" i="4"/>
  <c r="BC26" i="4"/>
  <c r="BJ26" i="4"/>
  <c r="BF26" i="4"/>
  <c r="BE26" i="4"/>
  <c r="BI26" i="4"/>
  <c r="CC58" i="67"/>
  <c r="I58" i="156" s="1"/>
  <c r="N57" i="32"/>
  <c r="N57" i="36"/>
  <c r="AW11" i="4"/>
  <c r="AW25" i="4"/>
  <c r="AR12" i="4"/>
  <c r="AU12" i="4"/>
  <c r="AL12" i="4"/>
  <c r="AM12" i="4"/>
  <c r="AN12" i="4"/>
  <c r="AO12" i="4"/>
  <c r="AP12" i="4"/>
  <c r="AK12" i="4"/>
  <c r="AQ12" i="4"/>
  <c r="AS12" i="4"/>
  <c r="AT12" i="4"/>
  <c r="AV12" i="4"/>
  <c r="BG12" i="4"/>
  <c r="BJ12" i="4"/>
  <c r="AY12" i="4"/>
  <c r="BB12" i="4"/>
  <c r="BC12" i="4"/>
  <c r="BD12" i="4"/>
  <c r="BE12" i="4"/>
  <c r="BF12" i="4"/>
  <c r="BH12" i="4"/>
  <c r="AZ12" i="4"/>
  <c r="BA12" i="4"/>
  <c r="BI12" i="4"/>
  <c r="DB13" i="4"/>
  <c r="BV12" i="4"/>
  <c r="BQ12" i="4"/>
  <c r="BT12" i="4"/>
  <c r="BU12" i="4"/>
  <c r="BX12" i="4"/>
  <c r="BM12" i="4"/>
  <c r="BN12" i="4"/>
  <c r="BO12" i="4"/>
  <c r="BP12" i="4"/>
  <c r="BR12" i="4"/>
  <c r="BS12" i="4"/>
  <c r="BW12" i="4"/>
  <c r="BL13" i="4"/>
  <c r="BM26" i="4"/>
  <c r="BN26" i="4"/>
  <c r="BO26" i="4"/>
  <c r="Y26" i="4"/>
  <c r="Y28" i="4" s="1"/>
  <c r="Y29" i="4" s="1"/>
  <c r="AN26" i="4"/>
  <c r="AM26" i="4"/>
  <c r="AK26" i="4"/>
  <c r="AL26" i="4"/>
  <c r="AZ26" i="4"/>
  <c r="AY26" i="4"/>
  <c r="Y12" i="4"/>
  <c r="Y14" i="4" s="1"/>
  <c r="Y15" i="4" s="1"/>
  <c r="Z12" i="4"/>
  <c r="Z14" i="4" s="1"/>
  <c r="Z15" i="4" s="1"/>
  <c r="AA12" i="4"/>
  <c r="AA14" i="4" s="1"/>
  <c r="AA15" i="4" s="1"/>
  <c r="AB12" i="4"/>
  <c r="AC12" i="4"/>
  <c r="AD12" i="4"/>
  <c r="AE12" i="4"/>
  <c r="AF12" i="4"/>
  <c r="AG12" i="4"/>
  <c r="G58" i="154" l="1"/>
  <c r="P58" i="154" s="1"/>
  <c r="G58" i="153"/>
  <c r="P58" i="153" s="1"/>
  <c r="U58" i="153" s="1"/>
  <c r="V58" i="153" s="1"/>
  <c r="W58" i="153" s="1"/>
  <c r="K58" i="75"/>
  <c r="H58" i="28"/>
  <c r="H58" i="38"/>
  <c r="N58" i="38" s="1"/>
  <c r="AR14" i="4"/>
  <c r="AR15" i="4" s="1"/>
  <c r="DB14" i="4"/>
  <c r="DB15" i="4" s="1"/>
  <c r="DG13" i="4"/>
  <c r="DG14" i="4" s="1"/>
  <c r="DG15" i="4" s="1"/>
  <c r="DH13" i="4"/>
  <c r="DH14" i="4" s="1"/>
  <c r="DH15" i="4" s="1"/>
  <c r="DI13" i="4"/>
  <c r="DI14" i="4" s="1"/>
  <c r="DI15" i="4" s="1"/>
  <c r="DL13" i="4"/>
  <c r="DL14" i="4" s="1"/>
  <c r="DL15" i="4" s="1"/>
  <c r="DN13" i="4"/>
  <c r="DN14" i="4" s="1"/>
  <c r="DN15" i="4" s="1"/>
  <c r="DJ13" i="4"/>
  <c r="DJ14" i="4" s="1"/>
  <c r="DJ15" i="4" s="1"/>
  <c r="DM13" i="4"/>
  <c r="DM14" i="4" s="1"/>
  <c r="DM15" i="4" s="1"/>
  <c r="DK13" i="4"/>
  <c r="DK14" i="4" s="1"/>
  <c r="DK15" i="4" s="1"/>
  <c r="DD13" i="4"/>
  <c r="DD14" i="4" s="1"/>
  <c r="DD15" i="4" s="1"/>
  <c r="DE13" i="4"/>
  <c r="DE14" i="4" s="1"/>
  <c r="DE15" i="4" s="1"/>
  <c r="DC13" i="4"/>
  <c r="DC14" i="4" s="1"/>
  <c r="DC15" i="4" s="1"/>
  <c r="DF13" i="4"/>
  <c r="DF14" i="4" s="1"/>
  <c r="DF15" i="4" s="1"/>
  <c r="AN28" i="4"/>
  <c r="AN29" i="4" s="1"/>
  <c r="AT14" i="4"/>
  <c r="AT15" i="4" s="1"/>
  <c r="DC27" i="4"/>
  <c r="DC28" i="4" s="1"/>
  <c r="DC29" i="4" s="1"/>
  <c r="DB28" i="4"/>
  <c r="DB29" i="4" s="1"/>
  <c r="DE27" i="4"/>
  <c r="DE28" i="4" s="1"/>
  <c r="DE29" i="4" s="1"/>
  <c r="DD27" i="4"/>
  <c r="DD28" i="4" s="1"/>
  <c r="DD29" i="4" s="1"/>
  <c r="DG27" i="4"/>
  <c r="DG28" i="4" s="1"/>
  <c r="DG29" i="4" s="1"/>
  <c r="DH27" i="4"/>
  <c r="DH28" i="4" s="1"/>
  <c r="DH29" i="4" s="1"/>
  <c r="DL27" i="4"/>
  <c r="DL28" i="4" s="1"/>
  <c r="DL29" i="4" s="1"/>
  <c r="DK27" i="4"/>
  <c r="DK28" i="4" s="1"/>
  <c r="DK29" i="4" s="1"/>
  <c r="DN27" i="4"/>
  <c r="DN28" i="4" s="1"/>
  <c r="DN29" i="4" s="1"/>
  <c r="DM27" i="4"/>
  <c r="DM28" i="4" s="1"/>
  <c r="DM29" i="4" s="1"/>
  <c r="DJ27" i="4"/>
  <c r="DJ28" i="4" s="1"/>
  <c r="DJ29" i="4" s="1"/>
  <c r="DI27" i="4"/>
  <c r="DI28" i="4" s="1"/>
  <c r="DI29" i="4" s="1"/>
  <c r="DF27" i="4"/>
  <c r="DF28" i="4" s="1"/>
  <c r="DF29" i="4" s="1"/>
  <c r="BE14" i="4"/>
  <c r="BE15" i="4" s="1"/>
  <c r="AM28" i="4"/>
  <c r="AM29" i="4" s="1"/>
  <c r="CU13" i="4"/>
  <c r="CU14" i="4" s="1"/>
  <c r="CV13" i="4"/>
  <c r="CV14" i="4" s="1"/>
  <c r="CY13" i="4"/>
  <c r="CY14" i="4" s="1"/>
  <c r="CW13" i="4"/>
  <c r="CW14" i="4" s="1"/>
  <c r="CX13" i="4"/>
  <c r="CX14" i="4" s="1"/>
  <c r="CZ13" i="4"/>
  <c r="CZ14" i="4" s="1"/>
  <c r="CT13" i="4"/>
  <c r="CT14" i="4" s="1"/>
  <c r="CO13" i="4"/>
  <c r="CO14" i="4" s="1"/>
  <c r="CO15" i="4" s="1"/>
  <c r="CT34" i="4" s="1"/>
  <c r="CP13" i="4"/>
  <c r="CP14" i="4" s="1"/>
  <c r="CQ13" i="4"/>
  <c r="CQ14" i="4" s="1"/>
  <c r="CR13" i="4"/>
  <c r="CR14" i="4" s="1"/>
  <c r="CS13" i="4"/>
  <c r="CS14" i="4" s="1"/>
  <c r="AU14" i="4"/>
  <c r="AU15" i="4" s="1"/>
  <c r="AL28" i="4"/>
  <c r="AL29" i="4" s="1"/>
  <c r="AW13" i="4"/>
  <c r="AL14" i="4"/>
  <c r="AL15" i="4" s="1"/>
  <c r="BA14" i="4"/>
  <c r="BA15" i="4" s="1"/>
  <c r="AK28" i="4"/>
  <c r="AK29" i="4" s="1"/>
  <c r="AM14" i="4"/>
  <c r="AM15" i="4" s="1"/>
  <c r="BO28" i="4"/>
  <c r="BO29" i="4" s="1"/>
  <c r="AE14" i="4"/>
  <c r="AE15" i="4" s="1"/>
  <c r="AA43" i="4" s="1"/>
  <c r="AS14" i="4"/>
  <c r="AS15" i="4" s="1"/>
  <c r="BN28" i="4"/>
  <c r="BN29" i="4" s="1"/>
  <c r="AV14" i="4"/>
  <c r="AV15" i="4" s="1"/>
  <c r="BM28" i="4"/>
  <c r="BM29" i="4" s="1"/>
  <c r="CN28" i="4"/>
  <c r="CN29" i="4" s="1"/>
  <c r="CZ27" i="4"/>
  <c r="CZ28" i="4" s="1"/>
  <c r="CZ29" i="4" s="1"/>
  <c r="CT27" i="4"/>
  <c r="CT28" i="4" s="1"/>
  <c r="CT29" i="4" s="1"/>
  <c r="CW27" i="4"/>
  <c r="CW28" i="4" s="1"/>
  <c r="CW29" i="4" s="1"/>
  <c r="CS27" i="4"/>
  <c r="CS28" i="4" s="1"/>
  <c r="CS29" i="4" s="1"/>
  <c r="CY27" i="4"/>
  <c r="CY28" i="4" s="1"/>
  <c r="CY29" i="4" s="1"/>
  <c r="CX27" i="4"/>
  <c r="CX28" i="4" s="1"/>
  <c r="CX29" i="4" s="1"/>
  <c r="CU27" i="4"/>
  <c r="CU28" i="4" s="1"/>
  <c r="CU29" i="4" s="1"/>
  <c r="CV27" i="4"/>
  <c r="CV28" i="4" s="1"/>
  <c r="CV29" i="4" s="1"/>
  <c r="CO27" i="4"/>
  <c r="CO28" i="4" s="1"/>
  <c r="CO29" i="4" s="1"/>
  <c r="CP27" i="4"/>
  <c r="CP28" i="4" s="1"/>
  <c r="CP29" i="4" s="1"/>
  <c r="CQ27" i="4"/>
  <c r="CQ28" i="4" s="1"/>
  <c r="CQ29" i="4" s="1"/>
  <c r="CR27" i="4"/>
  <c r="CR28" i="4" s="1"/>
  <c r="CR29" i="4" s="1"/>
  <c r="AO14" i="4"/>
  <c r="AO15" i="4" s="1"/>
  <c r="AY14" i="4"/>
  <c r="AY15" i="4" s="1"/>
  <c r="CD27" i="4"/>
  <c r="CD28" i="4" s="1"/>
  <c r="CD29" i="4" s="1"/>
  <c r="BZ28" i="4"/>
  <c r="BZ29" i="4" s="1"/>
  <c r="CC27" i="4"/>
  <c r="CC28" i="4" s="1"/>
  <c r="CC29" i="4" s="1"/>
  <c r="CE27" i="4"/>
  <c r="CE28" i="4" s="1"/>
  <c r="CE29" i="4" s="1"/>
  <c r="CK27" i="4"/>
  <c r="CK28" i="4" s="1"/>
  <c r="CK29" i="4" s="1"/>
  <c r="CF27" i="4"/>
  <c r="CF28" i="4" s="1"/>
  <c r="CF29" i="4" s="1"/>
  <c r="CG27" i="4"/>
  <c r="CG28" i="4" s="1"/>
  <c r="CG29" i="4" s="1"/>
  <c r="CH27" i="4"/>
  <c r="CH28" i="4" s="1"/>
  <c r="CH29" i="4" s="1"/>
  <c r="CI27" i="4"/>
  <c r="CI28" i="4" s="1"/>
  <c r="CI29" i="4" s="1"/>
  <c r="CJ27" i="4"/>
  <c r="CJ28" i="4" s="1"/>
  <c r="CJ29" i="4" s="1"/>
  <c r="CL27" i="4"/>
  <c r="CL28" i="4" s="1"/>
  <c r="CL29" i="4" s="1"/>
  <c r="CA27" i="4"/>
  <c r="CA28" i="4" s="1"/>
  <c r="CA29" i="4" s="1"/>
  <c r="CB27" i="4"/>
  <c r="CB28" i="4" s="1"/>
  <c r="CB29" i="4" s="1"/>
  <c r="AN14" i="4"/>
  <c r="AN15" i="4" s="1"/>
  <c r="BB14" i="4"/>
  <c r="BB15" i="4" s="1"/>
  <c r="BI14" i="4"/>
  <c r="BI15" i="4" s="1"/>
  <c r="AF14" i="4"/>
  <c r="AF15" i="4" s="1"/>
  <c r="AA44" i="4" s="1"/>
  <c r="AQ14" i="4"/>
  <c r="AQ15" i="4" s="1"/>
  <c r="BJ14" i="4"/>
  <c r="BJ15" i="4" s="1"/>
  <c r="AP14" i="4"/>
  <c r="AP15" i="4" s="1"/>
  <c r="BF14" i="4"/>
  <c r="BF15" i="4" s="1"/>
  <c r="AG14" i="4"/>
  <c r="AG15" i="4" s="1"/>
  <c r="AA45" i="4" s="1"/>
  <c r="BG14" i="4"/>
  <c r="BG15" i="4" s="1"/>
  <c r="AC14" i="4"/>
  <c r="AC15" i="4" s="1"/>
  <c r="AA41" i="4" s="1"/>
  <c r="AK14" i="4"/>
  <c r="AK15" i="4" s="1"/>
  <c r="AZ14" i="4"/>
  <c r="AZ15" i="4" s="1"/>
  <c r="AB14" i="4"/>
  <c r="AB15" i="4" s="1"/>
  <c r="AA40" i="4" s="1"/>
  <c r="BD14" i="4"/>
  <c r="BD15" i="4" s="1"/>
  <c r="AD14" i="4"/>
  <c r="AD15" i="4" s="1"/>
  <c r="AA42" i="4" s="1"/>
  <c r="BL14" i="4"/>
  <c r="BL15" i="4" s="1"/>
  <c r="BS13" i="4"/>
  <c r="BS14" i="4" s="1"/>
  <c r="BS15" i="4" s="1"/>
  <c r="BV13" i="4"/>
  <c r="BV14" i="4" s="1"/>
  <c r="BV15" i="4" s="1"/>
  <c r="BR13" i="4"/>
  <c r="BR14" i="4" s="1"/>
  <c r="BR15" i="4" s="1"/>
  <c r="BX13" i="4"/>
  <c r="BX14" i="4" s="1"/>
  <c r="BX15" i="4" s="1"/>
  <c r="BU13" i="4"/>
  <c r="BU14" i="4" s="1"/>
  <c r="BU15" i="4" s="1"/>
  <c r="BW13" i="4"/>
  <c r="BW14" i="4" s="1"/>
  <c r="BW15" i="4" s="1"/>
  <c r="BT13" i="4"/>
  <c r="BT14" i="4" s="1"/>
  <c r="BT15" i="4" s="1"/>
  <c r="BP13" i="4"/>
  <c r="BP14" i="4" s="1"/>
  <c r="BP15" i="4" s="1"/>
  <c r="BM13" i="4"/>
  <c r="BM14" i="4" s="1"/>
  <c r="BM15" i="4" s="1"/>
  <c r="BN13" i="4"/>
  <c r="BN14" i="4" s="1"/>
  <c r="BN15" i="4" s="1"/>
  <c r="BO13" i="4"/>
  <c r="BO14" i="4" s="1"/>
  <c r="BO15" i="4" s="1"/>
  <c r="BQ13" i="4"/>
  <c r="BQ14" i="4" s="1"/>
  <c r="BQ15" i="4" s="1"/>
  <c r="BC14" i="4"/>
  <c r="BC15" i="4" s="1"/>
  <c r="AX28" i="4"/>
  <c r="AX29" i="4" s="1"/>
  <c r="BI27" i="4"/>
  <c r="BI28" i="4" s="1"/>
  <c r="BI29" i="4" s="1"/>
  <c r="BJ27" i="4"/>
  <c r="BJ28" i="4" s="1"/>
  <c r="BJ29" i="4" s="1"/>
  <c r="BG27" i="4"/>
  <c r="BG28" i="4" s="1"/>
  <c r="BG29" i="4" s="1"/>
  <c r="BB27" i="4"/>
  <c r="BB28" i="4" s="1"/>
  <c r="BB29" i="4" s="1"/>
  <c r="BC27" i="4"/>
  <c r="BC28" i="4" s="1"/>
  <c r="BC29" i="4" s="1"/>
  <c r="BD27" i="4"/>
  <c r="BD28" i="4" s="1"/>
  <c r="BD29" i="4" s="1"/>
  <c r="BH27" i="4"/>
  <c r="BH28" i="4" s="1"/>
  <c r="BH29" i="4" s="1"/>
  <c r="BF27" i="4"/>
  <c r="BF28" i="4" s="1"/>
  <c r="BF29" i="4" s="1"/>
  <c r="BA27" i="4"/>
  <c r="BA28" i="4" s="1"/>
  <c r="BA29" i="4" s="1"/>
  <c r="BE27" i="4"/>
  <c r="BE28" i="4" s="1"/>
  <c r="BE29" i="4" s="1"/>
  <c r="AZ27" i="4"/>
  <c r="AZ28" i="4" s="1"/>
  <c r="AZ29" i="4" s="1"/>
  <c r="AY27" i="4"/>
  <c r="AY28" i="4" s="1"/>
  <c r="AY29" i="4" s="1"/>
  <c r="BH14" i="4"/>
  <c r="BH15" i="4" s="1"/>
  <c r="AA38" i="4"/>
  <c r="AA35" i="4"/>
  <c r="AA36" i="4"/>
  <c r="AA37" i="4"/>
  <c r="AA34" i="4"/>
  <c r="AA39" i="4"/>
  <c r="CC59" i="67"/>
  <c r="I59" i="156" s="1"/>
  <c r="N58" i="36"/>
  <c r="N58" i="32"/>
  <c r="AW26" i="4"/>
  <c r="AW12" i="4"/>
  <c r="G59" i="154" l="1"/>
  <c r="P59" i="154" s="1"/>
  <c r="G59" i="153"/>
  <c r="P59" i="153" s="1"/>
  <c r="U59" i="153" s="1"/>
  <c r="V59" i="153" s="1"/>
  <c r="W59" i="153" s="1"/>
  <c r="K59" i="75"/>
  <c r="H59" i="38"/>
  <c r="N59" i="38" s="1"/>
  <c r="H59" i="28"/>
  <c r="CC60" i="67"/>
  <c r="I60" i="156" s="1"/>
  <c r="N59" i="36"/>
  <c r="N59" i="32"/>
  <c r="AE5" i="57"/>
  <c r="G60" i="154" l="1"/>
  <c r="P60" i="154" s="1"/>
  <c r="G60" i="153"/>
  <c r="P60" i="153" s="1"/>
  <c r="U60" i="153" s="1"/>
  <c r="V60" i="153" s="1"/>
  <c r="W60" i="153" s="1"/>
  <c r="K60" i="75"/>
  <c r="H60" i="38"/>
  <c r="N60" i="38" s="1"/>
  <c r="H60" i="28"/>
  <c r="CC61" i="67"/>
  <c r="I61" i="156" s="1"/>
  <c r="N60" i="36"/>
  <c r="N60" i="32"/>
  <c r="AC6" i="57"/>
  <c r="AE6" i="57" s="1"/>
  <c r="B6" i="57"/>
  <c r="G61" i="154" l="1"/>
  <c r="P61" i="154" s="1"/>
  <c r="G61" i="153"/>
  <c r="P61" i="153" s="1"/>
  <c r="U61" i="153" s="1"/>
  <c r="V61" i="153" s="1"/>
  <c r="W61" i="153" s="1"/>
  <c r="K61" i="75"/>
  <c r="H61" i="38"/>
  <c r="N61" i="38" s="1"/>
  <c r="H61" i="28"/>
  <c r="CC62" i="67"/>
  <c r="I62" i="156" s="1"/>
  <c r="N61" i="36"/>
  <c r="N61" i="32"/>
  <c r="B7" i="57"/>
  <c r="AC7" i="57"/>
  <c r="G62" i="154" l="1"/>
  <c r="P62" i="154" s="1"/>
  <c r="G62" i="153"/>
  <c r="P62" i="153" s="1"/>
  <c r="U62" i="153" s="1"/>
  <c r="H62" i="28"/>
  <c r="K62" i="75"/>
  <c r="H62" i="38"/>
  <c r="N62" i="38" s="1"/>
  <c r="AE7" i="57"/>
  <c r="CC63" i="67"/>
  <c r="I63" i="156" s="1"/>
  <c r="N62" i="36"/>
  <c r="N62" i="32"/>
  <c r="Q62" i="32" s="1"/>
  <c r="AC8" i="57"/>
  <c r="AE8" i="57" s="1"/>
  <c r="B8" i="57"/>
  <c r="V62" i="153" l="1"/>
  <c r="W62" i="153" s="1"/>
  <c r="G63" i="153"/>
  <c r="P63" i="153" s="1"/>
  <c r="U63" i="153" s="1"/>
  <c r="V63" i="153" s="1"/>
  <c r="W63" i="153" s="1"/>
  <c r="G63" i="154"/>
  <c r="P63" i="154" s="1"/>
  <c r="H63" i="38"/>
  <c r="N63" i="38" s="1"/>
  <c r="H63" i="28"/>
  <c r="K63" i="75"/>
  <c r="CC64" i="67"/>
  <c r="I64" i="156" s="1"/>
  <c r="N63" i="36"/>
  <c r="N63" i="32"/>
  <c r="Q63" i="32" s="1"/>
  <c r="B9" i="57"/>
  <c r="AC9" i="57"/>
  <c r="G64" i="154" l="1"/>
  <c r="P64" i="154" s="1"/>
  <c r="G64" i="153"/>
  <c r="P64" i="153" s="1"/>
  <c r="U64" i="153" s="1"/>
  <c r="H64" i="38"/>
  <c r="N64" i="38" s="1"/>
  <c r="H64" i="28"/>
  <c r="K64" i="75"/>
  <c r="AC10" i="57"/>
  <c r="AE10" i="57" s="1"/>
  <c r="AE9" i="57"/>
  <c r="CC65" i="67"/>
  <c r="I65" i="156" s="1"/>
  <c r="N64" i="36"/>
  <c r="N64" i="32"/>
  <c r="Q64" i="32" s="1"/>
  <c r="AC11" i="57"/>
  <c r="AE11" i="57" s="1"/>
  <c r="B10" i="57"/>
  <c r="V64" i="153" l="1"/>
  <c r="W64" i="153" s="1"/>
  <c r="G65" i="153"/>
  <c r="P65" i="153" s="1"/>
  <c r="U65" i="153" s="1"/>
  <c r="V65" i="153" s="1"/>
  <c r="W65" i="153" s="1"/>
  <c r="G65" i="154"/>
  <c r="P65" i="154" s="1"/>
  <c r="K65" i="75"/>
  <c r="H65" i="28"/>
  <c r="H65" i="38"/>
  <c r="N65" i="38" s="1"/>
  <c r="CC66" i="67"/>
  <c r="I66" i="156" s="1"/>
  <c r="N65" i="32"/>
  <c r="Q65" i="32" s="1"/>
  <c r="N65" i="36"/>
  <c r="B11" i="57"/>
  <c r="B12" i="57" s="1"/>
  <c r="B13" i="57" s="1"/>
  <c r="B14" i="57" s="1"/>
  <c r="AC12" i="57"/>
  <c r="AE12" i="57" s="1"/>
  <c r="G66" i="154" l="1"/>
  <c r="P66" i="154" s="1"/>
  <c r="G66" i="153"/>
  <c r="P66" i="153" s="1"/>
  <c r="U66" i="153" s="1"/>
  <c r="V66" i="153" s="1"/>
  <c r="W66" i="153" s="1"/>
  <c r="K66" i="75"/>
  <c r="H66" i="28"/>
  <c r="H66" i="38"/>
  <c r="N66" i="38" s="1"/>
  <c r="CC67" i="67"/>
  <c r="I67" i="156" s="1"/>
  <c r="N66" i="36"/>
  <c r="N66" i="32"/>
  <c r="Q66" i="32" s="1"/>
  <c r="AC13" i="57"/>
  <c r="N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G67" i="154" l="1"/>
  <c r="P67" i="154" s="1"/>
  <c r="G67" i="153"/>
  <c r="P67" i="153" s="1"/>
  <c r="U67" i="153" s="1"/>
  <c r="V67" i="153" s="1"/>
  <c r="W67" i="153" s="1"/>
  <c r="K67" i="75"/>
  <c r="H67" i="38"/>
  <c r="N67" i="38" s="1"/>
  <c r="H67" i="28"/>
  <c r="AE13" i="57"/>
  <c r="AC14" i="57"/>
  <c r="CC68" i="67"/>
  <c r="I68" i="156" s="1"/>
  <c r="N67" i="36"/>
  <c r="N67" i="32"/>
  <c r="Q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G68" i="154" l="1"/>
  <c r="P68" i="154" s="1"/>
  <c r="G68" i="153"/>
  <c r="P68" i="153" s="1"/>
  <c r="U68" i="153" s="1"/>
  <c r="V68" i="153" s="1"/>
  <c r="W68" i="153" s="1"/>
  <c r="K68" i="75"/>
  <c r="H68" i="38"/>
  <c r="N68" i="38" s="1"/>
  <c r="H68" i="28"/>
  <c r="AE14" i="57"/>
  <c r="CC69" i="67"/>
  <c r="I69" i="156" s="1"/>
  <c r="N68" i="36"/>
  <c r="N68" i="32"/>
  <c r="Q68" i="32" s="1"/>
  <c r="K2" i="34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P3" i="34"/>
  <c r="P4" i="34"/>
  <c r="P5" i="34"/>
  <c r="P6" i="34"/>
  <c r="P7" i="34"/>
  <c r="P8" i="34"/>
  <c r="P9" i="34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N1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N2" i="28"/>
  <c r="N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G69" i="153" l="1"/>
  <c r="P69" i="153" s="1"/>
  <c r="U69" i="153" s="1"/>
  <c r="V69" i="153" s="1"/>
  <c r="W69" i="153" s="1"/>
  <c r="G69" i="154"/>
  <c r="P69" i="154" s="1"/>
  <c r="K69" i="75"/>
  <c r="H69" i="28"/>
  <c r="H69" i="38"/>
  <c r="N69" i="38" s="1"/>
  <c r="AE33" i="57"/>
  <c r="AE34" i="57"/>
  <c r="CC70" i="67"/>
  <c r="I70" i="156" s="1"/>
  <c r="N69" i="36"/>
  <c r="N69" i="32"/>
  <c r="Q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N1" i="30"/>
  <c r="G70" i="153" l="1"/>
  <c r="P70" i="153" s="1"/>
  <c r="U70" i="153" s="1"/>
  <c r="V70" i="153" s="1"/>
  <c r="W70" i="153" s="1"/>
  <c r="K70" i="75"/>
  <c r="G70" i="154"/>
  <c r="P70" i="154" s="1"/>
  <c r="H70" i="38"/>
  <c r="N70" i="38" s="1"/>
  <c r="H70" i="28"/>
  <c r="CC71" i="67"/>
  <c r="I71" i="156" s="1"/>
  <c r="N70" i="36"/>
  <c r="N70" i="32"/>
  <c r="Q70" i="32" s="1"/>
  <c r="J13" i="15"/>
  <c r="I9" i="15"/>
  <c r="O9" i="15"/>
  <c r="C9" i="15"/>
  <c r="G71" i="153" l="1"/>
  <c r="P71" i="153" s="1"/>
  <c r="U71" i="153" s="1"/>
  <c r="V71" i="153" s="1"/>
  <c r="W71" i="153" s="1"/>
  <c r="G71" i="154"/>
  <c r="P71" i="154" s="1"/>
  <c r="H71" i="38"/>
  <c r="N71" i="38" s="1"/>
  <c r="H71" i="28"/>
  <c r="K71" i="75"/>
  <c r="CC72" i="67"/>
  <c r="I72" i="156" s="1"/>
  <c r="N71" i="36"/>
  <c r="N71" i="32"/>
  <c r="Q71" i="32" s="1"/>
  <c r="O68" i="34"/>
  <c r="O67" i="34"/>
  <c r="O66" i="34"/>
  <c r="O65" i="34"/>
  <c r="O64" i="34"/>
  <c r="O63" i="34"/>
  <c r="G72" i="154" l="1"/>
  <c r="P72" i="154" s="1"/>
  <c r="G72" i="153"/>
  <c r="P72" i="153" s="1"/>
  <c r="U72" i="153" s="1"/>
  <c r="V72" i="153" s="1"/>
  <c r="W72" i="153" s="1"/>
  <c r="H72" i="38"/>
  <c r="N72" i="38" s="1"/>
  <c r="K72" i="75"/>
  <c r="H72" i="28"/>
  <c r="CC73" i="67"/>
  <c r="I73" i="156" s="1"/>
  <c r="N72" i="36"/>
  <c r="N72" i="32"/>
  <c r="Q72" i="32" s="1"/>
  <c r="O69" i="34"/>
  <c r="O71" i="34"/>
  <c r="O73" i="34"/>
  <c r="O70" i="34"/>
  <c r="O72" i="34"/>
  <c r="O62" i="34"/>
  <c r="M47" i="32"/>
  <c r="L47" i="28"/>
  <c r="L43" i="28"/>
  <c r="M43" i="32"/>
  <c r="M41" i="32"/>
  <c r="L41" i="28"/>
  <c r="M39" i="32"/>
  <c r="L39" i="28"/>
  <c r="M37" i="32"/>
  <c r="L37" i="28"/>
  <c r="L35" i="28"/>
  <c r="M35" i="32"/>
  <c r="M23" i="32"/>
  <c r="L23" i="28"/>
  <c r="M21" i="32"/>
  <c r="L21" i="28"/>
  <c r="M19" i="32"/>
  <c r="L19" i="28"/>
  <c r="M17" i="32"/>
  <c r="L17" i="28"/>
  <c r="L11" i="28"/>
  <c r="M11" i="32"/>
  <c r="M9" i="32"/>
  <c r="L9" i="28"/>
  <c r="M61" i="32"/>
  <c r="L61" i="28"/>
  <c r="L58" i="32"/>
  <c r="M53" i="32"/>
  <c r="L53" i="28"/>
  <c r="N60" i="28"/>
  <c r="L49" i="32"/>
  <c r="Q49" i="32" s="1"/>
  <c r="L47" i="32"/>
  <c r="L45" i="32"/>
  <c r="L43" i="32"/>
  <c r="L41" i="32"/>
  <c r="L39" i="32"/>
  <c r="L37" i="32"/>
  <c r="L35" i="32"/>
  <c r="L33" i="32"/>
  <c r="L31" i="32"/>
  <c r="L29" i="32"/>
  <c r="L27" i="32"/>
  <c r="L25" i="32"/>
  <c r="L23" i="32"/>
  <c r="L21" i="32"/>
  <c r="L19" i="32"/>
  <c r="L17" i="32"/>
  <c r="Q17" i="32" s="1"/>
  <c r="L15" i="32"/>
  <c r="L13" i="32"/>
  <c r="L11" i="32"/>
  <c r="L9" i="32"/>
  <c r="L7" i="32"/>
  <c r="L5" i="32"/>
  <c r="L3" i="32"/>
  <c r="L1" i="36"/>
  <c r="L1" i="32"/>
  <c r="L61" i="32"/>
  <c r="Q61" i="32" s="1"/>
  <c r="L60" i="28"/>
  <c r="M60" i="32"/>
  <c r="L57" i="32"/>
  <c r="L56" i="28"/>
  <c r="M56" i="32"/>
  <c r="L53" i="32"/>
  <c r="L52" i="28"/>
  <c r="M52" i="32"/>
  <c r="N61" i="28"/>
  <c r="N57" i="28"/>
  <c r="N53" i="28"/>
  <c r="M49" i="32"/>
  <c r="L49" i="28"/>
  <c r="M29" i="32"/>
  <c r="L29" i="28"/>
  <c r="L27" i="28"/>
  <c r="M27" i="32"/>
  <c r="M25" i="32"/>
  <c r="L25" i="28"/>
  <c r="M15" i="32"/>
  <c r="L15" i="28"/>
  <c r="M13" i="32"/>
  <c r="L13" i="28"/>
  <c r="L1" i="38"/>
  <c r="M1" i="36"/>
  <c r="L1" i="28"/>
  <c r="M48" i="32"/>
  <c r="L48" i="28"/>
  <c r="L46" i="28"/>
  <c r="M46" i="32"/>
  <c r="M44" i="32"/>
  <c r="L44" i="28"/>
  <c r="L42" i="28"/>
  <c r="M42" i="32"/>
  <c r="M40" i="32"/>
  <c r="L40" i="28"/>
  <c r="L38" i="28"/>
  <c r="M38" i="32"/>
  <c r="M36" i="32"/>
  <c r="L36" i="28"/>
  <c r="L34" i="28"/>
  <c r="M34" i="32"/>
  <c r="M32" i="32"/>
  <c r="L32" i="28"/>
  <c r="L30" i="28"/>
  <c r="M30" i="32"/>
  <c r="M28" i="32"/>
  <c r="L28" i="28"/>
  <c r="L26" i="28"/>
  <c r="M26" i="32"/>
  <c r="M24" i="32"/>
  <c r="L24" i="28"/>
  <c r="L22" i="28"/>
  <c r="M22" i="32"/>
  <c r="M20" i="32"/>
  <c r="L20" i="28"/>
  <c r="L18" i="28"/>
  <c r="M18" i="32"/>
  <c r="M16" i="32"/>
  <c r="L16" i="28"/>
  <c r="L14" i="28"/>
  <c r="M14" i="32"/>
  <c r="M12" i="32"/>
  <c r="L12" i="28"/>
  <c r="L10" i="28"/>
  <c r="M10" i="32"/>
  <c r="M8" i="32"/>
  <c r="L8" i="28"/>
  <c r="L6" i="28"/>
  <c r="M6" i="32"/>
  <c r="M4" i="32"/>
  <c r="L4" i="28"/>
  <c r="L2" i="28"/>
  <c r="O2" i="28" s="1"/>
  <c r="M2" i="32"/>
  <c r="M1" i="34"/>
  <c r="M1" i="30"/>
  <c r="L60" i="32"/>
  <c r="M59" i="32"/>
  <c r="L59" i="28"/>
  <c r="L56" i="32"/>
  <c r="M55" i="32"/>
  <c r="L55" i="28"/>
  <c r="L52" i="32"/>
  <c r="M51" i="32"/>
  <c r="L51" i="28"/>
  <c r="N58" i="28"/>
  <c r="N54" i="28"/>
  <c r="M45" i="32"/>
  <c r="L45" i="28"/>
  <c r="M33" i="32"/>
  <c r="L33" i="28"/>
  <c r="M31" i="32"/>
  <c r="L31" i="28"/>
  <c r="M7" i="32"/>
  <c r="L7" i="28"/>
  <c r="M5" i="32"/>
  <c r="L5" i="28"/>
  <c r="L3" i="28"/>
  <c r="M3" i="32"/>
  <c r="M57" i="32"/>
  <c r="L57" i="28"/>
  <c r="L54" i="32"/>
  <c r="L50" i="32"/>
  <c r="N56" i="28"/>
  <c r="N52" i="28"/>
  <c r="L48" i="32"/>
  <c r="L46" i="32"/>
  <c r="L44" i="32"/>
  <c r="L42" i="32"/>
  <c r="L40" i="32"/>
  <c r="L38" i="32"/>
  <c r="L36" i="32"/>
  <c r="L34" i="32"/>
  <c r="Q34" i="32" s="1"/>
  <c r="L32" i="32"/>
  <c r="Q32" i="32" s="1"/>
  <c r="L30" i="32"/>
  <c r="L28" i="32"/>
  <c r="Q28" i="32" s="1"/>
  <c r="L26" i="32"/>
  <c r="Q26" i="32" s="1"/>
  <c r="L24" i="32"/>
  <c r="L22" i="32"/>
  <c r="L20" i="32"/>
  <c r="L18" i="32"/>
  <c r="L16" i="32"/>
  <c r="L14" i="32"/>
  <c r="L12" i="32"/>
  <c r="L10" i="32"/>
  <c r="L8" i="32"/>
  <c r="L6" i="32"/>
  <c r="L4" i="32"/>
  <c r="L2" i="32"/>
  <c r="Q2" i="32" s="1"/>
  <c r="K1" i="38"/>
  <c r="L1" i="34"/>
  <c r="K1" i="28"/>
  <c r="L1" i="30"/>
  <c r="L59" i="32"/>
  <c r="L58" i="28"/>
  <c r="M58" i="32"/>
  <c r="L55" i="32"/>
  <c r="L54" i="28"/>
  <c r="M54" i="32"/>
  <c r="L51" i="32"/>
  <c r="L50" i="28"/>
  <c r="M50" i="32"/>
  <c r="N50" i="28"/>
  <c r="N59" i="28"/>
  <c r="N55" i="28"/>
  <c r="N51" i="28"/>
  <c r="O58" i="34"/>
  <c r="O50" i="34"/>
  <c r="O61" i="34"/>
  <c r="O57" i="34"/>
  <c r="O53" i="34"/>
  <c r="O54" i="34"/>
  <c r="O60" i="34"/>
  <c r="O56" i="34"/>
  <c r="O52" i="34"/>
  <c r="O59" i="34"/>
  <c r="O55" i="34"/>
  <c r="O51" i="34"/>
  <c r="Q22" i="32" l="1"/>
  <c r="Q52" i="32"/>
  <c r="Q33" i="32"/>
  <c r="Q50" i="32"/>
  <c r="Q47" i="32"/>
  <c r="Q59" i="32"/>
  <c r="Q53" i="32"/>
  <c r="Q19" i="32"/>
  <c r="Q30" i="32"/>
  <c r="Q54" i="32"/>
  <c r="Q15" i="32"/>
  <c r="Q24" i="32"/>
  <c r="Q23" i="32"/>
  <c r="Q58" i="32"/>
  <c r="Q27" i="32"/>
  <c r="Q29" i="32"/>
  <c r="Q31" i="32"/>
  <c r="Q21" i="32"/>
  <c r="Q57" i="32"/>
  <c r="Q4" i="32"/>
  <c r="Q6" i="32"/>
  <c r="Q25" i="32"/>
  <c r="Q42" i="32"/>
  <c r="Q3" i="32"/>
  <c r="Q44" i="32"/>
  <c r="Q5" i="32"/>
  <c r="Q14" i="32"/>
  <c r="Q9" i="32"/>
  <c r="Q41" i="32"/>
  <c r="Q56" i="32"/>
  <c r="Q8" i="32"/>
  <c r="Q35" i="32"/>
  <c r="Q12" i="32"/>
  <c r="Q37" i="32"/>
  <c r="Q46" i="32"/>
  <c r="Q39" i="32"/>
  <c r="Q16" i="32"/>
  <c r="Q55" i="32"/>
  <c r="Q18" i="32"/>
  <c r="Q11" i="32"/>
  <c r="Q43" i="32"/>
  <c r="Q36" i="32"/>
  <c r="Q38" i="32"/>
  <c r="Q40" i="32"/>
  <c r="Q10" i="32"/>
  <c r="Q60" i="32"/>
  <c r="Q51" i="32"/>
  <c r="Q7" i="32"/>
  <c r="Q48" i="32"/>
  <c r="Q20" i="32"/>
  <c r="Q13" i="32"/>
  <c r="Q45" i="32"/>
  <c r="G73" i="153"/>
  <c r="P73" i="153" s="1"/>
  <c r="U73" i="153" s="1"/>
  <c r="V73" i="153" s="1"/>
  <c r="W73" i="153" s="1"/>
  <c r="G73" i="154"/>
  <c r="P73" i="154" s="1"/>
  <c r="K73" i="75"/>
  <c r="H73" i="28"/>
  <c r="N73" i="28" s="1"/>
  <c r="O73" i="28" s="1"/>
  <c r="H73" i="38"/>
  <c r="N73" i="38" s="1"/>
  <c r="CC74" i="67"/>
  <c r="I74" i="156" s="1"/>
  <c r="N73" i="36"/>
  <c r="N73" i="32"/>
  <c r="Q73" i="32" s="1"/>
  <c r="N69" i="28"/>
  <c r="O69" i="28" s="1"/>
  <c r="N71" i="28"/>
  <c r="O71" i="28" s="1"/>
  <c r="N68" i="28"/>
  <c r="O68" i="28" s="1"/>
  <c r="N65" i="28"/>
  <c r="O65" i="28" s="1"/>
  <c r="N67" i="28"/>
  <c r="O67" i="28" s="1"/>
  <c r="N63" i="28"/>
  <c r="O63" i="28" s="1"/>
  <c r="N62" i="28"/>
  <c r="O62" i="28" s="1"/>
  <c r="N70" i="28"/>
  <c r="O70" i="28" s="1"/>
  <c r="N72" i="28"/>
  <c r="O72" i="28" s="1"/>
  <c r="N64" i="28"/>
  <c r="O64" i="28" s="1"/>
  <c r="N66" i="28"/>
  <c r="O66" i="28" s="1"/>
  <c r="O18" i="28"/>
  <c r="O52" i="28"/>
  <c r="O33" i="28"/>
  <c r="O15" i="28"/>
  <c r="O37" i="28"/>
  <c r="O47" i="28"/>
  <c r="O57" i="28"/>
  <c r="O60" i="28"/>
  <c r="O40" i="28"/>
  <c r="O41" i="28"/>
  <c r="O22" i="28"/>
  <c r="O11" i="28"/>
  <c r="O46" i="28"/>
  <c r="O49" i="28"/>
  <c r="O45" i="28"/>
  <c r="O39" i="28"/>
  <c r="O51" i="28"/>
  <c r="O56" i="28"/>
  <c r="O9" i="28"/>
  <c r="O12" i="28"/>
  <c r="O80" i="34"/>
  <c r="O75" i="34"/>
  <c r="O82" i="34"/>
  <c r="O85" i="34"/>
  <c r="O81" i="34"/>
  <c r="O78" i="34"/>
  <c r="O76" i="34"/>
  <c r="O83" i="34"/>
  <c r="O77" i="34"/>
  <c r="O74" i="34"/>
  <c r="P56" i="34"/>
  <c r="P51" i="34"/>
  <c r="P54" i="34"/>
  <c r="P57" i="34"/>
  <c r="P59" i="34"/>
  <c r="P55" i="34"/>
  <c r="P50" i="34"/>
  <c r="P52" i="34"/>
  <c r="P58" i="34"/>
  <c r="P53" i="34"/>
  <c r="P61" i="34"/>
  <c r="P60" i="34"/>
  <c r="G74" i="154" l="1"/>
  <c r="P74" i="154" s="1"/>
  <c r="G74" i="153"/>
  <c r="P74" i="153" s="1"/>
  <c r="U74" i="153" s="1"/>
  <c r="K74" i="75"/>
  <c r="H74" i="28"/>
  <c r="N74" i="28" s="1"/>
  <c r="O74" i="28" s="1"/>
  <c r="H74" i="38"/>
  <c r="N74" i="38" s="1"/>
  <c r="CC75" i="67"/>
  <c r="I75" i="156" s="1"/>
  <c r="N74" i="36"/>
  <c r="N74" i="32"/>
  <c r="Q74" i="32" s="1"/>
  <c r="O36" i="28"/>
  <c r="O54" i="28"/>
  <c r="O38" i="28"/>
  <c r="O16" i="28"/>
  <c r="O21" i="28"/>
  <c r="O23" i="28"/>
  <c r="O19" i="28"/>
  <c r="O26" i="28"/>
  <c r="O31" i="28"/>
  <c r="O6" i="28"/>
  <c r="O35" i="28"/>
  <c r="O7" i="28"/>
  <c r="O59" i="28"/>
  <c r="O20" i="28"/>
  <c r="O3" i="28"/>
  <c r="O8" i="28"/>
  <c r="O14" i="28"/>
  <c r="O29" i="28"/>
  <c r="O55" i="28"/>
  <c r="O10" i="28"/>
  <c r="O25" i="28"/>
  <c r="O17" i="28"/>
  <c r="O58" i="28"/>
  <c r="O61" i="28"/>
  <c r="O34" i="28"/>
  <c r="O24" i="28"/>
  <c r="O53" i="28"/>
  <c r="O44" i="28"/>
  <c r="O43" i="28"/>
  <c r="O4" i="28"/>
  <c r="O50" i="28"/>
  <c r="O32" i="28"/>
  <c r="O48" i="28"/>
  <c r="O5" i="28"/>
  <c r="O42" i="28"/>
  <c r="O27" i="28"/>
  <c r="O13" i="28"/>
  <c r="O28" i="28"/>
  <c r="O30" i="28"/>
  <c r="O84" i="34"/>
  <c r="O79" i="34"/>
  <c r="P73" i="34"/>
  <c r="P70" i="34"/>
  <c r="P64" i="34"/>
  <c r="P66" i="34"/>
  <c r="P63" i="34"/>
  <c r="P62" i="34"/>
  <c r="P72" i="34"/>
  <c r="P65" i="34"/>
  <c r="P69" i="34"/>
  <c r="P67" i="34"/>
  <c r="P71" i="34"/>
  <c r="P68" i="34"/>
  <c r="G75" i="154" l="1"/>
  <c r="P75" i="154" s="1"/>
  <c r="G75" i="153"/>
  <c r="P75" i="153" s="1"/>
  <c r="U75" i="153" s="1"/>
  <c r="K75" i="75"/>
  <c r="H75" i="38"/>
  <c r="N75" i="38" s="1"/>
  <c r="H75" i="28"/>
  <c r="N75" i="28" s="1"/>
  <c r="O75" i="28" s="1"/>
  <c r="CC76" i="67"/>
  <c r="I76" i="156" s="1"/>
  <c r="N75" i="36"/>
  <c r="N75" i="32"/>
  <c r="Q75" i="32" s="1"/>
  <c r="P77" i="34"/>
  <c r="P84" i="34"/>
  <c r="P74" i="34"/>
  <c r="P75" i="34"/>
  <c r="P78" i="34"/>
  <c r="P76" i="34"/>
  <c r="P80" i="34"/>
  <c r="P79" i="34"/>
  <c r="P83" i="34"/>
  <c r="P82" i="34"/>
  <c r="P81" i="34"/>
  <c r="P85" i="34"/>
  <c r="AB33" i="4"/>
  <c r="AA33" i="4"/>
  <c r="DI33" i="4"/>
  <c r="DH33" i="4"/>
  <c r="CU33" i="4"/>
  <c r="CT33" i="4"/>
  <c r="G76" i="154" l="1"/>
  <c r="P76" i="154" s="1"/>
  <c r="G76" i="153"/>
  <c r="P76" i="153" s="1"/>
  <c r="U76" i="153" s="1"/>
  <c r="K76" i="75"/>
  <c r="H76" i="38"/>
  <c r="N76" i="38" s="1"/>
  <c r="H76" i="28"/>
  <c r="N76" i="28" s="1"/>
  <c r="O76" i="28" s="1"/>
  <c r="CC77" i="67"/>
  <c r="I77" i="156" s="1"/>
  <c r="N76" i="36"/>
  <c r="N76" i="32"/>
  <c r="Q76" i="32" s="1"/>
  <c r="P86" i="34"/>
  <c r="P88" i="34"/>
  <c r="P95" i="34"/>
  <c r="P90" i="34"/>
  <c r="P91" i="34"/>
  <c r="P94" i="34"/>
  <c r="P97" i="34"/>
  <c r="P92" i="34"/>
  <c r="P89" i="34"/>
  <c r="P93" i="34"/>
  <c r="P87" i="34"/>
  <c r="AQ42" i="4"/>
  <c r="BE41" i="4"/>
  <c r="E9" i="155" s="1"/>
  <c r="L9" i="155" s="1"/>
  <c r="P9" i="155" s="1"/>
  <c r="BE42" i="4"/>
  <c r="E10" i="155" s="1"/>
  <c r="L10" i="155" s="1"/>
  <c r="P10" i="155" s="1"/>
  <c r="BE39" i="4"/>
  <c r="E7" i="155" s="1"/>
  <c r="L7" i="155" s="1"/>
  <c r="P7" i="155" s="1"/>
  <c r="BE43" i="4"/>
  <c r="E11" i="155" s="1"/>
  <c r="L11" i="155" s="1"/>
  <c r="P11" i="155" s="1"/>
  <c r="BE38" i="4"/>
  <c r="E6" i="155" s="1"/>
  <c r="L6" i="155" s="1"/>
  <c r="P6" i="155" s="1"/>
  <c r="BE37" i="4"/>
  <c r="E5" i="155" s="1"/>
  <c r="L5" i="155" s="1"/>
  <c r="P5" i="155" s="1"/>
  <c r="BE36" i="4"/>
  <c r="E4" i="155" s="1"/>
  <c r="L4" i="155" s="1"/>
  <c r="P4" i="155" s="1"/>
  <c r="BE45" i="4"/>
  <c r="E13" i="155" s="1"/>
  <c r="L13" i="155" s="1"/>
  <c r="P13" i="155" s="1"/>
  <c r="BE40" i="4"/>
  <c r="E8" i="155" s="1"/>
  <c r="L8" i="155" s="1"/>
  <c r="P8" i="155" s="1"/>
  <c r="BE35" i="4"/>
  <c r="E3" i="155" s="1"/>
  <c r="L3" i="155" s="1"/>
  <c r="P3" i="155" s="1"/>
  <c r="BE44" i="4"/>
  <c r="E12" i="155" s="1"/>
  <c r="L12" i="155" s="1"/>
  <c r="P12" i="155" s="1"/>
  <c r="CW15" i="4"/>
  <c r="CV15" i="4"/>
  <c r="CR15" i="4"/>
  <c r="CZ15" i="4"/>
  <c r="CU15" i="4"/>
  <c r="CP15" i="4"/>
  <c r="CY15" i="4"/>
  <c r="CT15" i="4"/>
  <c r="CS15" i="4"/>
  <c r="CQ15" i="4"/>
  <c r="CX15" i="4"/>
  <c r="CF15" i="4"/>
  <c r="CD15" i="4"/>
  <c r="CC15" i="4"/>
  <c r="CJ15" i="4"/>
  <c r="CB15" i="4"/>
  <c r="CA15" i="4"/>
  <c r="CF34" i="4" s="1"/>
  <c r="CL15" i="4"/>
  <c r="CI15" i="4"/>
  <c r="CK15" i="4"/>
  <c r="CH15" i="4"/>
  <c r="CE15" i="4"/>
  <c r="CG15" i="4"/>
  <c r="E8" i="152" l="1"/>
  <c r="E5" i="152"/>
  <c r="E7" i="152"/>
  <c r="E12" i="152"/>
  <c r="E3" i="152"/>
  <c r="E13" i="152"/>
  <c r="E4" i="152"/>
  <c r="E6" i="152"/>
  <c r="E11" i="152"/>
  <c r="E10" i="152"/>
  <c r="E9" i="152"/>
  <c r="G77" i="154"/>
  <c r="P77" i="154" s="1"/>
  <c r="G77" i="153"/>
  <c r="P77" i="153" s="1"/>
  <c r="U77" i="153" s="1"/>
  <c r="K77" i="75"/>
  <c r="H77" i="38"/>
  <c r="N77" i="38" s="1"/>
  <c r="H77" i="28"/>
  <c r="N77" i="28" s="1"/>
  <c r="O77" i="28" s="1"/>
  <c r="CC78" i="67"/>
  <c r="I78" i="156" s="1"/>
  <c r="N77" i="36"/>
  <c r="N77" i="32"/>
  <c r="Q77" i="32" s="1"/>
  <c r="AW27" i="4"/>
  <c r="P99" i="34"/>
  <c r="P105" i="34"/>
  <c r="P107" i="34"/>
  <c r="P104" i="34"/>
  <c r="P103" i="34"/>
  <c r="P108" i="34"/>
  <c r="P100" i="34"/>
  <c r="P106" i="34"/>
  <c r="P98" i="34"/>
  <c r="P102" i="34"/>
  <c r="P101" i="34"/>
  <c r="DH42" i="4"/>
  <c r="E10" i="156" s="1"/>
  <c r="DH41" i="4"/>
  <c r="E9" i="156" s="1"/>
  <c r="DI45" i="4"/>
  <c r="DH39" i="4"/>
  <c r="E7" i="156" s="1"/>
  <c r="DI41" i="4"/>
  <c r="DH44" i="4"/>
  <c r="E12" i="156" s="1"/>
  <c r="DI36" i="4"/>
  <c r="DI37" i="4"/>
  <c r="DI38" i="4"/>
  <c r="DI39" i="4"/>
  <c r="DI40" i="4"/>
  <c r="DI44" i="4"/>
  <c r="DH45" i="4"/>
  <c r="E13" i="156" s="1"/>
  <c r="DH35" i="4"/>
  <c r="E3" i="156" s="1"/>
  <c r="DH37" i="4"/>
  <c r="E5" i="156" s="1"/>
  <c r="DI35" i="4"/>
  <c r="DI42" i="4"/>
  <c r="DI43" i="4"/>
  <c r="DH38" i="4"/>
  <c r="E6" i="156" s="1"/>
  <c r="DH43" i="4"/>
  <c r="E11" i="156" s="1"/>
  <c r="DH40" i="4"/>
  <c r="E8" i="156" s="1"/>
  <c r="DH36" i="4"/>
  <c r="E4" i="156" s="1"/>
  <c r="DI34" i="4"/>
  <c r="DH34" i="4"/>
  <c r="E2" i="156" s="1"/>
  <c r="CU41" i="4"/>
  <c r="CU42" i="4"/>
  <c r="CU44" i="4"/>
  <c r="CU40" i="4"/>
  <c r="CU45" i="4"/>
  <c r="CU35" i="4"/>
  <c r="CU37" i="4"/>
  <c r="CU39" i="4"/>
  <c r="CU36" i="4"/>
  <c r="CU43" i="4"/>
  <c r="CU38" i="4"/>
  <c r="CU34" i="4"/>
  <c r="F2" i="75" s="1"/>
  <c r="CT44" i="4"/>
  <c r="CT35" i="4"/>
  <c r="CT39" i="4"/>
  <c r="CT37" i="4"/>
  <c r="CT41" i="4"/>
  <c r="CT42" i="4"/>
  <c r="CT36" i="4"/>
  <c r="CT40" i="4"/>
  <c r="CT43" i="4"/>
  <c r="CT38" i="4"/>
  <c r="CT45" i="4"/>
  <c r="CG37" i="4"/>
  <c r="F5" i="77" s="1"/>
  <c r="CG41" i="4"/>
  <c r="F9" i="77" s="1"/>
  <c r="CG38" i="4"/>
  <c r="F6" i="77" s="1"/>
  <c r="CG40" i="4"/>
  <c r="F8" i="77" s="1"/>
  <c r="CG35" i="4"/>
  <c r="F3" i="77" s="1"/>
  <c r="CG42" i="4"/>
  <c r="F10" i="77" s="1"/>
  <c r="CG36" i="4"/>
  <c r="F4" i="77" s="1"/>
  <c r="CG39" i="4"/>
  <c r="F7" i="77" s="1"/>
  <c r="CG43" i="4"/>
  <c r="F11" i="77" s="1"/>
  <c r="CG44" i="4"/>
  <c r="F12" i="77" s="1"/>
  <c r="CG45" i="4"/>
  <c r="F13" i="77" s="1"/>
  <c r="CG34" i="4"/>
  <c r="F2" i="77" s="1"/>
  <c r="CF40" i="4"/>
  <c r="CF38" i="4"/>
  <c r="CF41" i="4"/>
  <c r="CF43" i="4"/>
  <c r="CF36" i="4"/>
  <c r="CF37" i="4"/>
  <c r="CF39" i="4"/>
  <c r="CF44" i="4"/>
  <c r="CF42" i="4"/>
  <c r="CF45" i="4"/>
  <c r="CF35" i="4"/>
  <c r="BS44" i="4"/>
  <c r="F12" i="156" s="1"/>
  <c r="BR42" i="4"/>
  <c r="BS36" i="4"/>
  <c r="BS43" i="4"/>
  <c r="F11" i="156" s="1"/>
  <c r="BR36" i="4"/>
  <c r="BR35" i="4"/>
  <c r="BR41" i="4"/>
  <c r="BS39" i="4"/>
  <c r="F7" i="156" s="1"/>
  <c r="BR38" i="4"/>
  <c r="BS35" i="4"/>
  <c r="BR37" i="4"/>
  <c r="BS37" i="4"/>
  <c r="F5" i="156" s="1"/>
  <c r="BS41" i="4"/>
  <c r="F9" i="156" s="1"/>
  <c r="BS40" i="4"/>
  <c r="F8" i="156" s="1"/>
  <c r="BR40" i="4"/>
  <c r="BS45" i="4"/>
  <c r="F13" i="156" s="1"/>
  <c r="BS38" i="4"/>
  <c r="F6" i="156" s="1"/>
  <c r="BR44" i="4"/>
  <c r="BR43" i="4"/>
  <c r="BR39" i="4"/>
  <c r="BR45" i="4"/>
  <c r="BS42" i="4"/>
  <c r="F10" i="156" s="1"/>
  <c r="BS34" i="4"/>
  <c r="BR34" i="4"/>
  <c r="BD37" i="4"/>
  <c r="E17" i="155" s="1"/>
  <c r="L17" i="155" s="1"/>
  <c r="P17" i="155" s="1"/>
  <c r="BD40" i="4"/>
  <c r="E20" i="155" s="1"/>
  <c r="L20" i="155" s="1"/>
  <c r="P20" i="155" s="1"/>
  <c r="BD41" i="4"/>
  <c r="E21" i="155" s="1"/>
  <c r="L21" i="155" s="1"/>
  <c r="P21" i="155" s="1"/>
  <c r="BD39" i="4"/>
  <c r="E19" i="155" s="1"/>
  <c r="L19" i="155" s="1"/>
  <c r="P19" i="155" s="1"/>
  <c r="BD45" i="4"/>
  <c r="E25" i="155" s="1"/>
  <c r="L25" i="155" s="1"/>
  <c r="P25" i="155" s="1"/>
  <c r="BD38" i="4"/>
  <c r="E18" i="155" s="1"/>
  <c r="L18" i="155" s="1"/>
  <c r="P18" i="155" s="1"/>
  <c r="BD42" i="4"/>
  <c r="E22" i="155" s="1"/>
  <c r="L22" i="155" s="1"/>
  <c r="P22" i="155" s="1"/>
  <c r="BD35" i="4"/>
  <c r="E15" i="155" s="1"/>
  <c r="L15" i="155" s="1"/>
  <c r="P15" i="155" s="1"/>
  <c r="BD44" i="4"/>
  <c r="E24" i="155" s="1"/>
  <c r="L24" i="155" s="1"/>
  <c r="P24" i="155" s="1"/>
  <c r="BD36" i="4"/>
  <c r="E16" i="155" s="1"/>
  <c r="L16" i="155" s="1"/>
  <c r="P16" i="155" s="1"/>
  <c r="BD43" i="4"/>
  <c r="E23" i="155" s="1"/>
  <c r="L23" i="155" s="1"/>
  <c r="P23" i="155" s="1"/>
  <c r="BE34" i="4"/>
  <c r="E2" i="155" s="1"/>
  <c r="L2" i="155" s="1"/>
  <c r="P2" i="155" s="1"/>
  <c r="AP47" i="17" s="1"/>
  <c r="BD34" i="4"/>
  <c r="AQ38" i="4"/>
  <c r="AQ41" i="4"/>
  <c r="AQ45" i="4"/>
  <c r="AQ36" i="4"/>
  <c r="AP35" i="4"/>
  <c r="AP42" i="4"/>
  <c r="AQ39" i="4"/>
  <c r="AQ35" i="4"/>
  <c r="AP37" i="4"/>
  <c r="AQ40" i="4"/>
  <c r="AP40" i="4"/>
  <c r="AP43" i="4"/>
  <c r="AQ37" i="4"/>
  <c r="AP41" i="4"/>
  <c r="AP39" i="4"/>
  <c r="AP38" i="4"/>
  <c r="AP44" i="4"/>
  <c r="AQ43" i="4"/>
  <c r="AP36" i="4"/>
  <c r="AP45" i="4"/>
  <c r="AQ44" i="4"/>
  <c r="AB45" i="4"/>
  <c r="AB42" i="4"/>
  <c r="AB36" i="4"/>
  <c r="AB41" i="4"/>
  <c r="AB44" i="4"/>
  <c r="AB35" i="4"/>
  <c r="AB39" i="4"/>
  <c r="AB43" i="4"/>
  <c r="AB37" i="4"/>
  <c r="AB38" i="4"/>
  <c r="AB40" i="4"/>
  <c r="AB34" i="4"/>
  <c r="AP48" i="17" l="1"/>
  <c r="E17" i="156"/>
  <c r="P5" i="156"/>
  <c r="F23" i="156"/>
  <c r="Q11" i="156"/>
  <c r="F19" i="156"/>
  <c r="Q7" i="156"/>
  <c r="E15" i="156"/>
  <c r="P3" i="156"/>
  <c r="E25" i="156"/>
  <c r="P13" i="156"/>
  <c r="F22" i="156"/>
  <c r="Q10" i="156"/>
  <c r="F18" i="156"/>
  <c r="Q6" i="156"/>
  <c r="F24" i="156"/>
  <c r="Q12" i="156"/>
  <c r="E24" i="156"/>
  <c r="P12" i="156"/>
  <c r="E20" i="156"/>
  <c r="P8" i="156"/>
  <c r="E19" i="156"/>
  <c r="P7" i="156"/>
  <c r="F25" i="156"/>
  <c r="Q13" i="156"/>
  <c r="F21" i="156"/>
  <c r="Q9" i="156"/>
  <c r="E18" i="156"/>
  <c r="P6" i="156"/>
  <c r="F17" i="156"/>
  <c r="Q5" i="156"/>
  <c r="E21" i="156"/>
  <c r="P9" i="156"/>
  <c r="E16" i="156"/>
  <c r="P4" i="156"/>
  <c r="F20" i="156"/>
  <c r="Q8" i="156"/>
  <c r="E23" i="156"/>
  <c r="P11" i="156"/>
  <c r="E22" i="156"/>
  <c r="P10" i="156"/>
  <c r="E14" i="156"/>
  <c r="P2" i="156"/>
  <c r="F4" i="156"/>
  <c r="F3" i="156"/>
  <c r="F2" i="156"/>
  <c r="E3" i="77"/>
  <c r="E29" i="155"/>
  <c r="L29" i="155" s="1"/>
  <c r="P29" i="155" s="1"/>
  <c r="E35" i="155"/>
  <c r="E28" i="155"/>
  <c r="L28" i="155" s="1"/>
  <c r="P28" i="155" s="1"/>
  <c r="E27" i="155"/>
  <c r="L27" i="155" s="1"/>
  <c r="P27" i="155" s="1"/>
  <c r="E36" i="155"/>
  <c r="E32" i="155"/>
  <c r="E30" i="155"/>
  <c r="L30" i="155" s="1"/>
  <c r="P30" i="155" s="1"/>
  <c r="E34" i="155"/>
  <c r="E37" i="155"/>
  <c r="E31" i="155"/>
  <c r="E33" i="155"/>
  <c r="E2" i="76"/>
  <c r="E26" i="155"/>
  <c r="E7" i="154"/>
  <c r="N7" i="154" s="1"/>
  <c r="E9" i="154"/>
  <c r="N9" i="154" s="1"/>
  <c r="E10" i="154"/>
  <c r="N10" i="154" s="1"/>
  <c r="E5" i="154"/>
  <c r="N5" i="154" s="1"/>
  <c r="E3" i="154"/>
  <c r="N3" i="154" s="1"/>
  <c r="E6" i="154"/>
  <c r="N6" i="154" s="1"/>
  <c r="E13" i="154"/>
  <c r="N13" i="154" s="1"/>
  <c r="E8" i="154"/>
  <c r="N8" i="154" s="1"/>
  <c r="E2" i="152"/>
  <c r="K2" i="152" s="1"/>
  <c r="E2" i="154"/>
  <c r="N2" i="154" s="1"/>
  <c r="E11" i="154"/>
  <c r="N11" i="154" s="1"/>
  <c r="E4" i="154"/>
  <c r="N4" i="154" s="1"/>
  <c r="E12" i="154"/>
  <c r="N12" i="154" s="1"/>
  <c r="E13" i="36"/>
  <c r="E13" i="77"/>
  <c r="E4" i="36"/>
  <c r="E4" i="77"/>
  <c r="E12" i="36"/>
  <c r="E12" i="77"/>
  <c r="E6" i="36"/>
  <c r="E6" i="77"/>
  <c r="E7" i="36"/>
  <c r="E7" i="77"/>
  <c r="E9" i="36"/>
  <c r="E9" i="77"/>
  <c r="E11" i="36"/>
  <c r="E11" i="77"/>
  <c r="E8" i="36"/>
  <c r="E8" i="77"/>
  <c r="E5" i="36"/>
  <c r="E5" i="77"/>
  <c r="E10" i="36"/>
  <c r="E10" i="77"/>
  <c r="E3" i="36"/>
  <c r="F11" i="154"/>
  <c r="F23" i="154" s="1"/>
  <c r="O23" i="154" s="1"/>
  <c r="F4" i="154"/>
  <c r="O4" i="154" s="1"/>
  <c r="F12" i="154"/>
  <c r="O12" i="154" s="1"/>
  <c r="F6" i="154"/>
  <c r="O6" i="154" s="1"/>
  <c r="F8" i="154"/>
  <c r="F20" i="154" s="1"/>
  <c r="O20" i="154" s="1"/>
  <c r="F9" i="154"/>
  <c r="F21" i="154" s="1"/>
  <c r="O21" i="154" s="1"/>
  <c r="F5" i="154"/>
  <c r="F17" i="154" s="1"/>
  <c r="O17" i="154" s="1"/>
  <c r="F7" i="154"/>
  <c r="O7" i="154" s="1"/>
  <c r="F3" i="154"/>
  <c r="O3" i="154" s="1"/>
  <c r="F10" i="154"/>
  <c r="O10" i="154" s="1"/>
  <c r="F13" i="154"/>
  <c r="F25" i="154" s="1"/>
  <c r="O25" i="154" s="1"/>
  <c r="F2" i="154"/>
  <c r="F14" i="154" s="1"/>
  <c r="O14" i="154" s="1"/>
  <c r="O2" i="77"/>
  <c r="E4" i="34"/>
  <c r="E4" i="76"/>
  <c r="E3" i="34"/>
  <c r="E3" i="76"/>
  <c r="E10" i="34"/>
  <c r="E10" i="76"/>
  <c r="E11" i="34"/>
  <c r="E11" i="76"/>
  <c r="E12" i="34"/>
  <c r="E12" i="76"/>
  <c r="E6" i="34"/>
  <c r="E6" i="76"/>
  <c r="E13" i="34"/>
  <c r="E13" i="76"/>
  <c r="E9" i="34"/>
  <c r="E9" i="76"/>
  <c r="E7" i="34"/>
  <c r="E7" i="76"/>
  <c r="E5" i="34"/>
  <c r="E5" i="76"/>
  <c r="E8" i="34"/>
  <c r="E8" i="76"/>
  <c r="E2" i="34"/>
  <c r="G78" i="154"/>
  <c r="P78" i="154" s="1"/>
  <c r="G78" i="153"/>
  <c r="P78" i="153" s="1"/>
  <c r="U78" i="153" s="1"/>
  <c r="H78" i="28"/>
  <c r="N78" i="28" s="1"/>
  <c r="O78" i="28" s="1"/>
  <c r="K78" i="75"/>
  <c r="H78" i="38"/>
  <c r="N78" i="38" s="1"/>
  <c r="K13" i="152"/>
  <c r="K6" i="152"/>
  <c r="K11" i="152"/>
  <c r="K8" i="152"/>
  <c r="K4" i="152"/>
  <c r="K10" i="152"/>
  <c r="K9" i="152"/>
  <c r="K5" i="152"/>
  <c r="K7" i="152"/>
  <c r="K3" i="152"/>
  <c r="K12" i="152"/>
  <c r="F2" i="36"/>
  <c r="M2" i="36" s="1"/>
  <c r="L2" i="152"/>
  <c r="F13" i="36"/>
  <c r="L13" i="152"/>
  <c r="F12" i="36"/>
  <c r="L12" i="152"/>
  <c r="F11" i="36"/>
  <c r="L11" i="152"/>
  <c r="F7" i="36"/>
  <c r="L7" i="152"/>
  <c r="F4" i="36"/>
  <c r="L4" i="152"/>
  <c r="F10" i="36"/>
  <c r="L10" i="152"/>
  <c r="F3" i="36"/>
  <c r="L3" i="152"/>
  <c r="F8" i="36"/>
  <c r="L8" i="152"/>
  <c r="F6" i="36"/>
  <c r="L6" i="152"/>
  <c r="F9" i="36"/>
  <c r="L9" i="152"/>
  <c r="F5" i="36"/>
  <c r="L5" i="152"/>
  <c r="E23" i="152"/>
  <c r="K23" i="152" s="1"/>
  <c r="E20" i="152"/>
  <c r="K20" i="152" s="1"/>
  <c r="E24" i="152"/>
  <c r="K24" i="152" s="1"/>
  <c r="E13" i="38"/>
  <c r="K13" i="38" s="1"/>
  <c r="E13" i="75"/>
  <c r="E7" i="38"/>
  <c r="K7" i="38" s="1"/>
  <c r="E7" i="75"/>
  <c r="E11" i="38"/>
  <c r="K11" i="38" s="1"/>
  <c r="E11" i="75"/>
  <c r="E12" i="38"/>
  <c r="K12" i="38" s="1"/>
  <c r="E12" i="75"/>
  <c r="E8" i="38"/>
  <c r="K8" i="38" s="1"/>
  <c r="E8" i="75"/>
  <c r="E5" i="38"/>
  <c r="K5" i="38" s="1"/>
  <c r="E5" i="75"/>
  <c r="E6" i="38"/>
  <c r="K6" i="38" s="1"/>
  <c r="E6" i="75"/>
  <c r="E9" i="38"/>
  <c r="K9" i="38" s="1"/>
  <c r="E9" i="75"/>
  <c r="E3" i="38"/>
  <c r="K3" i="38" s="1"/>
  <c r="E3" i="75"/>
  <c r="E4" i="38"/>
  <c r="K4" i="38" s="1"/>
  <c r="E4" i="75"/>
  <c r="E10" i="38"/>
  <c r="K10" i="38" s="1"/>
  <c r="E10" i="75"/>
  <c r="F6" i="38"/>
  <c r="L6" i="38" s="1"/>
  <c r="F6" i="75"/>
  <c r="F11" i="38"/>
  <c r="F23" i="38" s="1"/>
  <c r="F11" i="75"/>
  <c r="F4" i="38"/>
  <c r="L4" i="38" s="1"/>
  <c r="F4" i="75"/>
  <c r="F7" i="38"/>
  <c r="L7" i="38" s="1"/>
  <c r="F7" i="75"/>
  <c r="F5" i="38"/>
  <c r="L5" i="38" s="1"/>
  <c r="F5" i="75"/>
  <c r="F3" i="38"/>
  <c r="L3" i="38" s="1"/>
  <c r="F3" i="75"/>
  <c r="F13" i="38"/>
  <c r="F25" i="38" s="1"/>
  <c r="F13" i="75"/>
  <c r="F8" i="38"/>
  <c r="L8" i="38" s="1"/>
  <c r="F8" i="75"/>
  <c r="F12" i="38"/>
  <c r="L12" i="38" s="1"/>
  <c r="F12" i="75"/>
  <c r="F10" i="38"/>
  <c r="L10" i="38" s="1"/>
  <c r="F10" i="75"/>
  <c r="F9" i="38"/>
  <c r="L9" i="38" s="1"/>
  <c r="F9" i="75"/>
  <c r="E2" i="38"/>
  <c r="K2" i="38" s="1"/>
  <c r="E2" i="75"/>
  <c r="N2" i="75" s="1"/>
  <c r="F2" i="38"/>
  <c r="F14" i="38" s="1"/>
  <c r="L14" i="38" s="1"/>
  <c r="CC79" i="67"/>
  <c r="I79" i="156" s="1"/>
  <c r="N78" i="36"/>
  <c r="N78" i="32"/>
  <c r="Q78" i="32" s="1"/>
  <c r="F8" i="34"/>
  <c r="F10" i="34"/>
  <c r="F5" i="34"/>
  <c r="F3" i="34"/>
  <c r="F7" i="34"/>
  <c r="F13" i="34"/>
  <c r="F9" i="34"/>
  <c r="F11" i="34"/>
  <c r="F4" i="34"/>
  <c r="F6" i="34"/>
  <c r="F12" i="34"/>
  <c r="F2" i="34"/>
  <c r="F13" i="76"/>
  <c r="F11" i="76"/>
  <c r="F8" i="76"/>
  <c r="F9" i="76"/>
  <c r="F5" i="76"/>
  <c r="F3" i="76"/>
  <c r="F10" i="76"/>
  <c r="F4" i="76"/>
  <c r="F7" i="76"/>
  <c r="F6" i="76"/>
  <c r="F12" i="76"/>
  <c r="F2" i="76"/>
  <c r="AW14" i="4"/>
  <c r="AW28" i="4"/>
  <c r="P6" i="70"/>
  <c r="P11" i="70"/>
  <c r="P4" i="70"/>
  <c r="P5" i="70"/>
  <c r="P14" i="70"/>
  <c r="P8" i="70"/>
  <c r="P12" i="70"/>
  <c r="P13" i="70"/>
  <c r="P9" i="70"/>
  <c r="P7" i="70"/>
  <c r="P10" i="70"/>
  <c r="E38" i="155" l="1"/>
  <c r="L26" i="155"/>
  <c r="P26" i="155" s="1"/>
  <c r="W7" i="156"/>
  <c r="W11" i="156"/>
  <c r="E33" i="156"/>
  <c r="P21" i="156"/>
  <c r="F36" i="156"/>
  <c r="Q24" i="156"/>
  <c r="F29" i="156"/>
  <c r="Q17" i="156"/>
  <c r="F30" i="156"/>
  <c r="Q18" i="156"/>
  <c r="W6" i="156"/>
  <c r="E30" i="156"/>
  <c r="P18" i="156"/>
  <c r="F34" i="156"/>
  <c r="Q22" i="156"/>
  <c r="W13" i="156"/>
  <c r="E26" i="156"/>
  <c r="P14" i="156"/>
  <c r="F33" i="156"/>
  <c r="Q21" i="156"/>
  <c r="E37" i="156"/>
  <c r="P25" i="156"/>
  <c r="W10" i="156"/>
  <c r="E34" i="156"/>
  <c r="P22" i="156"/>
  <c r="F37" i="156"/>
  <c r="Q25" i="156"/>
  <c r="E27" i="156"/>
  <c r="P15" i="156"/>
  <c r="E35" i="156"/>
  <c r="P23" i="156"/>
  <c r="E31" i="156"/>
  <c r="P19" i="156"/>
  <c r="F31" i="156"/>
  <c r="Q19" i="156"/>
  <c r="F32" i="156"/>
  <c r="Q20" i="156"/>
  <c r="E32" i="156"/>
  <c r="P20" i="156"/>
  <c r="F35" i="156"/>
  <c r="Q23" i="156"/>
  <c r="E28" i="156"/>
  <c r="P16" i="156"/>
  <c r="E36" i="156"/>
  <c r="P24" i="156"/>
  <c r="E29" i="156"/>
  <c r="P17" i="156"/>
  <c r="W9" i="156"/>
  <c r="F15" i="156"/>
  <c r="Q3" i="156"/>
  <c r="W3" i="156" s="1"/>
  <c r="F16" i="156"/>
  <c r="Q4" i="156"/>
  <c r="W4" i="156" s="1"/>
  <c r="W8" i="156"/>
  <c r="W12" i="156"/>
  <c r="W5" i="156"/>
  <c r="F14" i="156"/>
  <c r="Q2" i="156"/>
  <c r="W2" i="156" s="1"/>
  <c r="E45" i="155"/>
  <c r="L33" i="155"/>
  <c r="P33" i="155" s="1"/>
  <c r="E43" i="155"/>
  <c r="L31" i="155"/>
  <c r="P31" i="155" s="1"/>
  <c r="E49" i="155"/>
  <c r="L37" i="155"/>
  <c r="P37" i="155" s="1"/>
  <c r="E46" i="155"/>
  <c r="L34" i="155"/>
  <c r="P34" i="155" s="1"/>
  <c r="E44" i="155"/>
  <c r="L32" i="155"/>
  <c r="P32" i="155" s="1"/>
  <c r="E48" i="155"/>
  <c r="L36" i="155"/>
  <c r="P36" i="155" s="1"/>
  <c r="E47" i="155"/>
  <c r="L35" i="155"/>
  <c r="P35" i="155" s="1"/>
  <c r="E42" i="155"/>
  <c r="E39" i="155"/>
  <c r="E40" i="155"/>
  <c r="E41" i="155"/>
  <c r="E14" i="152"/>
  <c r="E26" i="152" s="1"/>
  <c r="E14" i="154"/>
  <c r="E26" i="154" s="1"/>
  <c r="O5" i="154"/>
  <c r="U5" i="154" s="1"/>
  <c r="F15" i="154"/>
  <c r="O15" i="154" s="1"/>
  <c r="O11" i="154"/>
  <c r="U11" i="154" s="1"/>
  <c r="O2" i="154"/>
  <c r="U2" i="154" s="1"/>
  <c r="F18" i="154"/>
  <c r="O18" i="154" s="1"/>
  <c r="F16" i="154"/>
  <c r="O16" i="154" s="1"/>
  <c r="O13" i="154"/>
  <c r="U13" i="154" s="1"/>
  <c r="F22" i="154"/>
  <c r="O22" i="154" s="1"/>
  <c r="F24" i="154"/>
  <c r="O24" i="154" s="1"/>
  <c r="O8" i="154"/>
  <c r="U8" i="154" s="1"/>
  <c r="O9" i="154"/>
  <c r="U9" i="154" s="1"/>
  <c r="F19" i="154"/>
  <c r="O19" i="154" s="1"/>
  <c r="O7" i="152"/>
  <c r="U6" i="154"/>
  <c r="O9" i="152"/>
  <c r="O10" i="152"/>
  <c r="O4" i="152"/>
  <c r="O8" i="152"/>
  <c r="O12" i="152"/>
  <c r="O11" i="152"/>
  <c r="O3" i="152"/>
  <c r="O6" i="152"/>
  <c r="O2" i="152"/>
  <c r="O13" i="152"/>
  <c r="G79" i="153"/>
  <c r="P79" i="153" s="1"/>
  <c r="U79" i="153" s="1"/>
  <c r="G79" i="154"/>
  <c r="P79" i="154" s="1"/>
  <c r="H79" i="38"/>
  <c r="N79" i="38" s="1"/>
  <c r="H79" i="28"/>
  <c r="N79" i="28" s="1"/>
  <c r="O79" i="28" s="1"/>
  <c r="K79" i="75"/>
  <c r="O5" i="152"/>
  <c r="U12" i="154"/>
  <c r="U3" i="154"/>
  <c r="U7" i="154"/>
  <c r="U10" i="154"/>
  <c r="U4" i="154"/>
  <c r="E16" i="152"/>
  <c r="K16" i="152" s="1"/>
  <c r="E21" i="152"/>
  <c r="K21" i="152" s="1"/>
  <c r="E17" i="152"/>
  <c r="K17" i="152" s="1"/>
  <c r="E22" i="152"/>
  <c r="K22" i="152" s="1"/>
  <c r="E19" i="38"/>
  <c r="E15" i="152"/>
  <c r="K15" i="152" s="1"/>
  <c r="E19" i="152"/>
  <c r="K19" i="152" s="1"/>
  <c r="E18" i="152"/>
  <c r="K18" i="152" s="1"/>
  <c r="E25" i="152"/>
  <c r="K25" i="152" s="1"/>
  <c r="E24" i="154"/>
  <c r="N24" i="154" s="1"/>
  <c r="E15" i="154"/>
  <c r="N15" i="154" s="1"/>
  <c r="E19" i="154"/>
  <c r="N19" i="154" s="1"/>
  <c r="E17" i="154"/>
  <c r="N17" i="154" s="1"/>
  <c r="U17" i="154" s="1"/>
  <c r="E21" i="154"/>
  <c r="N21" i="154" s="1"/>
  <c r="U21" i="154" s="1"/>
  <c r="E22" i="154"/>
  <c r="N22" i="154" s="1"/>
  <c r="E16" i="154"/>
  <c r="N16" i="154" s="1"/>
  <c r="E20" i="154"/>
  <c r="N20" i="154" s="1"/>
  <c r="U20" i="154" s="1"/>
  <c r="E23" i="154"/>
  <c r="N23" i="154" s="1"/>
  <c r="U23" i="154" s="1"/>
  <c r="E18" i="154"/>
  <c r="N18" i="154" s="1"/>
  <c r="E25" i="154"/>
  <c r="N25" i="154" s="1"/>
  <c r="U25" i="154" s="1"/>
  <c r="F29" i="154"/>
  <c r="O29" i="154" s="1"/>
  <c r="F33" i="154"/>
  <c r="O33" i="154" s="1"/>
  <c r="F32" i="154"/>
  <c r="O32" i="154" s="1"/>
  <c r="F35" i="154"/>
  <c r="O35" i="154" s="1"/>
  <c r="F37" i="154"/>
  <c r="O37" i="154" s="1"/>
  <c r="F26" i="154"/>
  <c r="O26" i="154" s="1"/>
  <c r="E15" i="38"/>
  <c r="K15" i="38" s="1"/>
  <c r="F15" i="38"/>
  <c r="L15" i="38" s="1"/>
  <c r="E25" i="38"/>
  <c r="E36" i="152"/>
  <c r="K36" i="152" s="1"/>
  <c r="E32" i="152"/>
  <c r="K32" i="152" s="1"/>
  <c r="E35" i="152"/>
  <c r="K35" i="152" s="1"/>
  <c r="L17" i="152"/>
  <c r="L21" i="152"/>
  <c r="L18" i="152"/>
  <c r="L20" i="152"/>
  <c r="O20" i="152" s="1"/>
  <c r="L15" i="152"/>
  <c r="L22" i="152"/>
  <c r="L16" i="152"/>
  <c r="L19" i="152"/>
  <c r="L23" i="152"/>
  <c r="O23" i="152" s="1"/>
  <c r="L24" i="152"/>
  <c r="O24" i="152" s="1"/>
  <c r="L25" i="152"/>
  <c r="L14" i="152"/>
  <c r="E23" i="38"/>
  <c r="F16" i="38"/>
  <c r="E18" i="38"/>
  <c r="E24" i="38"/>
  <c r="F24" i="38"/>
  <c r="F18" i="38"/>
  <c r="F19" i="38"/>
  <c r="F17" i="38"/>
  <c r="L13" i="38"/>
  <c r="E21" i="38"/>
  <c r="E14" i="38"/>
  <c r="K14" i="38" s="1"/>
  <c r="F20" i="38"/>
  <c r="E22" i="38"/>
  <c r="L2" i="38"/>
  <c r="E20" i="38"/>
  <c r="L11" i="38"/>
  <c r="F22" i="38"/>
  <c r="E17" i="38"/>
  <c r="F21" i="38"/>
  <c r="E16" i="38"/>
  <c r="K16" i="38" s="1"/>
  <c r="F15" i="77"/>
  <c r="O3" i="77"/>
  <c r="E24" i="77"/>
  <c r="N12" i="77"/>
  <c r="E25" i="77"/>
  <c r="N13" i="77"/>
  <c r="F18" i="77"/>
  <c r="O6" i="77"/>
  <c r="F21" i="77"/>
  <c r="O9" i="77"/>
  <c r="F17" i="77"/>
  <c r="O5" i="77"/>
  <c r="E15" i="77"/>
  <c r="N3" i="77"/>
  <c r="E19" i="77"/>
  <c r="N7" i="77"/>
  <c r="F22" i="77"/>
  <c r="O10" i="77"/>
  <c r="F25" i="77"/>
  <c r="O13" i="77"/>
  <c r="F20" i="77"/>
  <c r="O8" i="77"/>
  <c r="E17" i="77"/>
  <c r="N5" i="77"/>
  <c r="F23" i="77"/>
  <c r="O11" i="77"/>
  <c r="F19" i="77"/>
  <c r="O7" i="77"/>
  <c r="E21" i="77"/>
  <c r="N9" i="77"/>
  <c r="F16" i="77"/>
  <c r="O4" i="77"/>
  <c r="E22" i="77"/>
  <c r="N10" i="77"/>
  <c r="E16" i="77"/>
  <c r="N4" i="77"/>
  <c r="F14" i="77"/>
  <c r="E20" i="77"/>
  <c r="N8" i="77"/>
  <c r="F24" i="77"/>
  <c r="O12" i="77"/>
  <c r="E23" i="77"/>
  <c r="N11" i="77"/>
  <c r="E18" i="77"/>
  <c r="N6" i="77"/>
  <c r="E17" i="76"/>
  <c r="N5" i="76"/>
  <c r="F20" i="76"/>
  <c r="O8" i="76"/>
  <c r="F18" i="76"/>
  <c r="O6" i="76"/>
  <c r="F23" i="76"/>
  <c r="O11" i="76"/>
  <c r="E24" i="76"/>
  <c r="N12" i="76"/>
  <c r="E20" i="76"/>
  <c r="N8" i="76"/>
  <c r="E15" i="76"/>
  <c r="N3" i="76"/>
  <c r="F24" i="76"/>
  <c r="O12" i="76"/>
  <c r="F25" i="76"/>
  <c r="O13" i="76"/>
  <c r="E19" i="76"/>
  <c r="N7" i="76"/>
  <c r="F19" i="76"/>
  <c r="O7" i="76"/>
  <c r="F16" i="76"/>
  <c r="O4" i="76"/>
  <c r="E22" i="76"/>
  <c r="N10" i="76"/>
  <c r="E23" i="76"/>
  <c r="N11" i="76"/>
  <c r="F22" i="76"/>
  <c r="O10" i="76"/>
  <c r="E14" i="76"/>
  <c r="N2" i="76"/>
  <c r="F15" i="76"/>
  <c r="O3" i="76"/>
  <c r="E18" i="76"/>
  <c r="N6" i="76"/>
  <c r="F17" i="76"/>
  <c r="O5" i="76"/>
  <c r="E25" i="76"/>
  <c r="N13" i="76"/>
  <c r="E21" i="76"/>
  <c r="N9" i="76"/>
  <c r="E16" i="76"/>
  <c r="N4" i="76"/>
  <c r="F14" i="76"/>
  <c r="O2" i="76"/>
  <c r="F21" i="76"/>
  <c r="O9" i="76"/>
  <c r="F14" i="75"/>
  <c r="F26" i="75" s="1"/>
  <c r="F38" i="75" s="1"/>
  <c r="F50" i="75" s="1"/>
  <c r="F62" i="75" s="1"/>
  <c r="F74" i="75" s="1"/>
  <c r="I74" i="75" s="1"/>
  <c r="P74" i="75" s="1"/>
  <c r="O2" i="75"/>
  <c r="F24" i="75"/>
  <c r="F36" i="75" s="1"/>
  <c r="F48" i="75" s="1"/>
  <c r="F60" i="75" s="1"/>
  <c r="F72" i="75" s="1"/>
  <c r="I72" i="75" s="1"/>
  <c r="P72" i="75" s="1"/>
  <c r="O12" i="75"/>
  <c r="F20" i="75"/>
  <c r="F32" i="75" s="1"/>
  <c r="F44" i="75" s="1"/>
  <c r="F56" i="75" s="1"/>
  <c r="F68" i="75" s="1"/>
  <c r="I68" i="75" s="1"/>
  <c r="P68" i="75" s="1"/>
  <c r="O8" i="75"/>
  <c r="F23" i="75"/>
  <c r="F35" i="75" s="1"/>
  <c r="F47" i="75" s="1"/>
  <c r="F59" i="75" s="1"/>
  <c r="F71" i="75" s="1"/>
  <c r="I71" i="75" s="1"/>
  <c r="P71" i="75" s="1"/>
  <c r="O11" i="75"/>
  <c r="F21" i="75"/>
  <c r="F33" i="75" s="1"/>
  <c r="F45" i="75" s="1"/>
  <c r="F57" i="75" s="1"/>
  <c r="F69" i="75" s="1"/>
  <c r="I69" i="75" s="1"/>
  <c r="P69" i="75" s="1"/>
  <c r="O9" i="75"/>
  <c r="F18" i="75"/>
  <c r="F30" i="75" s="1"/>
  <c r="F42" i="75" s="1"/>
  <c r="F54" i="75" s="1"/>
  <c r="F66" i="75" s="1"/>
  <c r="I66" i="75" s="1"/>
  <c r="P66" i="75" s="1"/>
  <c r="O6" i="75"/>
  <c r="E24" i="75"/>
  <c r="E36" i="75" s="1"/>
  <c r="E48" i="75" s="1"/>
  <c r="E60" i="75" s="1"/>
  <c r="E72" i="75" s="1"/>
  <c r="E84" i="75" s="1"/>
  <c r="E96" i="75" s="1"/>
  <c r="E108" i="75" s="1"/>
  <c r="E120" i="75" s="1"/>
  <c r="N12" i="75"/>
  <c r="E22" i="75"/>
  <c r="E34" i="75" s="1"/>
  <c r="E46" i="75" s="1"/>
  <c r="E58" i="75" s="1"/>
  <c r="E70" i="75" s="1"/>
  <c r="E82" i="75" s="1"/>
  <c r="E94" i="75" s="1"/>
  <c r="E106" i="75" s="1"/>
  <c r="E118" i="75" s="1"/>
  <c r="N10" i="75"/>
  <c r="E25" i="75"/>
  <c r="E37" i="75" s="1"/>
  <c r="E49" i="75" s="1"/>
  <c r="E61" i="75" s="1"/>
  <c r="E73" i="75" s="1"/>
  <c r="E85" i="75" s="1"/>
  <c r="E97" i="75" s="1"/>
  <c r="E109" i="75" s="1"/>
  <c r="E121" i="75" s="1"/>
  <c r="N13" i="75"/>
  <c r="F19" i="75"/>
  <c r="F31" i="75" s="1"/>
  <c r="F43" i="75" s="1"/>
  <c r="F55" i="75" s="1"/>
  <c r="F67" i="75" s="1"/>
  <c r="I67" i="75" s="1"/>
  <c r="P67" i="75" s="1"/>
  <c r="O7" i="75"/>
  <c r="F25" i="75"/>
  <c r="F37" i="75" s="1"/>
  <c r="F49" i="75" s="1"/>
  <c r="F61" i="75" s="1"/>
  <c r="F73" i="75" s="1"/>
  <c r="I73" i="75" s="1"/>
  <c r="P73" i="75" s="1"/>
  <c r="O13" i="75"/>
  <c r="E14" i="75"/>
  <c r="E26" i="75" s="1"/>
  <c r="E38" i="75" s="1"/>
  <c r="E50" i="75" s="1"/>
  <c r="E62" i="75" s="1"/>
  <c r="E74" i="75" s="1"/>
  <c r="E86" i="75" s="1"/>
  <c r="E98" i="75" s="1"/>
  <c r="E110" i="75" s="1"/>
  <c r="E23" i="75"/>
  <c r="E35" i="75" s="1"/>
  <c r="E47" i="75" s="1"/>
  <c r="E59" i="75" s="1"/>
  <c r="E71" i="75" s="1"/>
  <c r="E83" i="75" s="1"/>
  <c r="E95" i="75" s="1"/>
  <c r="E107" i="75" s="1"/>
  <c r="E119" i="75" s="1"/>
  <c r="N11" i="75"/>
  <c r="E16" i="75"/>
  <c r="E28" i="75" s="1"/>
  <c r="E40" i="75" s="1"/>
  <c r="E52" i="75" s="1"/>
  <c r="E64" i="75" s="1"/>
  <c r="N4" i="75"/>
  <c r="F16" i="75"/>
  <c r="F28" i="75" s="1"/>
  <c r="F40" i="75" s="1"/>
  <c r="F52" i="75" s="1"/>
  <c r="F64" i="75" s="1"/>
  <c r="O4" i="75"/>
  <c r="E19" i="75"/>
  <c r="E31" i="75" s="1"/>
  <c r="E43" i="75" s="1"/>
  <c r="E55" i="75" s="1"/>
  <c r="E67" i="75" s="1"/>
  <c r="E79" i="75" s="1"/>
  <c r="E91" i="75" s="1"/>
  <c r="E103" i="75" s="1"/>
  <c r="E115" i="75" s="1"/>
  <c r="N7" i="75"/>
  <c r="E17" i="75"/>
  <c r="E29" i="75" s="1"/>
  <c r="E41" i="75" s="1"/>
  <c r="E53" i="75" s="1"/>
  <c r="E65" i="75" s="1"/>
  <c r="E77" i="75" s="1"/>
  <c r="E89" i="75" s="1"/>
  <c r="E101" i="75" s="1"/>
  <c r="E113" i="75" s="1"/>
  <c r="N5" i="75"/>
  <c r="F22" i="75"/>
  <c r="F34" i="75" s="1"/>
  <c r="F46" i="75" s="1"/>
  <c r="F58" i="75" s="1"/>
  <c r="F70" i="75" s="1"/>
  <c r="I70" i="75" s="1"/>
  <c r="P70" i="75" s="1"/>
  <c r="O10" i="75"/>
  <c r="E20" i="75"/>
  <c r="E32" i="75" s="1"/>
  <c r="E44" i="75" s="1"/>
  <c r="E56" i="75" s="1"/>
  <c r="E68" i="75" s="1"/>
  <c r="E80" i="75" s="1"/>
  <c r="E92" i="75" s="1"/>
  <c r="E104" i="75" s="1"/>
  <c r="E116" i="75" s="1"/>
  <c r="N8" i="75"/>
  <c r="F15" i="75"/>
  <c r="F27" i="75" s="1"/>
  <c r="F39" i="75" s="1"/>
  <c r="F51" i="75" s="1"/>
  <c r="F63" i="75" s="1"/>
  <c r="O3" i="75"/>
  <c r="E15" i="75"/>
  <c r="E27" i="75" s="1"/>
  <c r="E39" i="75" s="1"/>
  <c r="E51" i="75" s="1"/>
  <c r="E63" i="75" s="1"/>
  <c r="E75" i="75" s="1"/>
  <c r="E87" i="75" s="1"/>
  <c r="E99" i="75" s="1"/>
  <c r="E111" i="75" s="1"/>
  <c r="N3" i="75"/>
  <c r="E18" i="75"/>
  <c r="E30" i="75" s="1"/>
  <c r="E42" i="75" s="1"/>
  <c r="E54" i="75" s="1"/>
  <c r="E66" i="75" s="1"/>
  <c r="N6" i="75"/>
  <c r="E21" i="75"/>
  <c r="E33" i="75" s="1"/>
  <c r="E45" i="75" s="1"/>
  <c r="E57" i="75" s="1"/>
  <c r="E69" i="75" s="1"/>
  <c r="E81" i="75" s="1"/>
  <c r="E93" i="75" s="1"/>
  <c r="E105" i="75" s="1"/>
  <c r="E117" i="75" s="1"/>
  <c r="N9" i="75"/>
  <c r="F17" i="75"/>
  <c r="F29" i="75" s="1"/>
  <c r="F41" i="75" s="1"/>
  <c r="F53" i="75" s="1"/>
  <c r="F65" i="75" s="1"/>
  <c r="O5" i="75"/>
  <c r="M3" i="36"/>
  <c r="F15" i="36"/>
  <c r="L9" i="36"/>
  <c r="E21" i="36"/>
  <c r="M8" i="36"/>
  <c r="F20" i="36"/>
  <c r="M7" i="36"/>
  <c r="F19" i="36"/>
  <c r="L10" i="36"/>
  <c r="E22" i="36"/>
  <c r="M4" i="36"/>
  <c r="F16" i="36"/>
  <c r="L3" i="36"/>
  <c r="E15" i="36"/>
  <c r="M13" i="36"/>
  <c r="F25" i="36"/>
  <c r="L4" i="36"/>
  <c r="E16" i="36"/>
  <c r="L7" i="36"/>
  <c r="E19" i="36"/>
  <c r="L8" i="36"/>
  <c r="E20" i="36"/>
  <c r="L11" i="36"/>
  <c r="E23" i="36"/>
  <c r="M11" i="36"/>
  <c r="F23" i="36"/>
  <c r="M10" i="36"/>
  <c r="F22" i="36"/>
  <c r="L13" i="36"/>
  <c r="E25" i="36"/>
  <c r="L6" i="36"/>
  <c r="E18" i="36"/>
  <c r="M12" i="36"/>
  <c r="F24" i="36"/>
  <c r="M9" i="36"/>
  <c r="F21" i="36"/>
  <c r="L5" i="36"/>
  <c r="E17" i="36"/>
  <c r="M5" i="36"/>
  <c r="F17" i="36"/>
  <c r="M6" i="36"/>
  <c r="F18" i="36"/>
  <c r="L12" i="36"/>
  <c r="E24" i="36"/>
  <c r="F14" i="36"/>
  <c r="E22" i="34"/>
  <c r="L10" i="34"/>
  <c r="F21" i="34"/>
  <c r="M9" i="34"/>
  <c r="F17" i="34"/>
  <c r="M5" i="34"/>
  <c r="E24" i="34"/>
  <c r="L12" i="34"/>
  <c r="E20" i="34"/>
  <c r="L8" i="34"/>
  <c r="E15" i="34"/>
  <c r="L3" i="34"/>
  <c r="F22" i="34"/>
  <c r="M10" i="34"/>
  <c r="F20" i="34"/>
  <c r="M8" i="34"/>
  <c r="F25" i="34"/>
  <c r="M13" i="34"/>
  <c r="F19" i="34"/>
  <c r="M7" i="34"/>
  <c r="E19" i="34"/>
  <c r="L7" i="34"/>
  <c r="E23" i="34"/>
  <c r="L11" i="34"/>
  <c r="E14" i="34"/>
  <c r="L2" i="34"/>
  <c r="F24" i="34"/>
  <c r="M12" i="34"/>
  <c r="E21" i="34"/>
  <c r="L9" i="34"/>
  <c r="E16" i="34"/>
  <c r="L4" i="34"/>
  <c r="F23" i="34"/>
  <c r="M11" i="34"/>
  <c r="F14" i="34"/>
  <c r="M2" i="34"/>
  <c r="E25" i="34"/>
  <c r="L13" i="34"/>
  <c r="E18" i="34"/>
  <c r="L6" i="34"/>
  <c r="F16" i="34"/>
  <c r="M4" i="34"/>
  <c r="F18" i="34"/>
  <c r="M6" i="34"/>
  <c r="E17" i="34"/>
  <c r="L5" i="34"/>
  <c r="F15" i="34"/>
  <c r="M3" i="34"/>
  <c r="CC80" i="67"/>
  <c r="I80" i="156" s="1"/>
  <c r="N79" i="36"/>
  <c r="N79" i="32"/>
  <c r="Q79" i="32" s="1"/>
  <c r="AQ34" i="4"/>
  <c r="AW29" i="4"/>
  <c r="AP34" i="4"/>
  <c r="AW15" i="4"/>
  <c r="B59" i="25"/>
  <c r="B36" i="25"/>
  <c r="B22" i="25"/>
  <c r="B52" i="25" s="1"/>
  <c r="B64" i="25" s="1"/>
  <c r="B16" i="25"/>
  <c r="B46" i="25" s="1"/>
  <c r="B58" i="25" s="1"/>
  <c r="B15" i="25"/>
  <c r="B45" i="25" s="1"/>
  <c r="B57" i="25" s="1"/>
  <c r="BG6" i="17"/>
  <c r="B6" i="160" l="1"/>
  <c r="B5" i="160"/>
  <c r="B12" i="160"/>
  <c r="B7" i="160"/>
  <c r="E50" i="155"/>
  <c r="L38" i="155"/>
  <c r="P38" i="155" s="1"/>
  <c r="W19" i="156"/>
  <c r="BA47" i="17"/>
  <c r="BC47" i="17" s="1"/>
  <c r="AP49" i="17"/>
  <c r="W20" i="156"/>
  <c r="W24" i="156"/>
  <c r="AR47" i="17"/>
  <c r="W23" i="156"/>
  <c r="W17" i="156"/>
  <c r="E47" i="156"/>
  <c r="P35" i="156"/>
  <c r="W18" i="156"/>
  <c r="E48" i="156"/>
  <c r="P36" i="156"/>
  <c r="F49" i="156"/>
  <c r="Q37" i="156"/>
  <c r="F47" i="156"/>
  <c r="Q35" i="156"/>
  <c r="E49" i="156"/>
  <c r="P37" i="156"/>
  <c r="F48" i="156"/>
  <c r="Q36" i="156"/>
  <c r="F43" i="156"/>
  <c r="Q31" i="156"/>
  <c r="F27" i="156"/>
  <c r="Q15" i="156"/>
  <c r="W15" i="156" s="1"/>
  <c r="E38" i="156"/>
  <c r="P26" i="156"/>
  <c r="E41" i="156"/>
  <c r="P29" i="156"/>
  <c r="F46" i="156"/>
  <c r="Q34" i="156"/>
  <c r="E39" i="156"/>
  <c r="P27" i="156"/>
  <c r="E42" i="156"/>
  <c r="P30" i="156"/>
  <c r="E43" i="156"/>
  <c r="P31" i="156"/>
  <c r="F26" i="156"/>
  <c r="Q14" i="156"/>
  <c r="W14" i="156" s="1"/>
  <c r="E40" i="156"/>
  <c r="P28" i="156"/>
  <c r="W22" i="156"/>
  <c r="F42" i="156"/>
  <c r="Q30" i="156"/>
  <c r="E46" i="156"/>
  <c r="P34" i="156"/>
  <c r="F41" i="156"/>
  <c r="Q29" i="156"/>
  <c r="E44" i="156"/>
  <c r="P32" i="156"/>
  <c r="W25" i="156"/>
  <c r="F44" i="156"/>
  <c r="Q32" i="156"/>
  <c r="W21" i="156"/>
  <c r="F28" i="156"/>
  <c r="Q16" i="156"/>
  <c r="W16" i="156" s="1"/>
  <c r="F45" i="156"/>
  <c r="Q33" i="156"/>
  <c r="E45" i="156"/>
  <c r="P33" i="156"/>
  <c r="N14" i="154"/>
  <c r="U14" i="154" s="1"/>
  <c r="K14" i="152"/>
  <c r="O14" i="152" s="1"/>
  <c r="E51" i="155"/>
  <c r="L39" i="155"/>
  <c r="P39" i="155" s="1"/>
  <c r="E54" i="155"/>
  <c r="L42" i="155"/>
  <c r="P42" i="155" s="1"/>
  <c r="E59" i="155"/>
  <c r="L47" i="155"/>
  <c r="P47" i="155" s="1"/>
  <c r="E60" i="155"/>
  <c r="L48" i="155"/>
  <c r="P48" i="155" s="1"/>
  <c r="E56" i="155"/>
  <c r="L44" i="155"/>
  <c r="P44" i="155" s="1"/>
  <c r="E58" i="155"/>
  <c r="L46" i="155"/>
  <c r="P46" i="155" s="1"/>
  <c r="E61" i="155"/>
  <c r="L49" i="155"/>
  <c r="P49" i="155" s="1"/>
  <c r="E55" i="155"/>
  <c r="L43" i="155"/>
  <c r="P43" i="155" s="1"/>
  <c r="E53" i="155"/>
  <c r="L41" i="155"/>
  <c r="P41" i="155" s="1"/>
  <c r="E52" i="155"/>
  <c r="L40" i="155"/>
  <c r="P40" i="155" s="1"/>
  <c r="E57" i="155"/>
  <c r="L45" i="155"/>
  <c r="P45" i="155" s="1"/>
  <c r="F36" i="154"/>
  <c r="O36" i="154" s="1"/>
  <c r="U15" i="154"/>
  <c r="F30" i="154"/>
  <c r="O30" i="154" s="1"/>
  <c r="F27" i="154"/>
  <c r="O27" i="154" s="1"/>
  <c r="U18" i="154"/>
  <c r="F34" i="154"/>
  <c r="O34" i="154" s="1"/>
  <c r="U16" i="154"/>
  <c r="F28" i="154"/>
  <c r="O28" i="154" s="1"/>
  <c r="S3" i="77"/>
  <c r="U22" i="154"/>
  <c r="U24" i="154"/>
  <c r="F31" i="154"/>
  <c r="O31" i="154" s="1"/>
  <c r="U19" i="154"/>
  <c r="E2" i="36"/>
  <c r="E14" i="36" s="1"/>
  <c r="L14" i="36" s="1"/>
  <c r="E2" i="77"/>
  <c r="O18" i="152"/>
  <c r="Q10" i="36"/>
  <c r="Q8" i="36"/>
  <c r="O19" i="152"/>
  <c r="Q7" i="36"/>
  <c r="O16" i="152"/>
  <c r="Q11" i="36"/>
  <c r="Q4" i="36"/>
  <c r="Q12" i="36"/>
  <c r="Q5" i="36"/>
  <c r="Q9" i="36"/>
  <c r="Q6" i="36"/>
  <c r="Q13" i="36"/>
  <c r="Q3" i="36"/>
  <c r="AP5" i="17"/>
  <c r="AR5" i="17" s="1"/>
  <c r="AT5" i="17" s="1"/>
  <c r="M18" i="57" s="1"/>
  <c r="G80" i="154"/>
  <c r="P80" i="154" s="1"/>
  <c r="G80" i="153"/>
  <c r="P80" i="153" s="1"/>
  <c r="U80" i="153" s="1"/>
  <c r="H80" i="38"/>
  <c r="N80" i="38" s="1"/>
  <c r="H80" i="28"/>
  <c r="N80" i="28" s="1"/>
  <c r="O80" i="28" s="1"/>
  <c r="K80" i="75"/>
  <c r="O25" i="152"/>
  <c r="O15" i="152"/>
  <c r="O22" i="152"/>
  <c r="O17" i="152"/>
  <c r="O21" i="152"/>
  <c r="BA5" i="17"/>
  <c r="BC5" i="17" s="1"/>
  <c r="E28" i="152"/>
  <c r="K28" i="152" s="1"/>
  <c r="N26" i="154"/>
  <c r="U26" i="154" s="1"/>
  <c r="E38" i="154"/>
  <c r="E33" i="152"/>
  <c r="K33" i="152" s="1"/>
  <c r="E29" i="152"/>
  <c r="K29" i="152" s="1"/>
  <c r="K26" i="152"/>
  <c r="E38" i="152"/>
  <c r="E34" i="152"/>
  <c r="K34" i="152" s="1"/>
  <c r="E37" i="152"/>
  <c r="K37" i="152" s="1"/>
  <c r="E31" i="152"/>
  <c r="K31" i="152" s="1"/>
  <c r="E30" i="152"/>
  <c r="K30" i="152" s="1"/>
  <c r="E27" i="152"/>
  <c r="K27" i="152" s="1"/>
  <c r="F38" i="154"/>
  <c r="O38" i="154" s="1"/>
  <c r="F49" i="154"/>
  <c r="O49" i="154" s="1"/>
  <c r="F47" i="154"/>
  <c r="O47" i="154" s="1"/>
  <c r="F44" i="154"/>
  <c r="O44" i="154" s="1"/>
  <c r="F45" i="154"/>
  <c r="O45" i="154" s="1"/>
  <c r="F41" i="154"/>
  <c r="O41" i="154" s="1"/>
  <c r="E37" i="154"/>
  <c r="N37" i="154" s="1"/>
  <c r="U37" i="154" s="1"/>
  <c r="E30" i="154"/>
  <c r="N30" i="154" s="1"/>
  <c r="E35" i="154"/>
  <c r="N35" i="154" s="1"/>
  <c r="U35" i="154" s="1"/>
  <c r="E32" i="154"/>
  <c r="N32" i="154" s="1"/>
  <c r="U32" i="154" s="1"/>
  <c r="E28" i="154"/>
  <c r="N28" i="154" s="1"/>
  <c r="E34" i="154"/>
  <c r="N34" i="154" s="1"/>
  <c r="E33" i="154"/>
  <c r="N33" i="154" s="1"/>
  <c r="U33" i="154" s="1"/>
  <c r="E29" i="154"/>
  <c r="N29" i="154" s="1"/>
  <c r="U29" i="154" s="1"/>
  <c r="E31" i="154"/>
  <c r="N31" i="154" s="1"/>
  <c r="E27" i="154"/>
  <c r="N27" i="154" s="1"/>
  <c r="E36" i="154"/>
  <c r="N36" i="154" s="1"/>
  <c r="L26" i="152"/>
  <c r="L37" i="152"/>
  <c r="L36" i="152"/>
  <c r="O36" i="152" s="1"/>
  <c r="L35" i="152"/>
  <c r="O35" i="152" s="1"/>
  <c r="L31" i="152"/>
  <c r="L28" i="152"/>
  <c r="L34" i="152"/>
  <c r="L27" i="152"/>
  <c r="L32" i="152"/>
  <c r="O32" i="152" s="1"/>
  <c r="L30" i="152"/>
  <c r="L33" i="152"/>
  <c r="L29" i="152"/>
  <c r="E47" i="152"/>
  <c r="K47" i="152" s="1"/>
  <c r="E44" i="152"/>
  <c r="K44" i="152" s="1"/>
  <c r="E48" i="152"/>
  <c r="K48" i="152" s="1"/>
  <c r="O64" i="75"/>
  <c r="I65" i="75"/>
  <c r="P65" i="75" s="1"/>
  <c r="O65" i="75"/>
  <c r="I64" i="75"/>
  <c r="P64" i="75" s="1"/>
  <c r="E76" i="75"/>
  <c r="E88" i="75" s="1"/>
  <c r="E100" i="75" s="1"/>
  <c r="E112" i="75" s="1"/>
  <c r="N64" i="75"/>
  <c r="F77" i="75"/>
  <c r="I77" i="75" s="1"/>
  <c r="P77" i="75" s="1"/>
  <c r="F75" i="75"/>
  <c r="I75" i="75" s="1"/>
  <c r="P75" i="75" s="1"/>
  <c r="F76" i="75"/>
  <c r="I76" i="75" s="1"/>
  <c r="P76" i="75" s="1"/>
  <c r="F81" i="75"/>
  <c r="I81" i="75" s="1"/>
  <c r="P81" i="75" s="1"/>
  <c r="F83" i="75"/>
  <c r="I83" i="75" s="1"/>
  <c r="P83" i="75" s="1"/>
  <c r="F80" i="75"/>
  <c r="I80" i="75" s="1"/>
  <c r="P80" i="75" s="1"/>
  <c r="F84" i="75"/>
  <c r="I84" i="75" s="1"/>
  <c r="P84" i="75" s="1"/>
  <c r="F79" i="75"/>
  <c r="I79" i="75" s="1"/>
  <c r="P79" i="75" s="1"/>
  <c r="F82" i="75"/>
  <c r="I82" i="75" s="1"/>
  <c r="P82" i="75" s="1"/>
  <c r="F85" i="75"/>
  <c r="I85" i="75" s="1"/>
  <c r="P85" i="75" s="1"/>
  <c r="F86" i="75"/>
  <c r="I86" i="75" s="1"/>
  <c r="P86" i="75" s="1"/>
  <c r="F78" i="75"/>
  <c r="I78" i="75" s="1"/>
  <c r="P78" i="75" s="1"/>
  <c r="E78" i="75"/>
  <c r="E90" i="75" s="1"/>
  <c r="E102" i="75" s="1"/>
  <c r="E114" i="75" s="1"/>
  <c r="BG7" i="17"/>
  <c r="BH6" i="17"/>
  <c r="N14" i="75"/>
  <c r="M14" i="36"/>
  <c r="F26" i="36"/>
  <c r="F38" i="36" s="1"/>
  <c r="F50" i="36" s="1"/>
  <c r="F62" i="36" s="1"/>
  <c r="F74" i="36" s="1"/>
  <c r="F86" i="36" s="1"/>
  <c r="F98" i="36" s="1"/>
  <c r="F110" i="36" s="1"/>
  <c r="F122" i="36" s="1"/>
  <c r="F134" i="36" s="1"/>
  <c r="M25" i="36"/>
  <c r="F37" i="36"/>
  <c r="L15" i="36"/>
  <c r="E27" i="36"/>
  <c r="M18" i="36"/>
  <c r="F30" i="36"/>
  <c r="F35" i="36"/>
  <c r="M23" i="36"/>
  <c r="M16" i="36"/>
  <c r="F28" i="36"/>
  <c r="M22" i="36"/>
  <c r="F34" i="36"/>
  <c r="M17" i="36"/>
  <c r="F29" i="36"/>
  <c r="L23" i="36"/>
  <c r="E35" i="36"/>
  <c r="L22" i="36"/>
  <c r="E34" i="36"/>
  <c r="F31" i="36"/>
  <c r="M19" i="36"/>
  <c r="E36" i="36"/>
  <c r="L24" i="36"/>
  <c r="M21" i="36"/>
  <c r="F33" i="36"/>
  <c r="E31" i="36"/>
  <c r="L19" i="36"/>
  <c r="M20" i="36"/>
  <c r="F32" i="36"/>
  <c r="M24" i="36"/>
  <c r="F36" i="36"/>
  <c r="E28" i="36"/>
  <c r="L16" i="36"/>
  <c r="L21" i="36"/>
  <c r="E33" i="36"/>
  <c r="E32" i="36"/>
  <c r="L20" i="36"/>
  <c r="L25" i="36"/>
  <c r="E37" i="36"/>
  <c r="L17" i="36"/>
  <c r="E29" i="36"/>
  <c r="L18" i="36"/>
  <c r="E30" i="36"/>
  <c r="F27" i="36"/>
  <c r="M15" i="36"/>
  <c r="CC81" i="67"/>
  <c r="I81" i="156" s="1"/>
  <c r="N80" i="36"/>
  <c r="N80" i="32"/>
  <c r="Q80" i="32" s="1"/>
  <c r="P3" i="70"/>
  <c r="P15" i="70" s="1"/>
  <c r="Q5" i="70" s="1"/>
  <c r="E62" i="155" l="1"/>
  <c r="L50" i="155"/>
  <c r="P50" i="155" s="1"/>
  <c r="BE5" i="17"/>
  <c r="V18" i="57"/>
  <c r="W18" i="57" s="1"/>
  <c r="BE47" i="17"/>
  <c r="C7" i="74"/>
  <c r="AT47" i="17"/>
  <c r="C6" i="74"/>
  <c r="BA48" i="17"/>
  <c r="BC48" i="17" s="1"/>
  <c r="W34" i="156"/>
  <c r="AP50" i="17"/>
  <c r="AR48" i="17"/>
  <c r="W30" i="156"/>
  <c r="W37" i="156"/>
  <c r="W33" i="156"/>
  <c r="W31" i="156"/>
  <c r="F55" i="156"/>
  <c r="Q43" i="156"/>
  <c r="F56" i="156"/>
  <c r="Q44" i="156"/>
  <c r="E55" i="156"/>
  <c r="P43" i="156"/>
  <c r="F60" i="156"/>
  <c r="Q48" i="156"/>
  <c r="W32" i="156"/>
  <c r="E54" i="156"/>
  <c r="P42" i="156"/>
  <c r="E56" i="156"/>
  <c r="P44" i="156"/>
  <c r="E61" i="156"/>
  <c r="P49" i="156"/>
  <c r="E51" i="156"/>
  <c r="P39" i="156"/>
  <c r="F53" i="156"/>
  <c r="Q41" i="156"/>
  <c r="F59" i="156"/>
  <c r="Q47" i="156"/>
  <c r="E58" i="156"/>
  <c r="P46" i="156"/>
  <c r="F58" i="156"/>
  <c r="Q46" i="156"/>
  <c r="F61" i="156"/>
  <c r="Q49" i="156"/>
  <c r="W36" i="156"/>
  <c r="E57" i="156"/>
  <c r="P45" i="156"/>
  <c r="F54" i="156"/>
  <c r="Q42" i="156"/>
  <c r="E53" i="156"/>
  <c r="P41" i="156"/>
  <c r="E60" i="156"/>
  <c r="P48" i="156"/>
  <c r="F57" i="156"/>
  <c r="Q45" i="156"/>
  <c r="E50" i="156"/>
  <c r="P38" i="156"/>
  <c r="W35" i="156"/>
  <c r="E52" i="156"/>
  <c r="P40" i="156"/>
  <c r="E59" i="156"/>
  <c r="P47" i="156"/>
  <c r="W29" i="156"/>
  <c r="F40" i="156"/>
  <c r="Q28" i="156"/>
  <c r="W28" i="156" s="1"/>
  <c r="F38" i="156"/>
  <c r="Q26" i="156"/>
  <c r="W26" i="156" s="1"/>
  <c r="F39" i="156"/>
  <c r="Q27" i="156"/>
  <c r="W27" i="156" s="1"/>
  <c r="U30" i="154"/>
  <c r="F48" i="154"/>
  <c r="O48" i="154" s="1"/>
  <c r="U36" i="154"/>
  <c r="E67" i="155"/>
  <c r="L55" i="155"/>
  <c r="P55" i="155" s="1"/>
  <c r="E73" i="155"/>
  <c r="L61" i="155"/>
  <c r="P61" i="155" s="1"/>
  <c r="E70" i="155"/>
  <c r="L58" i="155"/>
  <c r="P58" i="155" s="1"/>
  <c r="E68" i="155"/>
  <c r="L56" i="155"/>
  <c r="P56" i="155" s="1"/>
  <c r="E72" i="155"/>
  <c r="L60" i="155"/>
  <c r="E69" i="155"/>
  <c r="L57" i="155"/>
  <c r="P57" i="155" s="1"/>
  <c r="E71" i="155"/>
  <c r="L59" i="155"/>
  <c r="F42" i="154"/>
  <c r="O42" i="154" s="1"/>
  <c r="E64" i="155"/>
  <c r="L52" i="155"/>
  <c r="P52" i="155" s="1"/>
  <c r="E66" i="155"/>
  <c r="L54" i="155"/>
  <c r="P54" i="155" s="1"/>
  <c r="E65" i="155"/>
  <c r="L53" i="155"/>
  <c r="P53" i="155" s="1"/>
  <c r="E63" i="155"/>
  <c r="L51" i="155"/>
  <c r="P51" i="155" s="1"/>
  <c r="F39" i="154"/>
  <c r="O39" i="154" s="1"/>
  <c r="U34" i="154"/>
  <c r="U27" i="154"/>
  <c r="L2" i="36"/>
  <c r="Q2" i="36" s="1"/>
  <c r="F46" i="154"/>
  <c r="O46" i="154" s="1"/>
  <c r="F40" i="154"/>
  <c r="O40" i="154" s="1"/>
  <c r="U28" i="154"/>
  <c r="BA6" i="17"/>
  <c r="BC6" i="17" s="1"/>
  <c r="E26" i="36"/>
  <c r="E38" i="36" s="1"/>
  <c r="E50" i="36" s="1"/>
  <c r="E62" i="36" s="1"/>
  <c r="E74" i="36" s="1"/>
  <c r="E86" i="36" s="1"/>
  <c r="E98" i="36" s="1"/>
  <c r="E110" i="36" s="1"/>
  <c r="E122" i="36" s="1"/>
  <c r="E134" i="36" s="1"/>
  <c r="Q14" i="36"/>
  <c r="U31" i="154"/>
  <c r="F43" i="154"/>
  <c r="O43" i="154" s="1"/>
  <c r="N2" i="77"/>
  <c r="E14" i="77"/>
  <c r="Q25" i="36"/>
  <c r="O27" i="152"/>
  <c r="O34" i="152"/>
  <c r="Q19" i="36"/>
  <c r="Q18" i="36"/>
  <c r="Q17" i="36"/>
  <c r="Q20" i="36"/>
  <c r="Q15" i="36"/>
  <c r="Q21" i="36"/>
  <c r="Q24" i="36"/>
  <c r="Q22" i="36"/>
  <c r="Q16" i="36"/>
  <c r="Q23" i="36"/>
  <c r="E40" i="152"/>
  <c r="K40" i="152" s="1"/>
  <c r="O30" i="152"/>
  <c r="O31" i="152"/>
  <c r="O37" i="152"/>
  <c r="O26" i="152"/>
  <c r="O29" i="152"/>
  <c r="O33" i="152"/>
  <c r="G81" i="153"/>
  <c r="P81" i="153" s="1"/>
  <c r="U81" i="153" s="1"/>
  <c r="G81" i="154"/>
  <c r="P81" i="154" s="1"/>
  <c r="K81" i="75"/>
  <c r="H81" i="28"/>
  <c r="N81" i="28" s="1"/>
  <c r="O81" i="28" s="1"/>
  <c r="H81" i="38"/>
  <c r="N81" i="38" s="1"/>
  <c r="O28" i="152"/>
  <c r="E45" i="152"/>
  <c r="K45" i="152" s="1"/>
  <c r="E49" i="152"/>
  <c r="K49" i="152" s="1"/>
  <c r="E46" i="152"/>
  <c r="K46" i="152" s="1"/>
  <c r="N38" i="154"/>
  <c r="U38" i="154" s="1"/>
  <c r="E50" i="154"/>
  <c r="E41" i="152"/>
  <c r="K41" i="152" s="1"/>
  <c r="E43" i="152"/>
  <c r="K43" i="152" s="1"/>
  <c r="E39" i="152"/>
  <c r="K39" i="152" s="1"/>
  <c r="K38" i="152"/>
  <c r="E50" i="152"/>
  <c r="E42" i="152"/>
  <c r="K42" i="152" s="1"/>
  <c r="E48" i="154"/>
  <c r="N48" i="154" s="1"/>
  <c r="E39" i="154"/>
  <c r="N39" i="154" s="1"/>
  <c r="E43" i="154"/>
  <c r="N43" i="154" s="1"/>
  <c r="E41" i="154"/>
  <c r="N41" i="154" s="1"/>
  <c r="U41" i="154" s="1"/>
  <c r="E45" i="154"/>
  <c r="N45" i="154" s="1"/>
  <c r="U45" i="154" s="1"/>
  <c r="E46" i="154"/>
  <c r="N46" i="154" s="1"/>
  <c r="E40" i="154"/>
  <c r="N40" i="154" s="1"/>
  <c r="E44" i="154"/>
  <c r="N44" i="154" s="1"/>
  <c r="U44" i="154" s="1"/>
  <c r="E47" i="154"/>
  <c r="N47" i="154" s="1"/>
  <c r="U47" i="154" s="1"/>
  <c r="E42" i="154"/>
  <c r="N42" i="154" s="1"/>
  <c r="E49" i="154"/>
  <c r="N49" i="154" s="1"/>
  <c r="U49" i="154" s="1"/>
  <c r="F53" i="154"/>
  <c r="O53" i="154" s="1"/>
  <c r="F57" i="154"/>
  <c r="O57" i="154" s="1"/>
  <c r="F56" i="154"/>
  <c r="O56" i="154" s="1"/>
  <c r="F59" i="154"/>
  <c r="O59" i="154" s="1"/>
  <c r="F61" i="154"/>
  <c r="O61" i="154" s="1"/>
  <c r="F50" i="154"/>
  <c r="O50" i="154" s="1"/>
  <c r="E60" i="152"/>
  <c r="K60" i="152" s="1"/>
  <c r="E56" i="152"/>
  <c r="K56" i="152" s="1"/>
  <c r="E59" i="152"/>
  <c r="K59" i="152" s="1"/>
  <c r="L41" i="152"/>
  <c r="L45" i="152"/>
  <c r="L42" i="152"/>
  <c r="L44" i="152"/>
  <c r="O44" i="152" s="1"/>
  <c r="L39" i="152"/>
  <c r="L46" i="152"/>
  <c r="L40" i="152"/>
  <c r="L43" i="152"/>
  <c r="L47" i="152"/>
  <c r="O47" i="152" s="1"/>
  <c r="L48" i="152"/>
  <c r="O48" i="152" s="1"/>
  <c r="L49" i="152"/>
  <c r="L38" i="152"/>
  <c r="F89" i="75"/>
  <c r="I89" i="75" s="1"/>
  <c r="P89" i="75" s="1"/>
  <c r="F87" i="75"/>
  <c r="I87" i="75" s="1"/>
  <c r="P87" i="75" s="1"/>
  <c r="F88" i="75"/>
  <c r="I88" i="75" s="1"/>
  <c r="P88" i="75" s="1"/>
  <c r="F96" i="75"/>
  <c r="I96" i="75" s="1"/>
  <c r="P96" i="75" s="1"/>
  <c r="F91" i="75"/>
  <c r="I91" i="75" s="1"/>
  <c r="P91" i="75" s="1"/>
  <c r="F92" i="75"/>
  <c r="I92" i="75" s="1"/>
  <c r="P92" i="75" s="1"/>
  <c r="F95" i="75"/>
  <c r="I95" i="75" s="1"/>
  <c r="P95" i="75" s="1"/>
  <c r="F97" i="75"/>
  <c r="I97" i="75" s="1"/>
  <c r="P97" i="75" s="1"/>
  <c r="F93" i="75"/>
  <c r="I93" i="75" s="1"/>
  <c r="P93" i="75" s="1"/>
  <c r="F90" i="75"/>
  <c r="I90" i="75" s="1"/>
  <c r="P90" i="75" s="1"/>
  <c r="F98" i="75"/>
  <c r="I98" i="75" s="1"/>
  <c r="P98" i="75" s="1"/>
  <c r="F94" i="75"/>
  <c r="I94" i="75" s="1"/>
  <c r="P94" i="75" s="1"/>
  <c r="D8" i="25"/>
  <c r="D8" i="74"/>
  <c r="BG8" i="17"/>
  <c r="BH7" i="17"/>
  <c r="M28" i="36"/>
  <c r="F40" i="36"/>
  <c r="M35" i="36"/>
  <c r="F47" i="36"/>
  <c r="M29" i="36"/>
  <c r="F41" i="36"/>
  <c r="M34" i="36"/>
  <c r="F46" i="36"/>
  <c r="M33" i="36"/>
  <c r="F45" i="36"/>
  <c r="M30" i="36"/>
  <c r="F42" i="36"/>
  <c r="E48" i="36"/>
  <c r="L36" i="36"/>
  <c r="E39" i="36"/>
  <c r="L27" i="36"/>
  <c r="E44" i="36"/>
  <c r="L32" i="36"/>
  <c r="F43" i="36"/>
  <c r="M31" i="36"/>
  <c r="E45" i="36"/>
  <c r="L33" i="36"/>
  <c r="L34" i="36"/>
  <c r="E46" i="36"/>
  <c r="M37" i="36"/>
  <c r="F49" i="36"/>
  <c r="E47" i="36"/>
  <c r="L35" i="36"/>
  <c r="F48" i="36"/>
  <c r="M36" i="36"/>
  <c r="F44" i="36"/>
  <c r="M32" i="36"/>
  <c r="F39" i="36"/>
  <c r="M27" i="36"/>
  <c r="L30" i="36"/>
  <c r="E42" i="36"/>
  <c r="L31" i="36"/>
  <c r="E43" i="36"/>
  <c r="L29" i="36"/>
  <c r="E41" i="36"/>
  <c r="L37" i="36"/>
  <c r="E49" i="36"/>
  <c r="L28" i="36"/>
  <c r="E40" i="36"/>
  <c r="CC82" i="67"/>
  <c r="I82" i="156" s="1"/>
  <c r="N81" i="36"/>
  <c r="N81" i="32"/>
  <c r="Q81" i="32" s="1"/>
  <c r="Q7" i="70"/>
  <c r="Q9" i="70"/>
  <c r="Q4" i="70"/>
  <c r="Q12" i="70"/>
  <c r="Q6" i="70"/>
  <c r="Q11" i="70"/>
  <c r="Q14" i="70"/>
  <c r="Q3" i="70"/>
  <c r="Q10" i="70"/>
  <c r="Q8" i="70"/>
  <c r="Q13" i="70"/>
  <c r="E74" i="155" l="1"/>
  <c r="L62" i="155"/>
  <c r="P62" i="155" s="1"/>
  <c r="AA18" i="57"/>
  <c r="C29" i="74"/>
  <c r="BE6" i="17"/>
  <c r="V19" i="57"/>
  <c r="W19" i="57" s="1"/>
  <c r="AT48" i="17"/>
  <c r="D6" i="74"/>
  <c r="BE48" i="17"/>
  <c r="D7" i="74"/>
  <c r="BA49" i="17"/>
  <c r="BC49" i="17" s="1"/>
  <c r="W43" i="156"/>
  <c r="AR49" i="17"/>
  <c r="W47" i="156"/>
  <c r="W44" i="156"/>
  <c r="W42" i="156"/>
  <c r="W45" i="156"/>
  <c r="W49" i="156"/>
  <c r="F66" i="156"/>
  <c r="Q54" i="156"/>
  <c r="E73" i="156"/>
  <c r="P61" i="156"/>
  <c r="E69" i="156"/>
  <c r="P57" i="156"/>
  <c r="E71" i="156"/>
  <c r="P59" i="156"/>
  <c r="E68" i="156"/>
  <c r="P56" i="156"/>
  <c r="E64" i="156"/>
  <c r="P52" i="156"/>
  <c r="F73" i="156"/>
  <c r="Q61" i="156"/>
  <c r="E66" i="156"/>
  <c r="P54" i="156"/>
  <c r="F70" i="156"/>
  <c r="Q58" i="156"/>
  <c r="E62" i="156"/>
  <c r="P50" i="156"/>
  <c r="W46" i="156"/>
  <c r="F72" i="156"/>
  <c r="Q60" i="156"/>
  <c r="E70" i="156"/>
  <c r="P58" i="156"/>
  <c r="F51" i="156"/>
  <c r="Q39" i="156"/>
  <c r="W39" i="156" s="1"/>
  <c r="F69" i="156"/>
  <c r="Q57" i="156"/>
  <c r="E67" i="156"/>
  <c r="P55" i="156"/>
  <c r="W48" i="156"/>
  <c r="F71" i="156"/>
  <c r="Q59" i="156"/>
  <c r="F50" i="156"/>
  <c r="Q38" i="156"/>
  <c r="W38" i="156" s="1"/>
  <c r="E72" i="156"/>
  <c r="P60" i="156"/>
  <c r="F68" i="156"/>
  <c r="Q56" i="156"/>
  <c r="W41" i="156"/>
  <c r="F65" i="156"/>
  <c r="Q53" i="156"/>
  <c r="E65" i="156"/>
  <c r="P53" i="156"/>
  <c r="F67" i="156"/>
  <c r="Q55" i="156"/>
  <c r="F52" i="156"/>
  <c r="Q40" i="156"/>
  <c r="W40" i="156" s="1"/>
  <c r="E63" i="156"/>
  <c r="P51" i="156"/>
  <c r="U48" i="154"/>
  <c r="F60" i="154"/>
  <c r="O60" i="154" s="1"/>
  <c r="F54" i="154"/>
  <c r="O54" i="154" s="1"/>
  <c r="U39" i="154"/>
  <c r="F51" i="154"/>
  <c r="O51" i="154" s="1"/>
  <c r="U42" i="154"/>
  <c r="E76" i="155"/>
  <c r="L64" i="155"/>
  <c r="P64" i="155" s="1"/>
  <c r="E83" i="155"/>
  <c r="L71" i="155"/>
  <c r="P71" i="155" s="1"/>
  <c r="E81" i="155"/>
  <c r="L69" i="155"/>
  <c r="P69" i="155" s="1"/>
  <c r="E84" i="155"/>
  <c r="L72" i="155"/>
  <c r="P72" i="155" s="1"/>
  <c r="E80" i="155"/>
  <c r="L68" i="155"/>
  <c r="P68" i="155" s="1"/>
  <c r="E75" i="155"/>
  <c r="L63" i="155"/>
  <c r="P63" i="155" s="1"/>
  <c r="E82" i="155"/>
  <c r="L70" i="155"/>
  <c r="P70" i="155" s="1"/>
  <c r="E77" i="155"/>
  <c r="L65" i="155"/>
  <c r="P65" i="155" s="1"/>
  <c r="E85" i="155"/>
  <c r="L73" i="155"/>
  <c r="P73" i="155" s="1"/>
  <c r="E78" i="155"/>
  <c r="L66" i="155"/>
  <c r="P66" i="155" s="1"/>
  <c r="E79" i="155"/>
  <c r="L67" i="155"/>
  <c r="P67" i="155" s="1"/>
  <c r="U46" i="154"/>
  <c r="F52" i="154"/>
  <c r="O52" i="154" s="1"/>
  <c r="U40" i="154"/>
  <c r="F58" i="154"/>
  <c r="O58" i="154" s="1"/>
  <c r="BA7" i="17"/>
  <c r="BC7" i="17" s="1"/>
  <c r="F55" i="154"/>
  <c r="O55" i="154" s="1"/>
  <c r="U43" i="154"/>
  <c r="Q37" i="36"/>
  <c r="Q34" i="36"/>
  <c r="O40" i="152"/>
  <c r="O43" i="152"/>
  <c r="E61" i="152"/>
  <c r="K61" i="152" s="1"/>
  <c r="Q30" i="36"/>
  <c r="Q32" i="36"/>
  <c r="Q29" i="36"/>
  <c r="E52" i="152"/>
  <c r="K52" i="152" s="1"/>
  <c r="Q27" i="36"/>
  <c r="Q35" i="36"/>
  <c r="Q28" i="36"/>
  <c r="Q36" i="36"/>
  <c r="Q33" i="36"/>
  <c r="Q31" i="36"/>
  <c r="O42" i="152"/>
  <c r="O38" i="152"/>
  <c r="O39" i="152"/>
  <c r="O41" i="152"/>
  <c r="O46" i="152"/>
  <c r="O49" i="152"/>
  <c r="O45" i="152"/>
  <c r="G82" i="154"/>
  <c r="P82" i="154" s="1"/>
  <c r="G82" i="153"/>
  <c r="P82" i="153" s="1"/>
  <c r="U82" i="153" s="1"/>
  <c r="K82" i="75"/>
  <c r="H82" i="28"/>
  <c r="N82" i="28" s="1"/>
  <c r="O82" i="28" s="1"/>
  <c r="H82" i="38"/>
  <c r="N82" i="38" s="1"/>
  <c r="E57" i="152"/>
  <c r="K57" i="152" s="1"/>
  <c r="E58" i="152"/>
  <c r="K58" i="152" s="1"/>
  <c r="E53" i="152"/>
  <c r="K53" i="152" s="1"/>
  <c r="E55" i="152"/>
  <c r="K55" i="152" s="1"/>
  <c r="E51" i="152"/>
  <c r="K51" i="152" s="1"/>
  <c r="N50" i="154"/>
  <c r="U50" i="154" s="1"/>
  <c r="E62" i="154"/>
  <c r="E54" i="152"/>
  <c r="K54" i="152" s="1"/>
  <c r="K50" i="152"/>
  <c r="E62" i="152"/>
  <c r="F99" i="75"/>
  <c r="I99" i="75" s="1"/>
  <c r="P99" i="75" s="1"/>
  <c r="F62" i="154"/>
  <c r="O62" i="154" s="1"/>
  <c r="F73" i="154"/>
  <c r="O73" i="154" s="1"/>
  <c r="F71" i="154"/>
  <c r="O71" i="154" s="1"/>
  <c r="F68" i="154"/>
  <c r="O68" i="154" s="1"/>
  <c r="F69" i="154"/>
  <c r="O69" i="154" s="1"/>
  <c r="F65" i="154"/>
  <c r="O65" i="154" s="1"/>
  <c r="E61" i="154"/>
  <c r="N61" i="154" s="1"/>
  <c r="U61" i="154" s="1"/>
  <c r="E54" i="154"/>
  <c r="N54" i="154" s="1"/>
  <c r="E59" i="154"/>
  <c r="N59" i="154" s="1"/>
  <c r="U59" i="154" s="1"/>
  <c r="E56" i="154"/>
  <c r="N56" i="154" s="1"/>
  <c r="U56" i="154" s="1"/>
  <c r="E52" i="154"/>
  <c r="N52" i="154" s="1"/>
  <c r="E58" i="154"/>
  <c r="N58" i="154" s="1"/>
  <c r="E57" i="154"/>
  <c r="N57" i="154" s="1"/>
  <c r="U57" i="154" s="1"/>
  <c r="E53" i="154"/>
  <c r="N53" i="154" s="1"/>
  <c r="U53" i="154" s="1"/>
  <c r="E55" i="154"/>
  <c r="N55" i="154" s="1"/>
  <c r="E51" i="154"/>
  <c r="N51" i="154" s="1"/>
  <c r="E60" i="154"/>
  <c r="N60" i="154" s="1"/>
  <c r="F101" i="75"/>
  <c r="I101" i="75" s="1"/>
  <c r="P101" i="75" s="1"/>
  <c r="F100" i="75"/>
  <c r="I100" i="75" s="1"/>
  <c r="P100" i="75" s="1"/>
  <c r="L50" i="152"/>
  <c r="L61" i="152"/>
  <c r="L60" i="152"/>
  <c r="O60" i="152" s="1"/>
  <c r="L59" i="152"/>
  <c r="O59" i="152" s="1"/>
  <c r="L55" i="152"/>
  <c r="L52" i="152"/>
  <c r="L58" i="152"/>
  <c r="L51" i="152"/>
  <c r="L56" i="152"/>
  <c r="O56" i="152" s="1"/>
  <c r="L54" i="152"/>
  <c r="L57" i="152"/>
  <c r="L53" i="152"/>
  <c r="E71" i="152"/>
  <c r="K71" i="152" s="1"/>
  <c r="E68" i="152"/>
  <c r="K68" i="152" s="1"/>
  <c r="E72" i="152"/>
  <c r="K72" i="152" s="1"/>
  <c r="F105" i="75"/>
  <c r="I105" i="75" s="1"/>
  <c r="P105" i="75" s="1"/>
  <c r="F109" i="75"/>
  <c r="I109" i="75" s="1"/>
  <c r="P109" i="75" s="1"/>
  <c r="F102" i="75"/>
  <c r="I102" i="75" s="1"/>
  <c r="P102" i="75" s="1"/>
  <c r="O95" i="75"/>
  <c r="F107" i="75"/>
  <c r="I107" i="75" s="1"/>
  <c r="P107" i="75" s="1"/>
  <c r="F103" i="75"/>
  <c r="I103" i="75" s="1"/>
  <c r="P103" i="75" s="1"/>
  <c r="F104" i="75"/>
  <c r="I104" i="75" s="1"/>
  <c r="P104" i="75" s="1"/>
  <c r="F106" i="75"/>
  <c r="I106" i="75" s="1"/>
  <c r="P106" i="75" s="1"/>
  <c r="F110" i="75"/>
  <c r="I110" i="75" s="1"/>
  <c r="P110" i="75" s="1"/>
  <c r="F108" i="75"/>
  <c r="I108" i="75" s="1"/>
  <c r="P108" i="75" s="1"/>
  <c r="E8" i="25"/>
  <c r="E8" i="74"/>
  <c r="BH8" i="17"/>
  <c r="BG9" i="17"/>
  <c r="M42" i="36"/>
  <c r="F54" i="36"/>
  <c r="E52" i="36"/>
  <c r="L40" i="36"/>
  <c r="L39" i="36"/>
  <c r="E51" i="36"/>
  <c r="F60" i="36"/>
  <c r="M48" i="36"/>
  <c r="E61" i="36"/>
  <c r="L49" i="36"/>
  <c r="L47" i="36"/>
  <c r="E59" i="36"/>
  <c r="L46" i="36"/>
  <c r="E58" i="36"/>
  <c r="F61" i="36"/>
  <c r="M49" i="36"/>
  <c r="M46" i="36"/>
  <c r="F58" i="36"/>
  <c r="L45" i="36"/>
  <c r="E57" i="36"/>
  <c r="F56" i="36"/>
  <c r="M44" i="36"/>
  <c r="E60" i="36"/>
  <c r="L48" i="36"/>
  <c r="M45" i="36"/>
  <c r="F57" i="36"/>
  <c r="E53" i="36"/>
  <c r="L41" i="36"/>
  <c r="L43" i="36"/>
  <c r="E55" i="36"/>
  <c r="F59" i="36"/>
  <c r="M47" i="36"/>
  <c r="F52" i="36"/>
  <c r="M40" i="36"/>
  <c r="F53" i="36"/>
  <c r="M41" i="36"/>
  <c r="E54" i="36"/>
  <c r="L42" i="36"/>
  <c r="M43" i="36"/>
  <c r="F55" i="36"/>
  <c r="F51" i="36"/>
  <c r="M39" i="36"/>
  <c r="L44" i="36"/>
  <c r="E56" i="36"/>
  <c r="CC83" i="67"/>
  <c r="I83" i="156" s="1"/>
  <c r="N82" i="36"/>
  <c r="N82" i="32"/>
  <c r="Q82" i="32" s="1"/>
  <c r="R10" i="70"/>
  <c r="R3" i="70"/>
  <c r="Q15" i="70"/>
  <c r="E86" i="155" l="1"/>
  <c r="L74" i="155"/>
  <c r="AA19" i="57"/>
  <c r="D29" i="74"/>
  <c r="BE7" i="17"/>
  <c r="V20" i="57"/>
  <c r="W20" i="57" s="1"/>
  <c r="AT49" i="17"/>
  <c r="E6" i="74"/>
  <c r="BE49" i="17"/>
  <c r="E7" i="74"/>
  <c r="BA50" i="17"/>
  <c r="BC50" i="17" s="1"/>
  <c r="AP52" i="17"/>
  <c r="W53" i="156"/>
  <c r="AR50" i="17"/>
  <c r="W58" i="156"/>
  <c r="W59" i="156"/>
  <c r="E79" i="156"/>
  <c r="P67" i="156"/>
  <c r="E78" i="156"/>
  <c r="P66" i="156"/>
  <c r="E77" i="156"/>
  <c r="P65" i="156"/>
  <c r="F81" i="156"/>
  <c r="Q69" i="156"/>
  <c r="F85" i="156"/>
  <c r="Q73" i="156"/>
  <c r="F77" i="156"/>
  <c r="Q65" i="156"/>
  <c r="F63" i="156"/>
  <c r="Q51" i="156"/>
  <c r="W51" i="156" s="1"/>
  <c r="E76" i="156"/>
  <c r="P64" i="156"/>
  <c r="U54" i="154"/>
  <c r="E82" i="156"/>
  <c r="P70" i="156"/>
  <c r="W56" i="156"/>
  <c r="E80" i="156"/>
  <c r="P68" i="156"/>
  <c r="W60" i="156"/>
  <c r="F84" i="156"/>
  <c r="Q72" i="156"/>
  <c r="F80" i="156"/>
  <c r="Q68" i="156"/>
  <c r="E84" i="156"/>
  <c r="P72" i="156"/>
  <c r="E83" i="156"/>
  <c r="P71" i="156"/>
  <c r="F66" i="154"/>
  <c r="O66" i="154" s="1"/>
  <c r="W57" i="156"/>
  <c r="E81" i="156"/>
  <c r="P69" i="156"/>
  <c r="E75" i="156"/>
  <c r="P63" i="156"/>
  <c r="W61" i="156"/>
  <c r="F62" i="156"/>
  <c r="Q50" i="156"/>
  <c r="W50" i="156" s="1"/>
  <c r="U60" i="154"/>
  <c r="F72" i="154"/>
  <c r="O72" i="154" s="1"/>
  <c r="F64" i="156"/>
  <c r="Q52" i="156"/>
  <c r="W52" i="156" s="1"/>
  <c r="F83" i="156"/>
  <c r="Q71" i="156"/>
  <c r="F82" i="156"/>
  <c r="Q70" i="156"/>
  <c r="E85" i="156"/>
  <c r="P73" i="156"/>
  <c r="E74" i="156"/>
  <c r="P62" i="156"/>
  <c r="F79" i="156"/>
  <c r="Q67" i="156"/>
  <c r="W55" i="156"/>
  <c r="W54" i="156"/>
  <c r="F78" i="156"/>
  <c r="Q66" i="156"/>
  <c r="F63" i="154"/>
  <c r="O63" i="154" s="1"/>
  <c r="U51" i="154"/>
  <c r="F70" i="154"/>
  <c r="O70" i="154" s="1"/>
  <c r="F64" i="154"/>
  <c r="O64" i="154" s="1"/>
  <c r="U52" i="154"/>
  <c r="U58" i="154"/>
  <c r="E89" i="155"/>
  <c r="L77" i="155"/>
  <c r="E94" i="155"/>
  <c r="L82" i="155"/>
  <c r="E87" i="155"/>
  <c r="L75" i="155"/>
  <c r="E92" i="155"/>
  <c r="L80" i="155"/>
  <c r="E96" i="155"/>
  <c r="L84" i="155"/>
  <c r="E91" i="155"/>
  <c r="L79" i="155"/>
  <c r="E93" i="155"/>
  <c r="L81" i="155"/>
  <c r="E90" i="155"/>
  <c r="L78" i="155"/>
  <c r="BA8" i="17"/>
  <c r="BC8" i="17" s="1"/>
  <c r="E95" i="155"/>
  <c r="L83" i="155"/>
  <c r="E97" i="155"/>
  <c r="L85" i="155"/>
  <c r="E88" i="155"/>
  <c r="L76" i="155"/>
  <c r="U55" i="154"/>
  <c r="F67" i="154"/>
  <c r="O67" i="154" s="1"/>
  <c r="Q43" i="36"/>
  <c r="E73" i="152"/>
  <c r="K73" i="152" s="1"/>
  <c r="E64" i="152"/>
  <c r="K64" i="152" s="1"/>
  <c r="Q48" i="36"/>
  <c r="O52" i="152"/>
  <c r="O61" i="152"/>
  <c r="O53" i="152"/>
  <c r="O57" i="152"/>
  <c r="Q39" i="36"/>
  <c r="O54" i="152"/>
  <c r="Q45" i="36"/>
  <c r="E65" i="152"/>
  <c r="K65" i="152" s="1"/>
  <c r="Q42" i="36"/>
  <c r="Q40" i="36"/>
  <c r="Q46" i="36"/>
  <c r="Q44" i="36"/>
  <c r="Q47" i="36"/>
  <c r="Q49" i="36"/>
  <c r="Q41" i="36"/>
  <c r="E69" i="152"/>
  <c r="K69" i="152" s="1"/>
  <c r="E70" i="152"/>
  <c r="K70" i="152" s="1"/>
  <c r="O50" i="152"/>
  <c r="O51" i="152"/>
  <c r="O55" i="152"/>
  <c r="O58" i="152"/>
  <c r="G83" i="154"/>
  <c r="P83" i="154" s="1"/>
  <c r="G83" i="153"/>
  <c r="P83" i="153" s="1"/>
  <c r="U83" i="153" s="1"/>
  <c r="K83" i="75"/>
  <c r="H83" i="38"/>
  <c r="N83" i="38" s="1"/>
  <c r="H83" i="28"/>
  <c r="N83" i="28" s="1"/>
  <c r="O83" i="28" s="1"/>
  <c r="E67" i="152"/>
  <c r="K67" i="152" s="1"/>
  <c r="E63" i="152"/>
  <c r="K63" i="152" s="1"/>
  <c r="E66" i="152"/>
  <c r="K66" i="152" s="1"/>
  <c r="F111" i="75"/>
  <c r="I111" i="75" s="1"/>
  <c r="P111" i="75" s="1"/>
  <c r="N62" i="154"/>
  <c r="U62" i="154" s="1"/>
  <c r="E74" i="154"/>
  <c r="K62" i="152"/>
  <c r="E74" i="152"/>
  <c r="E72" i="154"/>
  <c r="N72" i="154" s="1"/>
  <c r="E63" i="154"/>
  <c r="N63" i="154" s="1"/>
  <c r="E67" i="154"/>
  <c r="N67" i="154" s="1"/>
  <c r="E65" i="154"/>
  <c r="N65" i="154" s="1"/>
  <c r="U65" i="154" s="1"/>
  <c r="E69" i="154"/>
  <c r="N69" i="154" s="1"/>
  <c r="U69" i="154" s="1"/>
  <c r="E70" i="154"/>
  <c r="N70" i="154" s="1"/>
  <c r="E64" i="154"/>
  <c r="N64" i="154" s="1"/>
  <c r="E68" i="154"/>
  <c r="N68" i="154" s="1"/>
  <c r="U68" i="154" s="1"/>
  <c r="E71" i="154"/>
  <c r="N71" i="154" s="1"/>
  <c r="U71" i="154" s="1"/>
  <c r="E66" i="154"/>
  <c r="N66" i="154" s="1"/>
  <c r="E73" i="154"/>
  <c r="N73" i="154" s="1"/>
  <c r="U73" i="154" s="1"/>
  <c r="F77" i="154"/>
  <c r="O77" i="154" s="1"/>
  <c r="F81" i="154"/>
  <c r="O81" i="154" s="1"/>
  <c r="F80" i="154"/>
  <c r="O80" i="154" s="1"/>
  <c r="F83" i="154"/>
  <c r="O83" i="154" s="1"/>
  <c r="F85" i="154"/>
  <c r="O85" i="154" s="1"/>
  <c r="F74" i="154"/>
  <c r="O74" i="154" s="1"/>
  <c r="F113" i="75"/>
  <c r="I113" i="75" s="1"/>
  <c r="P113" i="75" s="1"/>
  <c r="F112" i="75"/>
  <c r="I112" i="75" s="1"/>
  <c r="P112" i="75" s="1"/>
  <c r="E84" i="152"/>
  <c r="K84" i="152" s="1"/>
  <c r="E80" i="152"/>
  <c r="K80" i="152" s="1"/>
  <c r="E83" i="152"/>
  <c r="K83" i="152" s="1"/>
  <c r="L65" i="152"/>
  <c r="L69" i="152"/>
  <c r="L66" i="152"/>
  <c r="L68" i="152"/>
  <c r="O68" i="152" s="1"/>
  <c r="L63" i="152"/>
  <c r="L70" i="152"/>
  <c r="L64" i="152"/>
  <c r="L67" i="152"/>
  <c r="L71" i="152"/>
  <c r="O71" i="152" s="1"/>
  <c r="L72" i="152"/>
  <c r="O72" i="152" s="1"/>
  <c r="L73" i="152"/>
  <c r="L62" i="152"/>
  <c r="F116" i="75"/>
  <c r="I116" i="75" s="1"/>
  <c r="P116" i="75" s="1"/>
  <c r="F121" i="75"/>
  <c r="I121" i="75" s="1"/>
  <c r="P121" i="75" s="1"/>
  <c r="F115" i="75"/>
  <c r="I115" i="75" s="1"/>
  <c r="P115" i="75" s="1"/>
  <c r="F120" i="75"/>
  <c r="I120" i="75" s="1"/>
  <c r="P120" i="75" s="1"/>
  <c r="F118" i="75"/>
  <c r="I118" i="75" s="1"/>
  <c r="P118" i="75" s="1"/>
  <c r="F119" i="75"/>
  <c r="I119" i="75" s="1"/>
  <c r="P119" i="75" s="1"/>
  <c r="F114" i="75"/>
  <c r="I114" i="75" s="1"/>
  <c r="P114" i="75" s="1"/>
  <c r="F117" i="75"/>
  <c r="I117" i="75" s="1"/>
  <c r="P117" i="75" s="1"/>
  <c r="F8" i="25"/>
  <c r="F8" i="74"/>
  <c r="BG10" i="17"/>
  <c r="BH9" i="17"/>
  <c r="E70" i="36"/>
  <c r="L58" i="36"/>
  <c r="L55" i="36"/>
  <c r="E67" i="36"/>
  <c r="L53" i="36"/>
  <c r="E65" i="36"/>
  <c r="E73" i="36"/>
  <c r="L61" i="36"/>
  <c r="E63" i="36"/>
  <c r="L51" i="36"/>
  <c r="M59" i="36"/>
  <c r="F71" i="36"/>
  <c r="E71" i="36"/>
  <c r="L59" i="36"/>
  <c r="F69" i="36"/>
  <c r="M57" i="36"/>
  <c r="M51" i="36"/>
  <c r="F63" i="36"/>
  <c r="F67" i="36"/>
  <c r="M55" i="36"/>
  <c r="F72" i="36"/>
  <c r="M60" i="36"/>
  <c r="M53" i="36"/>
  <c r="F65" i="36"/>
  <c r="L54" i="36"/>
  <c r="E66" i="36"/>
  <c r="E69" i="36"/>
  <c r="L57" i="36"/>
  <c r="F70" i="36"/>
  <c r="M58" i="36"/>
  <c r="M54" i="36"/>
  <c r="F66" i="36"/>
  <c r="M61" i="36"/>
  <c r="F73" i="36"/>
  <c r="L56" i="36"/>
  <c r="E68" i="36"/>
  <c r="L60" i="36"/>
  <c r="E72" i="36"/>
  <c r="F68" i="36"/>
  <c r="M56" i="36"/>
  <c r="L52" i="36"/>
  <c r="E64" i="36"/>
  <c r="M52" i="36"/>
  <c r="F64" i="36"/>
  <c r="I48" i="70"/>
  <c r="D47" i="70"/>
  <c r="CC84" i="67"/>
  <c r="I84" i="156" s="1"/>
  <c r="N83" i="36"/>
  <c r="N83" i="32"/>
  <c r="Q83" i="32" s="1"/>
  <c r="D43" i="70"/>
  <c r="I44" i="70"/>
  <c r="E98" i="155" l="1"/>
  <c r="L86" i="155"/>
  <c r="AA20" i="57"/>
  <c r="E29" i="74"/>
  <c r="BE8" i="17"/>
  <c r="V21" i="57"/>
  <c r="W21" i="57" s="1"/>
  <c r="AT50" i="17"/>
  <c r="F6" i="74"/>
  <c r="BE50" i="17"/>
  <c r="F7" i="74"/>
  <c r="BA51" i="17"/>
  <c r="BC51" i="17" s="1"/>
  <c r="W72" i="156"/>
  <c r="W71" i="156"/>
  <c r="U66" i="154"/>
  <c r="W69" i="156"/>
  <c r="F78" i="154"/>
  <c r="O78" i="154" s="1"/>
  <c r="F82" i="154"/>
  <c r="O82" i="154" s="1"/>
  <c r="U64" i="154"/>
  <c r="F84" i="154"/>
  <c r="O84" i="154" s="1"/>
  <c r="W70" i="156"/>
  <c r="F76" i="154"/>
  <c r="O76" i="154" s="1"/>
  <c r="U72" i="154"/>
  <c r="F95" i="156"/>
  <c r="Q83" i="156"/>
  <c r="E88" i="156"/>
  <c r="P76" i="156"/>
  <c r="E95" i="156"/>
  <c r="P83" i="156"/>
  <c r="F76" i="156"/>
  <c r="Q64" i="156"/>
  <c r="W64" i="156" s="1"/>
  <c r="F75" i="156"/>
  <c r="Q63" i="156"/>
  <c r="W63" i="156" s="1"/>
  <c r="E96" i="156"/>
  <c r="P84" i="156"/>
  <c r="F90" i="156"/>
  <c r="Q78" i="156"/>
  <c r="F89" i="156"/>
  <c r="Q77" i="156"/>
  <c r="F92" i="156"/>
  <c r="Q80" i="156"/>
  <c r="F74" i="156"/>
  <c r="Q62" i="156"/>
  <c r="W62" i="156" s="1"/>
  <c r="F96" i="156"/>
  <c r="Q84" i="156"/>
  <c r="F97" i="156"/>
  <c r="Q85" i="156"/>
  <c r="F91" i="156"/>
  <c r="Q79" i="156"/>
  <c r="E87" i="156"/>
  <c r="P75" i="156"/>
  <c r="W68" i="156"/>
  <c r="F93" i="156"/>
  <c r="Q81" i="156"/>
  <c r="E86" i="156"/>
  <c r="P74" i="156"/>
  <c r="E92" i="156"/>
  <c r="P80" i="156"/>
  <c r="W65" i="156"/>
  <c r="W73" i="156"/>
  <c r="E93" i="156"/>
  <c r="P81" i="156"/>
  <c r="E89" i="156"/>
  <c r="P77" i="156"/>
  <c r="E97" i="156"/>
  <c r="P85" i="156"/>
  <c r="W66" i="156"/>
  <c r="F75" i="154"/>
  <c r="O75" i="154" s="1"/>
  <c r="E94" i="156"/>
  <c r="P82" i="156"/>
  <c r="E90" i="156"/>
  <c r="P78" i="156"/>
  <c r="F94" i="156"/>
  <c r="Q82" i="156"/>
  <c r="W67" i="156"/>
  <c r="U63" i="154"/>
  <c r="E91" i="156"/>
  <c r="P79" i="156"/>
  <c r="U70" i="154"/>
  <c r="BA9" i="17"/>
  <c r="BC9" i="17" s="1"/>
  <c r="E102" i="155"/>
  <c r="L90" i="155"/>
  <c r="E105" i="155"/>
  <c r="L93" i="155"/>
  <c r="E103" i="155"/>
  <c r="L91" i="155"/>
  <c r="E108" i="155"/>
  <c r="L96" i="155"/>
  <c r="E104" i="155"/>
  <c r="L92" i="155"/>
  <c r="E100" i="155"/>
  <c r="L88" i="155"/>
  <c r="E99" i="155"/>
  <c r="L87" i="155"/>
  <c r="E106" i="155"/>
  <c r="L94" i="155"/>
  <c r="E109" i="155"/>
  <c r="L97" i="155"/>
  <c r="E107" i="155"/>
  <c r="L95" i="155"/>
  <c r="E101" i="155"/>
  <c r="L89" i="155"/>
  <c r="E76" i="152"/>
  <c r="K76" i="152" s="1"/>
  <c r="E85" i="152"/>
  <c r="K85" i="152" s="1"/>
  <c r="U67" i="154"/>
  <c r="F79" i="154"/>
  <c r="O79" i="154" s="1"/>
  <c r="O64" i="152"/>
  <c r="O73" i="152"/>
  <c r="O65" i="152"/>
  <c r="E81" i="152"/>
  <c r="K81" i="152" s="1"/>
  <c r="E82" i="152"/>
  <c r="K82" i="152" s="1"/>
  <c r="E77" i="152"/>
  <c r="K77" i="152" s="1"/>
  <c r="Q59" i="36"/>
  <c r="O70" i="152"/>
  <c r="Q58" i="36"/>
  <c r="O66" i="152"/>
  <c r="O69" i="152"/>
  <c r="Q52" i="36"/>
  <c r="Q61" i="36"/>
  <c r="Q53" i="36"/>
  <c r="Q54" i="36"/>
  <c r="E78" i="152"/>
  <c r="K78" i="152" s="1"/>
  <c r="Q60" i="36"/>
  <c r="Q57" i="36"/>
  <c r="Q56" i="36"/>
  <c r="Q55" i="36"/>
  <c r="Q51" i="36"/>
  <c r="E79" i="152"/>
  <c r="K79" i="152" s="1"/>
  <c r="E75" i="152"/>
  <c r="K75" i="152" s="1"/>
  <c r="O62" i="152"/>
  <c r="G84" i="154"/>
  <c r="P84" i="154" s="1"/>
  <c r="G84" i="153"/>
  <c r="P84" i="153" s="1"/>
  <c r="U84" i="153" s="1"/>
  <c r="K84" i="75"/>
  <c r="H84" i="38"/>
  <c r="N84" i="38" s="1"/>
  <c r="H84" i="28"/>
  <c r="N84" i="28" s="1"/>
  <c r="O84" i="28" s="1"/>
  <c r="O63" i="152"/>
  <c r="O67" i="152"/>
  <c r="N74" i="154"/>
  <c r="U74" i="154" s="1"/>
  <c r="E86" i="154"/>
  <c r="K74" i="152"/>
  <c r="E86" i="152"/>
  <c r="F86" i="154"/>
  <c r="O86" i="154" s="1"/>
  <c r="F97" i="154"/>
  <c r="O97" i="154" s="1"/>
  <c r="F95" i="154"/>
  <c r="O95" i="154" s="1"/>
  <c r="F92" i="154"/>
  <c r="O92" i="154" s="1"/>
  <c r="F93" i="154"/>
  <c r="O93" i="154" s="1"/>
  <c r="F89" i="154"/>
  <c r="O89" i="154" s="1"/>
  <c r="E85" i="154"/>
  <c r="N85" i="154" s="1"/>
  <c r="E78" i="154"/>
  <c r="N78" i="154" s="1"/>
  <c r="E83" i="154"/>
  <c r="N83" i="154" s="1"/>
  <c r="U83" i="154" s="1"/>
  <c r="E80" i="154"/>
  <c r="N80" i="154" s="1"/>
  <c r="U80" i="154" s="1"/>
  <c r="E76" i="154"/>
  <c r="N76" i="154" s="1"/>
  <c r="E82" i="154"/>
  <c r="N82" i="154" s="1"/>
  <c r="E81" i="154"/>
  <c r="N81" i="154" s="1"/>
  <c r="U81" i="154" s="1"/>
  <c r="E77" i="154"/>
  <c r="N77" i="154" s="1"/>
  <c r="U77" i="154" s="1"/>
  <c r="E79" i="154"/>
  <c r="N79" i="154" s="1"/>
  <c r="E75" i="154"/>
  <c r="N75" i="154" s="1"/>
  <c r="E84" i="154"/>
  <c r="N84" i="154" s="1"/>
  <c r="L74" i="152"/>
  <c r="L85" i="152"/>
  <c r="L84" i="152"/>
  <c r="O84" i="152" s="1"/>
  <c r="L83" i="152"/>
  <c r="O83" i="152" s="1"/>
  <c r="L79" i="152"/>
  <c r="L76" i="152"/>
  <c r="L82" i="152"/>
  <c r="L75" i="152"/>
  <c r="L80" i="152"/>
  <c r="O80" i="152" s="1"/>
  <c r="L78" i="152"/>
  <c r="L81" i="152"/>
  <c r="L77" i="152"/>
  <c r="E95" i="152"/>
  <c r="K95" i="152" s="1"/>
  <c r="E92" i="152"/>
  <c r="K92" i="152" s="1"/>
  <c r="E96" i="152"/>
  <c r="K96" i="152" s="1"/>
  <c r="G8" i="74"/>
  <c r="G8" i="25"/>
  <c r="BH10" i="17"/>
  <c r="BG11" i="17"/>
  <c r="M69" i="36"/>
  <c r="F81" i="36"/>
  <c r="M70" i="36"/>
  <c r="F82" i="36"/>
  <c r="F76" i="36"/>
  <c r="M64" i="36"/>
  <c r="L63" i="36"/>
  <c r="E75" i="36"/>
  <c r="F78" i="36"/>
  <c r="M66" i="36"/>
  <c r="L71" i="36"/>
  <c r="E83" i="36"/>
  <c r="M68" i="36"/>
  <c r="F80" i="36"/>
  <c r="F83" i="36"/>
  <c r="M71" i="36"/>
  <c r="L69" i="36"/>
  <c r="E81" i="36"/>
  <c r="F77" i="36"/>
  <c r="M65" i="36"/>
  <c r="E84" i="36"/>
  <c r="L72" i="36"/>
  <c r="E78" i="36"/>
  <c r="L66" i="36"/>
  <c r="L65" i="36"/>
  <c r="E77" i="36"/>
  <c r="E80" i="36"/>
  <c r="L68" i="36"/>
  <c r="E79" i="36"/>
  <c r="L67" i="36"/>
  <c r="M73" i="36"/>
  <c r="F85" i="36"/>
  <c r="F75" i="36"/>
  <c r="M63" i="36"/>
  <c r="E76" i="36"/>
  <c r="L64" i="36"/>
  <c r="E85" i="36"/>
  <c r="L73" i="36"/>
  <c r="F84" i="36"/>
  <c r="M72" i="36"/>
  <c r="F79" i="36"/>
  <c r="M67" i="36"/>
  <c r="L70" i="36"/>
  <c r="E82" i="36"/>
  <c r="CC85" i="67"/>
  <c r="I85" i="156" s="1"/>
  <c r="N84" i="36"/>
  <c r="N84" i="32"/>
  <c r="Q84" i="32" s="1"/>
  <c r="N25" i="76"/>
  <c r="N21" i="77"/>
  <c r="N24" i="77"/>
  <c r="O21" i="77"/>
  <c r="O24" i="77"/>
  <c r="N25" i="77"/>
  <c r="O25" i="76"/>
  <c r="N23" i="77"/>
  <c r="N24" i="76"/>
  <c r="O22" i="77"/>
  <c r="O22" i="76"/>
  <c r="O24" i="76"/>
  <c r="O23" i="76"/>
  <c r="N23" i="76"/>
  <c r="O23" i="77"/>
  <c r="N22" i="77"/>
  <c r="O25" i="77"/>
  <c r="N22" i="76"/>
  <c r="BS6" i="17"/>
  <c r="BT6" i="17" s="1"/>
  <c r="D10" i="74" s="1"/>
  <c r="O74" i="152" l="1"/>
  <c r="E110" i="155"/>
  <c r="L98" i="155"/>
  <c r="AA21" i="57"/>
  <c r="F29" i="74"/>
  <c r="BE9" i="17"/>
  <c r="V22" i="57"/>
  <c r="W22" i="57" s="1"/>
  <c r="BE51" i="17"/>
  <c r="G7" i="74"/>
  <c r="BA52" i="17"/>
  <c r="BC52" i="17" s="1"/>
  <c r="F94" i="154"/>
  <c r="O94" i="154" s="1"/>
  <c r="F90" i="154"/>
  <c r="O90" i="154" s="1"/>
  <c r="U78" i="154"/>
  <c r="U76" i="154"/>
  <c r="U82" i="154"/>
  <c r="AR52" i="17"/>
  <c r="BA10" i="17"/>
  <c r="BC10" i="17" s="1"/>
  <c r="U84" i="154"/>
  <c r="U75" i="154"/>
  <c r="F88" i="154"/>
  <c r="O88" i="154" s="1"/>
  <c r="F96" i="154"/>
  <c r="O96" i="154" s="1"/>
  <c r="E106" i="156"/>
  <c r="P94" i="156"/>
  <c r="F105" i="156"/>
  <c r="Q93" i="156"/>
  <c r="F101" i="156"/>
  <c r="Q89" i="156"/>
  <c r="E99" i="156"/>
  <c r="P87" i="156"/>
  <c r="F102" i="156"/>
  <c r="Q90" i="156"/>
  <c r="E108" i="156"/>
  <c r="P96" i="156"/>
  <c r="E101" i="156"/>
  <c r="P89" i="156"/>
  <c r="F87" i="156"/>
  <c r="Q75" i="156"/>
  <c r="F109" i="156"/>
  <c r="Q97" i="156"/>
  <c r="F88" i="156"/>
  <c r="Q76" i="156"/>
  <c r="F108" i="156"/>
  <c r="Q96" i="156"/>
  <c r="E107" i="156"/>
  <c r="P95" i="156"/>
  <c r="E109" i="156"/>
  <c r="P97" i="156"/>
  <c r="F106" i="156"/>
  <c r="Q94" i="156"/>
  <c r="E104" i="156"/>
  <c r="P92" i="156"/>
  <c r="F86" i="156"/>
  <c r="Q74" i="156"/>
  <c r="E100" i="156"/>
  <c r="P88" i="156"/>
  <c r="E103" i="156"/>
  <c r="P91" i="156"/>
  <c r="E105" i="156"/>
  <c r="P93" i="156"/>
  <c r="E102" i="156"/>
  <c r="P90" i="156"/>
  <c r="E98" i="156"/>
  <c r="P86" i="156"/>
  <c r="F103" i="156"/>
  <c r="Q91" i="156"/>
  <c r="F87" i="154"/>
  <c r="O87" i="154" s="1"/>
  <c r="F104" i="156"/>
  <c r="Q92" i="156"/>
  <c r="F107" i="156"/>
  <c r="Q95" i="156"/>
  <c r="O76" i="152"/>
  <c r="O85" i="152"/>
  <c r="E97" i="152"/>
  <c r="K97" i="152" s="1"/>
  <c r="E118" i="155"/>
  <c r="L106" i="155"/>
  <c r="E111" i="155"/>
  <c r="L99" i="155"/>
  <c r="E112" i="155"/>
  <c r="L100" i="155"/>
  <c r="E116" i="155"/>
  <c r="L104" i="155"/>
  <c r="E120" i="155"/>
  <c r="L108" i="155"/>
  <c r="E113" i="155"/>
  <c r="L101" i="155"/>
  <c r="E115" i="155"/>
  <c r="L103" i="155"/>
  <c r="E88" i="152"/>
  <c r="K88" i="152" s="1"/>
  <c r="U79" i="154"/>
  <c r="F91" i="154"/>
  <c r="O91" i="154" s="1"/>
  <c r="E119" i="155"/>
  <c r="L107" i="155"/>
  <c r="E117" i="155"/>
  <c r="L105" i="155"/>
  <c r="E121" i="155"/>
  <c r="L109" i="155"/>
  <c r="E114" i="155"/>
  <c r="L102" i="155"/>
  <c r="E93" i="152"/>
  <c r="K93" i="152" s="1"/>
  <c r="O81" i="152"/>
  <c r="O77" i="152"/>
  <c r="E89" i="152"/>
  <c r="K89" i="152" s="1"/>
  <c r="E94" i="152"/>
  <c r="K94" i="152" s="1"/>
  <c r="Q67" i="36"/>
  <c r="O82" i="152"/>
  <c r="O78" i="152"/>
  <c r="O75" i="152"/>
  <c r="Q69" i="36"/>
  <c r="E90" i="152"/>
  <c r="K90" i="152" s="1"/>
  <c r="Q64" i="36"/>
  <c r="Q70" i="36"/>
  <c r="E91" i="152"/>
  <c r="K91" i="152" s="1"/>
  <c r="Q68" i="36"/>
  <c r="Q71" i="36"/>
  <c r="O79" i="152"/>
  <c r="Q65" i="36"/>
  <c r="E87" i="152"/>
  <c r="K87" i="152" s="1"/>
  <c r="Q63" i="36"/>
  <c r="Q66" i="36"/>
  <c r="Q73" i="36"/>
  <c r="Q72" i="36"/>
  <c r="G85" i="154"/>
  <c r="P85" i="154" s="1"/>
  <c r="U85" i="154" s="1"/>
  <c r="G85" i="153"/>
  <c r="P85" i="153" s="1"/>
  <c r="U85" i="153" s="1"/>
  <c r="K85" i="75"/>
  <c r="H85" i="28"/>
  <c r="N85" i="28" s="1"/>
  <c r="O85" i="28" s="1"/>
  <c r="H85" i="38"/>
  <c r="N85" i="38" s="1"/>
  <c r="N86" i="154"/>
  <c r="E98" i="154"/>
  <c r="K86" i="152"/>
  <c r="E98" i="152"/>
  <c r="E96" i="154"/>
  <c r="N96" i="154" s="1"/>
  <c r="E87" i="154"/>
  <c r="N87" i="154" s="1"/>
  <c r="E91" i="154"/>
  <c r="N91" i="154" s="1"/>
  <c r="E89" i="154"/>
  <c r="N89" i="154" s="1"/>
  <c r="E93" i="154"/>
  <c r="N93" i="154" s="1"/>
  <c r="E94" i="154"/>
  <c r="N94" i="154" s="1"/>
  <c r="E88" i="154"/>
  <c r="N88" i="154" s="1"/>
  <c r="E92" i="154"/>
  <c r="N92" i="154" s="1"/>
  <c r="E95" i="154"/>
  <c r="N95" i="154" s="1"/>
  <c r="E90" i="154"/>
  <c r="N90" i="154" s="1"/>
  <c r="E97" i="154"/>
  <c r="N97" i="154" s="1"/>
  <c r="F101" i="154"/>
  <c r="O101" i="154" s="1"/>
  <c r="F105" i="154"/>
  <c r="O105" i="154" s="1"/>
  <c r="F104" i="154"/>
  <c r="O104" i="154" s="1"/>
  <c r="F107" i="154"/>
  <c r="O107" i="154" s="1"/>
  <c r="F109" i="154"/>
  <c r="O109" i="154" s="1"/>
  <c r="F98" i="154"/>
  <c r="O98" i="154" s="1"/>
  <c r="E108" i="152"/>
  <c r="K108" i="152" s="1"/>
  <c r="E104" i="152"/>
  <c r="K104" i="152" s="1"/>
  <c r="E107" i="152"/>
  <c r="K107" i="152" s="1"/>
  <c r="L89" i="152"/>
  <c r="L93" i="152"/>
  <c r="L90" i="152"/>
  <c r="L92" i="152"/>
  <c r="O92" i="152" s="1"/>
  <c r="L87" i="152"/>
  <c r="L94" i="152"/>
  <c r="L88" i="152"/>
  <c r="L91" i="152"/>
  <c r="L95" i="152"/>
  <c r="O95" i="152" s="1"/>
  <c r="L96" i="152"/>
  <c r="O96" i="152" s="1"/>
  <c r="L97" i="152"/>
  <c r="L86" i="152"/>
  <c r="D10" i="25"/>
  <c r="H8" i="25"/>
  <c r="H8" i="74"/>
  <c r="BH11" i="17"/>
  <c r="BG12" i="17"/>
  <c r="M78" i="36"/>
  <c r="F90" i="36"/>
  <c r="E87" i="36"/>
  <c r="L75" i="36"/>
  <c r="F95" i="36"/>
  <c r="M83" i="36"/>
  <c r="F96" i="36"/>
  <c r="M84" i="36"/>
  <c r="L78" i="36"/>
  <c r="E90" i="36"/>
  <c r="F91" i="36"/>
  <c r="M79" i="36"/>
  <c r="F92" i="36"/>
  <c r="M80" i="36"/>
  <c r="F88" i="36"/>
  <c r="M76" i="36"/>
  <c r="M85" i="36"/>
  <c r="F97" i="36"/>
  <c r="E92" i="36"/>
  <c r="L80" i="36"/>
  <c r="F94" i="36"/>
  <c r="M82" i="36"/>
  <c r="E97" i="36"/>
  <c r="L85" i="36"/>
  <c r="L79" i="36"/>
  <c r="E91" i="36"/>
  <c r="L82" i="36"/>
  <c r="E94" i="36"/>
  <c r="E95" i="36"/>
  <c r="L83" i="36"/>
  <c r="E89" i="36"/>
  <c r="L77" i="36"/>
  <c r="E93" i="36"/>
  <c r="L81" i="36"/>
  <c r="M81" i="36"/>
  <c r="F93" i="36"/>
  <c r="E96" i="36"/>
  <c r="L84" i="36"/>
  <c r="E88" i="36"/>
  <c r="L76" i="36"/>
  <c r="M77" i="36"/>
  <c r="F89" i="36"/>
  <c r="F87" i="36"/>
  <c r="M75" i="36"/>
  <c r="CC86" i="67"/>
  <c r="I86" i="156" s="1"/>
  <c r="N85" i="36"/>
  <c r="N85" i="32"/>
  <c r="Q85" i="32" s="1"/>
  <c r="E34" i="76"/>
  <c r="N34" i="76" s="1"/>
  <c r="F36" i="76"/>
  <c r="O36" i="76" s="1"/>
  <c r="E34" i="77"/>
  <c r="N34" i="77" s="1"/>
  <c r="F37" i="76"/>
  <c r="O37" i="76" s="1"/>
  <c r="F33" i="77"/>
  <c r="O33" i="77" s="1"/>
  <c r="F36" i="77"/>
  <c r="O36" i="77" s="1"/>
  <c r="E36" i="76"/>
  <c r="N36" i="76" s="1"/>
  <c r="E37" i="76"/>
  <c r="N37" i="76" s="1"/>
  <c r="E37" i="77"/>
  <c r="N37" i="77" s="1"/>
  <c r="F37" i="77"/>
  <c r="O37" i="77" s="1"/>
  <c r="F35" i="77"/>
  <c r="O35" i="77" s="1"/>
  <c r="E35" i="76"/>
  <c r="N35" i="76" s="1"/>
  <c r="F34" i="76"/>
  <c r="O34" i="76" s="1"/>
  <c r="F34" i="77"/>
  <c r="O34" i="77" s="1"/>
  <c r="E36" i="77"/>
  <c r="N36" i="77" s="1"/>
  <c r="E35" i="77"/>
  <c r="N35" i="77" s="1"/>
  <c r="F35" i="76"/>
  <c r="O35" i="76" s="1"/>
  <c r="E33" i="77"/>
  <c r="N33" i="77" s="1"/>
  <c r="BS7" i="17"/>
  <c r="BT7" i="17" s="1"/>
  <c r="E10" i="74" s="1"/>
  <c r="B6" i="24"/>
  <c r="D6" i="24" s="1"/>
  <c r="E122" i="155" l="1"/>
  <c r="L110" i="155"/>
  <c r="AA22" i="57"/>
  <c r="G29" i="74"/>
  <c r="BE10" i="17"/>
  <c r="V23" i="57"/>
  <c r="W23" i="57" s="1"/>
  <c r="AT52" i="17"/>
  <c r="H6" i="74"/>
  <c r="BE52" i="17"/>
  <c r="H7" i="74"/>
  <c r="F102" i="154"/>
  <c r="O102" i="154" s="1"/>
  <c r="F106" i="154"/>
  <c r="O106" i="154" s="1"/>
  <c r="O97" i="152"/>
  <c r="F100" i="154"/>
  <c r="O100" i="154" s="1"/>
  <c r="F99" i="154"/>
  <c r="O99" i="154" s="1"/>
  <c r="F108" i="154"/>
  <c r="O108" i="154" s="1"/>
  <c r="E113" i="156"/>
  <c r="P101" i="156"/>
  <c r="E110" i="156"/>
  <c r="P98" i="156"/>
  <c r="F118" i="156"/>
  <c r="Q106" i="156"/>
  <c r="E120" i="156"/>
  <c r="P108" i="156"/>
  <c r="E114" i="156"/>
  <c r="P102" i="156"/>
  <c r="E121" i="156"/>
  <c r="P109" i="156"/>
  <c r="E117" i="156"/>
  <c r="P105" i="156"/>
  <c r="F114" i="156"/>
  <c r="Q102" i="156"/>
  <c r="E119" i="156"/>
  <c r="P107" i="156"/>
  <c r="E115" i="156"/>
  <c r="P103" i="156"/>
  <c r="E111" i="156"/>
  <c r="P99" i="156"/>
  <c r="F120" i="156"/>
  <c r="Q108" i="156"/>
  <c r="F119" i="156"/>
  <c r="Q107" i="156"/>
  <c r="E112" i="156"/>
  <c r="P100" i="156"/>
  <c r="F100" i="156"/>
  <c r="Q88" i="156"/>
  <c r="F116" i="156"/>
  <c r="Q104" i="156"/>
  <c r="F98" i="156"/>
  <c r="Q86" i="156"/>
  <c r="F113" i="156"/>
  <c r="Q101" i="156"/>
  <c r="F121" i="156"/>
  <c r="Q109" i="156"/>
  <c r="F117" i="156"/>
  <c r="Q105" i="156"/>
  <c r="F99" i="156"/>
  <c r="Q87" i="156"/>
  <c r="F115" i="156"/>
  <c r="Q103" i="156"/>
  <c r="E116" i="156"/>
  <c r="P104" i="156"/>
  <c r="E118" i="156"/>
  <c r="P106" i="156"/>
  <c r="E109" i="152"/>
  <c r="K109" i="152" s="1"/>
  <c r="O88" i="152"/>
  <c r="O93" i="152"/>
  <c r="F103" i="154"/>
  <c r="O103" i="154" s="1"/>
  <c r="E100" i="152"/>
  <c r="K100" i="152" s="1"/>
  <c r="E127" i="155"/>
  <c r="L115" i="155"/>
  <c r="E125" i="155"/>
  <c r="L113" i="155"/>
  <c r="E132" i="155"/>
  <c r="L120" i="155"/>
  <c r="E126" i="155"/>
  <c r="L114" i="155"/>
  <c r="BA11" i="17"/>
  <c r="E128" i="155"/>
  <c r="L116" i="155"/>
  <c r="E133" i="155"/>
  <c r="L121" i="155"/>
  <c r="E124" i="155"/>
  <c r="L112" i="155"/>
  <c r="E129" i="155"/>
  <c r="L117" i="155"/>
  <c r="E123" i="155"/>
  <c r="L111" i="155"/>
  <c r="E131" i="155"/>
  <c r="L119" i="155"/>
  <c r="E130" i="155"/>
  <c r="L118" i="155"/>
  <c r="O90" i="152"/>
  <c r="Q82" i="36"/>
  <c r="O94" i="152"/>
  <c r="O89" i="152"/>
  <c r="E105" i="152"/>
  <c r="K105" i="152" s="1"/>
  <c r="E106" i="152"/>
  <c r="K106" i="152" s="1"/>
  <c r="E101" i="152"/>
  <c r="K101" i="152" s="1"/>
  <c r="E102" i="152"/>
  <c r="K102" i="152" s="1"/>
  <c r="Q83" i="36"/>
  <c r="O91" i="152"/>
  <c r="E103" i="152"/>
  <c r="K103" i="152" s="1"/>
  <c r="O86" i="152"/>
  <c r="O87" i="152"/>
  <c r="Q77" i="36"/>
  <c r="Q80" i="36"/>
  <c r="Q75" i="36"/>
  <c r="Q81" i="36"/>
  <c r="Q79" i="36"/>
  <c r="Q78" i="36"/>
  <c r="Q85" i="36"/>
  <c r="Q84" i="36"/>
  <c r="Q76" i="36"/>
  <c r="E99" i="152"/>
  <c r="K99" i="152" s="1"/>
  <c r="G86" i="154"/>
  <c r="P86" i="154" s="1"/>
  <c r="U86" i="154" s="1"/>
  <c r="G86" i="153"/>
  <c r="P86" i="153" s="1"/>
  <c r="U86" i="153" s="1"/>
  <c r="K86" i="75"/>
  <c r="H86" i="28"/>
  <c r="N86" i="28" s="1"/>
  <c r="O86" i="28" s="1"/>
  <c r="H86" i="38"/>
  <c r="N86" i="38" s="1"/>
  <c r="N98" i="154"/>
  <c r="E110" i="154"/>
  <c r="K98" i="152"/>
  <c r="E110" i="152"/>
  <c r="F110" i="154"/>
  <c r="O110" i="154" s="1"/>
  <c r="F121" i="154"/>
  <c r="O121" i="154" s="1"/>
  <c r="F119" i="154"/>
  <c r="O119" i="154" s="1"/>
  <c r="F116" i="154"/>
  <c r="O116" i="154" s="1"/>
  <c r="F117" i="154"/>
  <c r="O117" i="154" s="1"/>
  <c r="F113" i="154"/>
  <c r="O113" i="154" s="1"/>
  <c r="E109" i="154"/>
  <c r="N109" i="154" s="1"/>
  <c r="E102" i="154"/>
  <c r="N102" i="154" s="1"/>
  <c r="E107" i="154"/>
  <c r="N107" i="154" s="1"/>
  <c r="E104" i="154"/>
  <c r="N104" i="154" s="1"/>
  <c r="E100" i="154"/>
  <c r="N100" i="154" s="1"/>
  <c r="E106" i="154"/>
  <c r="N106" i="154" s="1"/>
  <c r="E105" i="154"/>
  <c r="N105" i="154" s="1"/>
  <c r="E101" i="154"/>
  <c r="N101" i="154" s="1"/>
  <c r="E103" i="154"/>
  <c r="N103" i="154" s="1"/>
  <c r="E99" i="154"/>
  <c r="N99" i="154" s="1"/>
  <c r="E108" i="154"/>
  <c r="N108" i="154" s="1"/>
  <c r="L98" i="152"/>
  <c r="L109" i="152"/>
  <c r="L108" i="152"/>
  <c r="O108" i="152" s="1"/>
  <c r="L107" i="152"/>
  <c r="O107" i="152" s="1"/>
  <c r="L103" i="152"/>
  <c r="L100" i="152"/>
  <c r="L106" i="152"/>
  <c r="L99" i="152"/>
  <c r="L104" i="152"/>
  <c r="O104" i="152" s="1"/>
  <c r="L102" i="152"/>
  <c r="L105" i="152"/>
  <c r="L101" i="152"/>
  <c r="E119" i="152"/>
  <c r="K119" i="152" s="1"/>
  <c r="E116" i="152"/>
  <c r="K116" i="152" s="1"/>
  <c r="E120" i="152"/>
  <c r="K120" i="152" s="1"/>
  <c r="I8" i="74"/>
  <c r="I8" i="25"/>
  <c r="S9" i="25" s="1"/>
  <c r="E10" i="25"/>
  <c r="BH12" i="17"/>
  <c r="BG13" i="17"/>
  <c r="BG14" i="17" s="1"/>
  <c r="BH14" i="17" s="1"/>
  <c r="F100" i="36"/>
  <c r="M88" i="36"/>
  <c r="M89" i="36"/>
  <c r="F101" i="36"/>
  <c r="E108" i="36"/>
  <c r="L96" i="36"/>
  <c r="L90" i="36"/>
  <c r="E102" i="36"/>
  <c r="F99" i="36"/>
  <c r="M87" i="36"/>
  <c r="E103" i="36"/>
  <c r="L91" i="36"/>
  <c r="F108" i="36"/>
  <c r="M96" i="36"/>
  <c r="L87" i="36"/>
  <c r="E99" i="36"/>
  <c r="L95" i="36"/>
  <c r="E107" i="36"/>
  <c r="L94" i="36"/>
  <c r="E106" i="36"/>
  <c r="M91" i="36"/>
  <c r="F103" i="36"/>
  <c r="E109" i="36"/>
  <c r="L97" i="36"/>
  <c r="M94" i="36"/>
  <c r="F106" i="36"/>
  <c r="M93" i="36"/>
  <c r="F105" i="36"/>
  <c r="F109" i="36"/>
  <c r="M97" i="36"/>
  <c r="M90" i="36"/>
  <c r="F102" i="36"/>
  <c r="E101" i="36"/>
  <c r="L89" i="36"/>
  <c r="F104" i="36"/>
  <c r="M92" i="36"/>
  <c r="E100" i="36"/>
  <c r="L88" i="36"/>
  <c r="F107" i="36"/>
  <c r="M95" i="36"/>
  <c r="E104" i="36"/>
  <c r="L92" i="36"/>
  <c r="E105" i="36"/>
  <c r="L93" i="36"/>
  <c r="CC87" i="67"/>
  <c r="I87" i="156" s="1"/>
  <c r="N86" i="36"/>
  <c r="N86" i="32"/>
  <c r="Q86" i="32" s="1"/>
  <c r="F48" i="76"/>
  <c r="O48" i="76" s="1"/>
  <c r="F45" i="77"/>
  <c r="O45" i="77" s="1"/>
  <c r="E47" i="77"/>
  <c r="N47" i="77" s="1"/>
  <c r="F49" i="76"/>
  <c r="O49" i="76" s="1"/>
  <c r="E48" i="77"/>
  <c r="N48" i="77" s="1"/>
  <c r="F48" i="77"/>
  <c r="O48" i="77" s="1"/>
  <c r="E46" i="77"/>
  <c r="N46" i="77" s="1"/>
  <c r="F46" i="77"/>
  <c r="O46" i="77" s="1"/>
  <c r="E49" i="76"/>
  <c r="N49" i="76" s="1"/>
  <c r="F47" i="77"/>
  <c r="O47" i="77" s="1"/>
  <c r="F49" i="77"/>
  <c r="O49" i="77" s="1"/>
  <c r="F46" i="76"/>
  <c r="O46" i="76" s="1"/>
  <c r="E48" i="76"/>
  <c r="N48" i="76" s="1"/>
  <c r="E49" i="77"/>
  <c r="N49" i="77" s="1"/>
  <c r="F47" i="76"/>
  <c r="O47" i="76" s="1"/>
  <c r="E46" i="76"/>
  <c r="N46" i="76" s="1"/>
  <c r="E45" i="77"/>
  <c r="N45" i="77" s="1"/>
  <c r="E47" i="76"/>
  <c r="N47" i="76" s="1"/>
  <c r="BS8" i="17"/>
  <c r="B7" i="24"/>
  <c r="D7" i="24" s="1"/>
  <c r="E27" i="25" s="1"/>
  <c r="E134" i="155" l="1"/>
  <c r="L134" i="155" s="1"/>
  <c r="L122" i="155"/>
  <c r="F114" i="154"/>
  <c r="O114" i="154" s="1"/>
  <c r="AA23" i="57"/>
  <c r="H29" i="74"/>
  <c r="F118" i="154"/>
  <c r="O118" i="154" s="1"/>
  <c r="F120" i="154"/>
  <c r="O120" i="154" s="1"/>
  <c r="F112" i="154"/>
  <c r="O112" i="154" s="1"/>
  <c r="F111" i="154"/>
  <c r="O111" i="154" s="1"/>
  <c r="F127" i="156"/>
  <c r="Q115" i="156"/>
  <c r="F112" i="156"/>
  <c r="Q100" i="156"/>
  <c r="F126" i="156"/>
  <c r="Q114" i="156"/>
  <c r="E124" i="156"/>
  <c r="P112" i="156"/>
  <c r="E129" i="156"/>
  <c r="P117" i="156"/>
  <c r="F111" i="156"/>
  <c r="Q99" i="156"/>
  <c r="E133" i="156"/>
  <c r="P121" i="156"/>
  <c r="F131" i="156"/>
  <c r="Q119" i="156"/>
  <c r="O109" i="152"/>
  <c r="E126" i="156"/>
  <c r="P114" i="156"/>
  <c r="F133" i="156"/>
  <c r="Q121" i="156"/>
  <c r="E132" i="156"/>
  <c r="P120" i="156"/>
  <c r="E123" i="156"/>
  <c r="P111" i="156"/>
  <c r="E121" i="152"/>
  <c r="K121" i="152" s="1"/>
  <c r="F125" i="156"/>
  <c r="Q113" i="156"/>
  <c r="F130" i="156"/>
  <c r="Q118" i="156"/>
  <c r="E130" i="156"/>
  <c r="P118" i="156"/>
  <c r="E127" i="156"/>
  <c r="P115" i="156"/>
  <c r="F110" i="156"/>
  <c r="Q98" i="156"/>
  <c r="E122" i="156"/>
  <c r="P110" i="156"/>
  <c r="F132" i="156"/>
  <c r="Q120" i="156"/>
  <c r="F129" i="156"/>
  <c r="Q117" i="156"/>
  <c r="E128" i="156"/>
  <c r="P116" i="156"/>
  <c r="F128" i="156"/>
  <c r="Q116" i="156"/>
  <c r="E131" i="156"/>
  <c r="P119" i="156"/>
  <c r="E125" i="156"/>
  <c r="P113" i="156"/>
  <c r="O100" i="152"/>
  <c r="E112" i="152"/>
  <c r="K112" i="152" s="1"/>
  <c r="F115" i="154"/>
  <c r="O115" i="154" s="1"/>
  <c r="E141" i="155"/>
  <c r="L141" i="155" s="1"/>
  <c r="L129" i="155"/>
  <c r="E136" i="155"/>
  <c r="L136" i="155" s="1"/>
  <c r="L124" i="155"/>
  <c r="E145" i="155"/>
  <c r="L145" i="155" s="1"/>
  <c r="L133" i="155"/>
  <c r="E140" i="155"/>
  <c r="L140" i="155" s="1"/>
  <c r="L128" i="155"/>
  <c r="E138" i="155"/>
  <c r="L138" i="155" s="1"/>
  <c r="L126" i="155"/>
  <c r="E142" i="155"/>
  <c r="L142" i="155" s="1"/>
  <c r="L130" i="155"/>
  <c r="E144" i="155"/>
  <c r="L144" i="155" s="1"/>
  <c r="L132" i="155"/>
  <c r="E143" i="155"/>
  <c r="L143" i="155" s="1"/>
  <c r="L131" i="155"/>
  <c r="E137" i="155"/>
  <c r="L137" i="155" s="1"/>
  <c r="L125" i="155"/>
  <c r="E135" i="155"/>
  <c r="L135" i="155" s="1"/>
  <c r="L123" i="155"/>
  <c r="E139" i="155"/>
  <c r="L139" i="155" s="1"/>
  <c r="L127" i="155"/>
  <c r="O106" i="152"/>
  <c r="O105" i="152"/>
  <c r="E117" i="152"/>
  <c r="K117" i="152" s="1"/>
  <c r="E118" i="152"/>
  <c r="K118" i="152" s="1"/>
  <c r="E113" i="152"/>
  <c r="K113" i="152" s="1"/>
  <c r="O101" i="152"/>
  <c r="E114" i="152"/>
  <c r="K114" i="152" s="1"/>
  <c r="O102" i="152"/>
  <c r="E115" i="152"/>
  <c r="K115" i="152" s="1"/>
  <c r="O103" i="152"/>
  <c r="E111" i="152"/>
  <c r="K111" i="152" s="1"/>
  <c r="O99" i="152"/>
  <c r="G87" i="153"/>
  <c r="P87" i="153" s="1"/>
  <c r="U87" i="153" s="1"/>
  <c r="G87" i="154"/>
  <c r="P87" i="154" s="1"/>
  <c r="U87" i="154" s="1"/>
  <c r="H87" i="38"/>
  <c r="N87" i="38" s="1"/>
  <c r="H87" i="28"/>
  <c r="N87" i="28" s="1"/>
  <c r="O87" i="28" s="1"/>
  <c r="K87" i="75"/>
  <c r="O98" i="152"/>
  <c r="N110" i="154"/>
  <c r="E122" i="154"/>
  <c r="K110" i="152"/>
  <c r="E122" i="152"/>
  <c r="E120" i="154"/>
  <c r="N120" i="154" s="1"/>
  <c r="E111" i="154"/>
  <c r="N111" i="154" s="1"/>
  <c r="E115" i="154"/>
  <c r="N115" i="154" s="1"/>
  <c r="E113" i="154"/>
  <c r="N113" i="154" s="1"/>
  <c r="E117" i="154"/>
  <c r="N117" i="154" s="1"/>
  <c r="E118" i="154"/>
  <c r="N118" i="154" s="1"/>
  <c r="E112" i="154"/>
  <c r="N112" i="154" s="1"/>
  <c r="E116" i="154"/>
  <c r="N116" i="154" s="1"/>
  <c r="E119" i="154"/>
  <c r="N119" i="154" s="1"/>
  <c r="E114" i="154"/>
  <c r="N114" i="154" s="1"/>
  <c r="E121" i="154"/>
  <c r="N121" i="154" s="1"/>
  <c r="F125" i="154"/>
  <c r="O125" i="154" s="1"/>
  <c r="F129" i="154"/>
  <c r="O129" i="154" s="1"/>
  <c r="F128" i="154"/>
  <c r="O128" i="154" s="1"/>
  <c r="F131" i="154"/>
  <c r="O131" i="154" s="1"/>
  <c r="F133" i="154"/>
  <c r="O133" i="154" s="1"/>
  <c r="F122" i="154"/>
  <c r="O122" i="154" s="1"/>
  <c r="E132" i="152"/>
  <c r="K132" i="152" s="1"/>
  <c r="E128" i="152"/>
  <c r="K128" i="152" s="1"/>
  <c r="E131" i="152"/>
  <c r="K131" i="152" s="1"/>
  <c r="L113" i="152"/>
  <c r="L117" i="152"/>
  <c r="L114" i="152"/>
  <c r="L116" i="152"/>
  <c r="O116" i="152" s="1"/>
  <c r="L111" i="152"/>
  <c r="L118" i="152"/>
  <c r="L112" i="152"/>
  <c r="L115" i="152"/>
  <c r="L119" i="152"/>
  <c r="O119" i="152" s="1"/>
  <c r="L120" i="152"/>
  <c r="O120" i="152" s="1"/>
  <c r="L121" i="152"/>
  <c r="L110" i="152"/>
  <c r="L8" i="74"/>
  <c r="L8" i="25"/>
  <c r="J8" i="74"/>
  <c r="J8" i="25"/>
  <c r="T9" i="25" s="1"/>
  <c r="BS9" i="17"/>
  <c r="BT8" i="17"/>
  <c r="F10" i="74" s="1"/>
  <c r="BH13" i="17"/>
  <c r="F114" i="36"/>
  <c r="M102" i="36"/>
  <c r="L99" i="36"/>
  <c r="E111" i="36"/>
  <c r="F121" i="36"/>
  <c r="M109" i="36"/>
  <c r="F117" i="36"/>
  <c r="M105" i="36"/>
  <c r="E115" i="36"/>
  <c r="L103" i="36"/>
  <c r="L109" i="36"/>
  <c r="E121" i="36"/>
  <c r="E118" i="36"/>
  <c r="L106" i="36"/>
  <c r="E117" i="36"/>
  <c r="L105" i="36"/>
  <c r="E116" i="36"/>
  <c r="L104" i="36"/>
  <c r="F120" i="36"/>
  <c r="M108" i="36"/>
  <c r="F113" i="36"/>
  <c r="M101" i="36"/>
  <c r="F116" i="36"/>
  <c r="M104" i="36"/>
  <c r="E119" i="36"/>
  <c r="L107" i="36"/>
  <c r="F118" i="36"/>
  <c r="M106" i="36"/>
  <c r="F111" i="36"/>
  <c r="M99" i="36"/>
  <c r="E114" i="36"/>
  <c r="L102" i="36"/>
  <c r="F119" i="36"/>
  <c r="M107" i="36"/>
  <c r="F115" i="36"/>
  <c r="M103" i="36"/>
  <c r="L100" i="36"/>
  <c r="E112" i="36"/>
  <c r="E120" i="36"/>
  <c r="L108" i="36"/>
  <c r="E113" i="36"/>
  <c r="L101" i="36"/>
  <c r="F112" i="36"/>
  <c r="M100" i="36"/>
  <c r="CC88" i="67"/>
  <c r="I88" i="156" s="1"/>
  <c r="N87" i="36"/>
  <c r="Q87" i="36" s="1"/>
  <c r="N87" i="32"/>
  <c r="Q87" i="32" s="1"/>
  <c r="E58" i="76"/>
  <c r="N58" i="76" s="1"/>
  <c r="F59" i="77"/>
  <c r="O59" i="77" s="1"/>
  <c r="E60" i="76"/>
  <c r="N60" i="76" s="1"/>
  <c r="E61" i="76"/>
  <c r="N61" i="76" s="1"/>
  <c r="F58" i="76"/>
  <c r="O58" i="76" s="1"/>
  <c r="E58" i="77"/>
  <c r="N58" i="77" s="1"/>
  <c r="F57" i="77"/>
  <c r="O57" i="77" s="1"/>
  <c r="F60" i="77"/>
  <c r="O60" i="77" s="1"/>
  <c r="E59" i="77"/>
  <c r="N59" i="77" s="1"/>
  <c r="E61" i="77"/>
  <c r="N61" i="77" s="1"/>
  <c r="F60" i="76"/>
  <c r="O60" i="76" s="1"/>
  <c r="E59" i="76"/>
  <c r="N59" i="76" s="1"/>
  <c r="E57" i="77"/>
  <c r="N57" i="77" s="1"/>
  <c r="E60" i="77"/>
  <c r="N60" i="77" s="1"/>
  <c r="F61" i="76"/>
  <c r="O61" i="76" s="1"/>
  <c r="F61" i="77"/>
  <c r="O61" i="77" s="1"/>
  <c r="F58" i="77"/>
  <c r="O58" i="77" s="1"/>
  <c r="F59" i="76"/>
  <c r="O59" i="76" s="1"/>
  <c r="B8" i="24"/>
  <c r="D8" i="24" s="1"/>
  <c r="F27" i="25" s="1"/>
  <c r="O115" i="152" l="1"/>
  <c r="F126" i="154"/>
  <c r="O126" i="154" s="1"/>
  <c r="F130" i="154"/>
  <c r="O130" i="154" s="1"/>
  <c r="F132" i="154"/>
  <c r="O132" i="154" s="1"/>
  <c r="V9" i="25"/>
  <c r="F124" i="154"/>
  <c r="O124" i="154" s="1"/>
  <c r="F123" i="154"/>
  <c r="O123" i="154" s="1"/>
  <c r="O121" i="152"/>
  <c r="E124" i="152"/>
  <c r="K124" i="152" s="1"/>
  <c r="O112" i="152"/>
  <c r="F144" i="156"/>
  <c r="Q144" i="156" s="1"/>
  <c r="Q132" i="156"/>
  <c r="E135" i="156"/>
  <c r="P135" i="156" s="1"/>
  <c r="P123" i="156"/>
  <c r="E141" i="156"/>
  <c r="P141" i="156" s="1"/>
  <c r="P129" i="156"/>
  <c r="E144" i="156"/>
  <c r="P144" i="156" s="1"/>
  <c r="P132" i="156"/>
  <c r="E136" i="156"/>
  <c r="P136" i="156" s="1"/>
  <c r="P124" i="156"/>
  <c r="E137" i="156"/>
  <c r="P137" i="156" s="1"/>
  <c r="P125" i="156"/>
  <c r="F145" i="156"/>
  <c r="Q145" i="156" s="1"/>
  <c r="Q133" i="156"/>
  <c r="F127" i="154"/>
  <c r="O127" i="154" s="1"/>
  <c r="F138" i="156"/>
  <c r="Q138" i="156" s="1"/>
  <c r="Q126" i="156"/>
  <c r="E143" i="156"/>
  <c r="P143" i="156" s="1"/>
  <c r="P131" i="156"/>
  <c r="E139" i="156"/>
  <c r="P139" i="156" s="1"/>
  <c r="P127" i="156"/>
  <c r="F140" i="156"/>
  <c r="Q140" i="156" s="1"/>
  <c r="Q128" i="156"/>
  <c r="E142" i="156"/>
  <c r="P142" i="156" s="1"/>
  <c r="P130" i="156"/>
  <c r="F143" i="156"/>
  <c r="Q143" i="156" s="1"/>
  <c r="Q131" i="156"/>
  <c r="F139" i="156"/>
  <c r="Q139" i="156" s="1"/>
  <c r="Q127" i="156"/>
  <c r="E138" i="156"/>
  <c r="P138" i="156" s="1"/>
  <c r="P126" i="156"/>
  <c r="E140" i="156"/>
  <c r="P140" i="156" s="1"/>
  <c r="P128" i="156"/>
  <c r="F142" i="156"/>
  <c r="Q142" i="156" s="1"/>
  <c r="Q130" i="156"/>
  <c r="E145" i="156"/>
  <c r="P145" i="156" s="1"/>
  <c r="P133" i="156"/>
  <c r="F141" i="156"/>
  <c r="Q141" i="156" s="1"/>
  <c r="Q129" i="156"/>
  <c r="F137" i="156"/>
  <c r="Q137" i="156" s="1"/>
  <c r="Q125" i="156"/>
  <c r="E134" i="156"/>
  <c r="P134" i="156" s="1"/>
  <c r="P122" i="156"/>
  <c r="E133" i="152"/>
  <c r="K133" i="152" s="1"/>
  <c r="F123" i="156"/>
  <c r="Q111" i="156"/>
  <c r="F122" i="156"/>
  <c r="Q110" i="156"/>
  <c r="F124" i="156"/>
  <c r="Q112" i="156"/>
  <c r="O118" i="152"/>
  <c r="O117" i="152"/>
  <c r="E129" i="152"/>
  <c r="K129" i="152" s="1"/>
  <c r="E130" i="152"/>
  <c r="K130" i="152" s="1"/>
  <c r="O113" i="152"/>
  <c r="E125" i="152"/>
  <c r="K125" i="152" s="1"/>
  <c r="O114" i="152"/>
  <c r="E126" i="152"/>
  <c r="K126" i="152" s="1"/>
  <c r="E127" i="152"/>
  <c r="K127" i="152" s="1"/>
  <c r="P136" i="155"/>
  <c r="P124" i="155"/>
  <c r="P142" i="155"/>
  <c r="P130" i="155"/>
  <c r="P128" i="155"/>
  <c r="P140" i="155"/>
  <c r="P132" i="155"/>
  <c r="P144" i="155"/>
  <c r="P137" i="155"/>
  <c r="P125" i="155"/>
  <c r="P138" i="155"/>
  <c r="P126" i="155"/>
  <c r="P141" i="155"/>
  <c r="P129" i="155"/>
  <c r="P145" i="155"/>
  <c r="P133" i="155"/>
  <c r="P131" i="155"/>
  <c r="P143" i="155"/>
  <c r="P123" i="155"/>
  <c r="P135" i="155"/>
  <c r="P127" i="155"/>
  <c r="P139" i="155"/>
  <c r="O111" i="152"/>
  <c r="E123" i="152"/>
  <c r="K123" i="152" s="1"/>
  <c r="G88" i="154"/>
  <c r="P88" i="154" s="1"/>
  <c r="U88" i="154" s="1"/>
  <c r="H88" i="38"/>
  <c r="N88" i="38" s="1"/>
  <c r="G88" i="153"/>
  <c r="P88" i="153" s="1"/>
  <c r="U88" i="153" s="1"/>
  <c r="K88" i="75"/>
  <c r="H88" i="28"/>
  <c r="N88" i="28" s="1"/>
  <c r="O88" i="28" s="1"/>
  <c r="O110" i="152"/>
  <c r="N122" i="154"/>
  <c r="E134" i="154"/>
  <c r="N134" i="154" s="1"/>
  <c r="K122" i="152"/>
  <c r="E134" i="152"/>
  <c r="K134" i="152" s="1"/>
  <c r="F134" i="154"/>
  <c r="F145" i="154"/>
  <c r="O145" i="154" s="1"/>
  <c r="F143" i="154"/>
  <c r="O143" i="154" s="1"/>
  <c r="F140" i="154"/>
  <c r="O140" i="154" s="1"/>
  <c r="F141" i="154"/>
  <c r="O141" i="154" s="1"/>
  <c r="F137" i="154"/>
  <c r="O137" i="154" s="1"/>
  <c r="E133" i="154"/>
  <c r="N133" i="154" s="1"/>
  <c r="E126" i="154"/>
  <c r="N126" i="154" s="1"/>
  <c r="E131" i="154"/>
  <c r="N131" i="154" s="1"/>
  <c r="E128" i="154"/>
  <c r="N128" i="154" s="1"/>
  <c r="E124" i="154"/>
  <c r="N124" i="154" s="1"/>
  <c r="E130" i="154"/>
  <c r="N130" i="154" s="1"/>
  <c r="E129" i="154"/>
  <c r="N129" i="154" s="1"/>
  <c r="E125" i="154"/>
  <c r="N125" i="154" s="1"/>
  <c r="E127" i="154"/>
  <c r="N127" i="154" s="1"/>
  <c r="E123" i="154"/>
  <c r="N123" i="154" s="1"/>
  <c r="E132" i="154"/>
  <c r="N132" i="154" s="1"/>
  <c r="F122" i="152"/>
  <c r="L122" i="152" s="1"/>
  <c r="F133" i="152"/>
  <c r="L133" i="152" s="1"/>
  <c r="F132" i="152"/>
  <c r="L132" i="152" s="1"/>
  <c r="O132" i="152" s="1"/>
  <c r="F131" i="152"/>
  <c r="L131" i="152" s="1"/>
  <c r="O131" i="152" s="1"/>
  <c r="F127" i="152"/>
  <c r="L127" i="152" s="1"/>
  <c r="F124" i="152"/>
  <c r="L124" i="152" s="1"/>
  <c r="F130" i="152"/>
  <c r="L130" i="152" s="1"/>
  <c r="F123" i="152"/>
  <c r="L123" i="152" s="1"/>
  <c r="F128" i="152"/>
  <c r="L128" i="152" s="1"/>
  <c r="O128" i="152" s="1"/>
  <c r="F126" i="152"/>
  <c r="L126" i="152" s="1"/>
  <c r="F129" i="152"/>
  <c r="L129" i="152" s="1"/>
  <c r="F125" i="152"/>
  <c r="L125" i="152" s="1"/>
  <c r="E143" i="152"/>
  <c r="K143" i="152" s="1"/>
  <c r="E140" i="152"/>
  <c r="K140" i="152" s="1"/>
  <c r="E144" i="152"/>
  <c r="K144" i="152" s="1"/>
  <c r="F10" i="25"/>
  <c r="K8" i="74"/>
  <c r="K8" i="25"/>
  <c r="U9" i="25" s="1"/>
  <c r="BS10" i="17"/>
  <c r="BT9" i="17"/>
  <c r="G10" i="74" s="1"/>
  <c r="AD14" i="24"/>
  <c r="AD14" i="57"/>
  <c r="BG15" i="17"/>
  <c r="BG16" i="17" s="1"/>
  <c r="L121" i="36"/>
  <c r="E133" i="36"/>
  <c r="M112" i="36"/>
  <c r="F124" i="36"/>
  <c r="M118" i="36"/>
  <c r="F130" i="36"/>
  <c r="L114" i="36"/>
  <c r="E126" i="36"/>
  <c r="L117" i="36"/>
  <c r="E129" i="36"/>
  <c r="E127" i="36"/>
  <c r="L115" i="36"/>
  <c r="F123" i="36"/>
  <c r="M111" i="36"/>
  <c r="M117" i="36"/>
  <c r="F129" i="36"/>
  <c r="M121" i="36"/>
  <c r="F133" i="36"/>
  <c r="L111" i="36"/>
  <c r="E123" i="36"/>
  <c r="L118" i="36"/>
  <c r="E130" i="36"/>
  <c r="L113" i="36"/>
  <c r="E125" i="36"/>
  <c r="M113" i="36"/>
  <c r="F125" i="36"/>
  <c r="E132" i="36"/>
  <c r="L120" i="36"/>
  <c r="M116" i="36"/>
  <c r="F128" i="36"/>
  <c r="E124" i="36"/>
  <c r="L112" i="36"/>
  <c r="M120" i="36"/>
  <c r="F132" i="36"/>
  <c r="L119" i="36"/>
  <c r="E131" i="36"/>
  <c r="M115" i="36"/>
  <c r="F127" i="36"/>
  <c r="F131" i="36"/>
  <c r="M119" i="36"/>
  <c r="L116" i="36"/>
  <c r="E128" i="36"/>
  <c r="F126" i="36"/>
  <c r="M114" i="36"/>
  <c r="CC89" i="67"/>
  <c r="I89" i="156" s="1"/>
  <c r="N88" i="36"/>
  <c r="Q88" i="36" s="1"/>
  <c r="N88" i="32"/>
  <c r="Q88" i="32" s="1"/>
  <c r="B9" i="24"/>
  <c r="D9" i="24" s="1"/>
  <c r="G27" i="25" s="1"/>
  <c r="F71" i="77"/>
  <c r="O71" i="77" s="1"/>
  <c r="F71" i="76"/>
  <c r="O71" i="76" s="1"/>
  <c r="E69" i="77"/>
  <c r="N69" i="77" s="1"/>
  <c r="F70" i="76"/>
  <c r="O70" i="76" s="1"/>
  <c r="F69" i="77"/>
  <c r="O69" i="77" s="1"/>
  <c r="F70" i="77"/>
  <c r="O70" i="77" s="1"/>
  <c r="F73" i="77"/>
  <c r="O73" i="77" s="1"/>
  <c r="E71" i="76"/>
  <c r="N71" i="76" s="1"/>
  <c r="E73" i="77"/>
  <c r="N73" i="77" s="1"/>
  <c r="E72" i="76"/>
  <c r="N72" i="76" s="1"/>
  <c r="F72" i="76"/>
  <c r="O72" i="76" s="1"/>
  <c r="E71" i="77"/>
  <c r="N71" i="77" s="1"/>
  <c r="E70" i="76"/>
  <c r="N70" i="76" s="1"/>
  <c r="E70" i="77"/>
  <c r="N70" i="77" s="1"/>
  <c r="E72" i="77"/>
  <c r="N72" i="77" s="1"/>
  <c r="F73" i="76"/>
  <c r="O73" i="76" s="1"/>
  <c r="F72" i="77"/>
  <c r="O72" i="77" s="1"/>
  <c r="E73" i="76"/>
  <c r="N73" i="76" s="1"/>
  <c r="AD5" i="23"/>
  <c r="AD6" i="23" s="1"/>
  <c r="AD7" i="23" s="1"/>
  <c r="F138" i="154" l="1"/>
  <c r="O138" i="154" s="1"/>
  <c r="F142" i="154"/>
  <c r="O142" i="154" s="1"/>
  <c r="F144" i="154"/>
  <c r="O144" i="154" s="1"/>
  <c r="F136" i="154"/>
  <c r="O136" i="154" s="1"/>
  <c r="F135" i="154"/>
  <c r="O135" i="154" s="1"/>
  <c r="E136" i="152"/>
  <c r="K136" i="152" s="1"/>
  <c r="O124" i="152"/>
  <c r="O129" i="152"/>
  <c r="F135" i="156"/>
  <c r="Q135" i="156" s="1"/>
  <c r="Q123" i="156"/>
  <c r="O133" i="152"/>
  <c r="F136" i="156"/>
  <c r="Q136" i="156" s="1"/>
  <c r="Q124" i="156"/>
  <c r="F139" i="154"/>
  <c r="O139" i="154" s="1"/>
  <c r="E145" i="152"/>
  <c r="K145" i="152" s="1"/>
  <c r="F134" i="156"/>
  <c r="Q134" i="156" s="1"/>
  <c r="Q122" i="156"/>
  <c r="E141" i="152"/>
  <c r="K141" i="152" s="1"/>
  <c r="E142" i="152"/>
  <c r="K142" i="152" s="1"/>
  <c r="O125" i="152"/>
  <c r="E137" i="152"/>
  <c r="K137" i="152" s="1"/>
  <c r="O126" i="152"/>
  <c r="E138" i="152"/>
  <c r="K138" i="152" s="1"/>
  <c r="O130" i="152"/>
  <c r="E139" i="152"/>
  <c r="K139" i="152" s="1"/>
  <c r="O127" i="152"/>
  <c r="P134" i="155"/>
  <c r="AP58" i="17" s="1"/>
  <c r="P122" i="155"/>
  <c r="AP57" i="17" s="1"/>
  <c r="O123" i="152"/>
  <c r="E135" i="152"/>
  <c r="K135" i="152" s="1"/>
  <c r="G89" i="153"/>
  <c r="P89" i="153" s="1"/>
  <c r="U89" i="153" s="1"/>
  <c r="G89" i="154"/>
  <c r="P89" i="154" s="1"/>
  <c r="U89" i="154" s="1"/>
  <c r="K89" i="75"/>
  <c r="H89" i="28"/>
  <c r="N89" i="28" s="1"/>
  <c r="O89" i="28" s="1"/>
  <c r="H89" i="38"/>
  <c r="N89" i="38" s="1"/>
  <c r="O122" i="152"/>
  <c r="O134" i="154"/>
  <c r="E144" i="154"/>
  <c r="E135" i="154"/>
  <c r="E139" i="154"/>
  <c r="E137" i="154"/>
  <c r="E141" i="154"/>
  <c r="E142" i="154"/>
  <c r="E136" i="154"/>
  <c r="E140" i="154"/>
  <c r="E143" i="154"/>
  <c r="E138" i="154"/>
  <c r="E145" i="154"/>
  <c r="F137" i="152"/>
  <c r="F141" i="152"/>
  <c r="F138" i="152"/>
  <c r="F140" i="152"/>
  <c r="F135" i="152"/>
  <c r="F142" i="152"/>
  <c r="L142" i="152" s="1"/>
  <c r="F136" i="152"/>
  <c r="F139" i="152"/>
  <c r="L139" i="152" s="1"/>
  <c r="F143" i="152"/>
  <c r="F144" i="152"/>
  <c r="F145" i="152"/>
  <c r="F134" i="152"/>
  <c r="AF14" i="57"/>
  <c r="G10" i="25"/>
  <c r="BT10" i="17"/>
  <c r="H10" i="74" s="1"/>
  <c r="BS11" i="17"/>
  <c r="M129" i="36"/>
  <c r="F141" i="36"/>
  <c r="F135" i="36"/>
  <c r="M123" i="36"/>
  <c r="E139" i="36"/>
  <c r="L127" i="36"/>
  <c r="L124" i="36"/>
  <c r="E136" i="36"/>
  <c r="E141" i="36"/>
  <c r="L129" i="36"/>
  <c r="L126" i="36"/>
  <c r="E138" i="36"/>
  <c r="M125" i="36"/>
  <c r="F137" i="36"/>
  <c r="F139" i="36"/>
  <c r="M127" i="36"/>
  <c r="L130" i="36"/>
  <c r="E142" i="36"/>
  <c r="M130" i="36"/>
  <c r="F142" i="36"/>
  <c r="F140" i="36"/>
  <c r="M128" i="36"/>
  <c r="M131" i="36"/>
  <c r="F143" i="36"/>
  <c r="L131" i="36"/>
  <c r="E143" i="36"/>
  <c r="E135" i="36"/>
  <c r="L123" i="36"/>
  <c r="M124" i="36"/>
  <c r="F136" i="36"/>
  <c r="F144" i="36"/>
  <c r="M132" i="36"/>
  <c r="M133" i="36"/>
  <c r="F145" i="36"/>
  <c r="L133" i="36"/>
  <c r="E145" i="36"/>
  <c r="M126" i="36"/>
  <c r="F138" i="36"/>
  <c r="E144" i="36"/>
  <c r="L132" i="36"/>
  <c r="E140" i="36"/>
  <c r="L128" i="36"/>
  <c r="L125" i="36"/>
  <c r="E137" i="36"/>
  <c r="CC90" i="67"/>
  <c r="I90" i="156" s="1"/>
  <c r="N89" i="36"/>
  <c r="Q89" i="36" s="1"/>
  <c r="N89" i="32"/>
  <c r="Q89" i="32" s="1"/>
  <c r="B10" i="24"/>
  <c r="D10" i="24" s="1"/>
  <c r="H27" i="25" s="1"/>
  <c r="V5" i="23"/>
  <c r="J5" i="23"/>
  <c r="T5" i="23" s="1"/>
  <c r="S71" i="77"/>
  <c r="S73" i="77"/>
  <c r="S70" i="77"/>
  <c r="S69" i="77"/>
  <c r="S72" i="77"/>
  <c r="S73" i="76"/>
  <c r="S71" i="76"/>
  <c r="S70" i="76"/>
  <c r="S72" i="76"/>
  <c r="E83" i="76"/>
  <c r="N83" i="76" s="1"/>
  <c r="E84" i="76"/>
  <c r="N84" i="76" s="1"/>
  <c r="F85" i="77"/>
  <c r="O85" i="77" s="1"/>
  <c r="F81" i="77"/>
  <c r="O81" i="77" s="1"/>
  <c r="E81" i="77"/>
  <c r="N81" i="77" s="1"/>
  <c r="E84" i="77"/>
  <c r="N84" i="77" s="1"/>
  <c r="E82" i="77"/>
  <c r="N82" i="77" s="1"/>
  <c r="F84" i="76"/>
  <c r="O84" i="76" s="1"/>
  <c r="F84" i="77"/>
  <c r="O84" i="77" s="1"/>
  <c r="F83" i="76"/>
  <c r="O83" i="76" s="1"/>
  <c r="E82" i="76"/>
  <c r="N82" i="76" s="1"/>
  <c r="E83" i="77"/>
  <c r="N83" i="77" s="1"/>
  <c r="E85" i="77"/>
  <c r="N85" i="77" s="1"/>
  <c r="F83" i="77"/>
  <c r="O83" i="77" s="1"/>
  <c r="F85" i="76"/>
  <c r="O85" i="76" s="1"/>
  <c r="E85" i="76"/>
  <c r="N85" i="76" s="1"/>
  <c r="F82" i="77"/>
  <c r="O82" i="77" s="1"/>
  <c r="F82" i="76"/>
  <c r="O82" i="76" s="1"/>
  <c r="AD8" i="23"/>
  <c r="M144" i="36" l="1"/>
  <c r="M139" i="36"/>
  <c r="M143" i="36"/>
  <c r="M140" i="36"/>
  <c r="M136" i="36"/>
  <c r="M138" i="36"/>
  <c r="M137" i="36"/>
  <c r="M142" i="36"/>
  <c r="M145" i="36"/>
  <c r="M135" i="36"/>
  <c r="M141" i="36"/>
  <c r="L143" i="36"/>
  <c r="L144" i="36"/>
  <c r="L145" i="36"/>
  <c r="L142" i="36"/>
  <c r="L135" i="36"/>
  <c r="L137" i="36"/>
  <c r="L138" i="36"/>
  <c r="L140" i="36"/>
  <c r="L139" i="36"/>
  <c r="L141" i="36"/>
  <c r="L136" i="36"/>
  <c r="O139" i="152"/>
  <c r="O142" i="152"/>
  <c r="G90" i="154"/>
  <c r="P90" i="154" s="1"/>
  <c r="U90" i="154" s="1"/>
  <c r="G90" i="153"/>
  <c r="P90" i="153" s="1"/>
  <c r="U90" i="153" s="1"/>
  <c r="K90" i="75"/>
  <c r="H90" i="28"/>
  <c r="N90" i="28" s="1"/>
  <c r="O90" i="28" s="1"/>
  <c r="H90" i="38"/>
  <c r="N90" i="38" s="1"/>
  <c r="N145" i="154"/>
  <c r="N138" i="154"/>
  <c r="N143" i="154"/>
  <c r="N140" i="154"/>
  <c r="N136" i="154"/>
  <c r="N142" i="154"/>
  <c r="N141" i="154"/>
  <c r="N137" i="154"/>
  <c r="N139" i="154"/>
  <c r="N135" i="154"/>
  <c r="N144" i="154"/>
  <c r="L135" i="152"/>
  <c r="O135" i="152" s="1"/>
  <c r="L140" i="152"/>
  <c r="O140" i="152" s="1"/>
  <c r="L138" i="152"/>
  <c r="O138" i="152" s="1"/>
  <c r="L141" i="152"/>
  <c r="O141" i="152" s="1"/>
  <c r="L134" i="152"/>
  <c r="O134" i="152" s="1"/>
  <c r="L137" i="152"/>
  <c r="O137" i="152" s="1"/>
  <c r="L145" i="152"/>
  <c r="O145" i="152" s="1"/>
  <c r="L144" i="152"/>
  <c r="O144" i="152" s="1"/>
  <c r="L136" i="152"/>
  <c r="O136" i="152" s="1"/>
  <c r="L143" i="152"/>
  <c r="O143" i="152" s="1"/>
  <c r="H10" i="25"/>
  <c r="BT11" i="17"/>
  <c r="I10" i="74" s="1"/>
  <c r="BS12" i="17"/>
  <c r="CC91" i="67"/>
  <c r="I91" i="156" s="1"/>
  <c r="N90" i="36"/>
  <c r="Q90" i="36" s="1"/>
  <c r="N90" i="32"/>
  <c r="Q90" i="32" s="1"/>
  <c r="B11" i="24"/>
  <c r="D11" i="24" s="1"/>
  <c r="I27" i="25" s="1"/>
  <c r="V6" i="23"/>
  <c r="J6" i="23"/>
  <c r="T6" i="23" s="1"/>
  <c r="F5" i="23"/>
  <c r="F97" i="77"/>
  <c r="O97" i="77" s="1"/>
  <c r="E94" i="77"/>
  <c r="N94" i="77" s="1"/>
  <c r="E96" i="77"/>
  <c r="N96" i="77" s="1"/>
  <c r="E94" i="76"/>
  <c r="N94" i="76" s="1"/>
  <c r="F94" i="76"/>
  <c r="O94" i="76" s="1"/>
  <c r="E97" i="76"/>
  <c r="N97" i="76" s="1"/>
  <c r="F95" i="76"/>
  <c r="O95" i="76" s="1"/>
  <c r="E93" i="77"/>
  <c r="N93" i="77" s="1"/>
  <c r="F94" i="77"/>
  <c r="O94" i="77" s="1"/>
  <c r="F97" i="76"/>
  <c r="O97" i="76" s="1"/>
  <c r="E96" i="76"/>
  <c r="N96" i="76" s="1"/>
  <c r="F95" i="77"/>
  <c r="O95" i="77" s="1"/>
  <c r="F96" i="77"/>
  <c r="O96" i="77" s="1"/>
  <c r="F93" i="77"/>
  <c r="O93" i="77" s="1"/>
  <c r="E95" i="77"/>
  <c r="N95" i="77" s="1"/>
  <c r="F96" i="76"/>
  <c r="O96" i="76" s="1"/>
  <c r="E97" i="77"/>
  <c r="N97" i="77" s="1"/>
  <c r="E95" i="76"/>
  <c r="N95" i="76" s="1"/>
  <c r="AD9" i="23"/>
  <c r="AD10" i="23" s="1"/>
  <c r="AD11" i="23" s="1"/>
  <c r="AD12" i="23" s="1"/>
  <c r="AD13" i="23" s="1"/>
  <c r="G91" i="154" l="1"/>
  <c r="P91" i="154" s="1"/>
  <c r="U91" i="154" s="1"/>
  <c r="K91" i="75"/>
  <c r="G91" i="153"/>
  <c r="P91" i="153" s="1"/>
  <c r="U91" i="153" s="1"/>
  <c r="H91" i="38"/>
  <c r="N91" i="38" s="1"/>
  <c r="H91" i="28"/>
  <c r="N91" i="28" s="1"/>
  <c r="O91" i="28" s="1"/>
  <c r="P5" i="23"/>
  <c r="AB5" i="23"/>
  <c r="I10" i="25"/>
  <c r="S11" i="25" s="1"/>
  <c r="BT12" i="17"/>
  <c r="J10" i="74" s="1"/>
  <c r="BS13" i="17"/>
  <c r="BS14" i="17" s="1"/>
  <c r="BT14" i="17" s="1"/>
  <c r="L10" i="74" s="1"/>
  <c r="CC92" i="67"/>
  <c r="I92" i="156" s="1"/>
  <c r="N91" i="36"/>
  <c r="Q91" i="36" s="1"/>
  <c r="N91" i="32"/>
  <c r="Q91" i="32" s="1"/>
  <c r="B12" i="24"/>
  <c r="D12" i="24" s="1"/>
  <c r="J27" i="25" s="1"/>
  <c r="V7" i="23"/>
  <c r="J7" i="23"/>
  <c r="T7" i="23" s="1"/>
  <c r="F6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AD14" i="23"/>
  <c r="AD17" i="23"/>
  <c r="G92" i="154" l="1"/>
  <c r="P92" i="154" s="1"/>
  <c r="U92" i="154" s="1"/>
  <c r="G92" i="153"/>
  <c r="P92" i="153" s="1"/>
  <c r="U92" i="153" s="1"/>
  <c r="K92" i="75"/>
  <c r="H92" i="38"/>
  <c r="N92" i="38" s="1"/>
  <c r="H92" i="28"/>
  <c r="N92" i="28" s="1"/>
  <c r="O92" i="28" s="1"/>
  <c r="P6" i="23"/>
  <c r="J10" i="25"/>
  <c r="T11" i="25" s="1"/>
  <c r="L10" i="25"/>
  <c r="BT13" i="17"/>
  <c r="K10" i="74" s="1"/>
  <c r="N105" i="77"/>
  <c r="E117" i="77"/>
  <c r="N117" i="77" s="1"/>
  <c r="O106" i="77"/>
  <c r="F118" i="77"/>
  <c r="O118" i="77" s="1"/>
  <c r="N108" i="77"/>
  <c r="E120" i="77"/>
  <c r="N120" i="77" s="1"/>
  <c r="O107" i="77"/>
  <c r="F119" i="77"/>
  <c r="O119" i="77" s="1"/>
  <c r="O105" i="77"/>
  <c r="F117" i="77"/>
  <c r="O117" i="77" s="1"/>
  <c r="N109" i="77"/>
  <c r="E121" i="77"/>
  <c r="N121" i="77" s="1"/>
  <c r="O109" i="77"/>
  <c r="F121" i="77"/>
  <c r="O121" i="77" s="1"/>
  <c r="N107" i="77"/>
  <c r="E119" i="77"/>
  <c r="N119" i="77" s="1"/>
  <c r="O108" i="77"/>
  <c r="F120" i="77"/>
  <c r="O120" i="77" s="1"/>
  <c r="N106" i="77"/>
  <c r="E118" i="77"/>
  <c r="N118" i="77" s="1"/>
  <c r="O109" i="76"/>
  <c r="F121" i="76"/>
  <c r="O121" i="76" s="1"/>
  <c r="N107" i="76"/>
  <c r="E119" i="76"/>
  <c r="N119" i="76" s="1"/>
  <c r="O107" i="76"/>
  <c r="F119" i="76"/>
  <c r="O119" i="76" s="1"/>
  <c r="N108" i="76"/>
  <c r="E120" i="76"/>
  <c r="N120" i="76" s="1"/>
  <c r="N109" i="76"/>
  <c r="E121" i="76"/>
  <c r="N121" i="76" s="1"/>
  <c r="N106" i="76"/>
  <c r="E118" i="76"/>
  <c r="N118" i="76" s="1"/>
  <c r="O106" i="76"/>
  <c r="F118" i="76"/>
  <c r="O118" i="76" s="1"/>
  <c r="O108" i="76"/>
  <c r="F120" i="76"/>
  <c r="O120" i="76" s="1"/>
  <c r="CC93" i="67"/>
  <c r="I93" i="156" s="1"/>
  <c r="N92" i="36"/>
  <c r="Q92" i="36" s="1"/>
  <c r="N92" i="32"/>
  <c r="Q92" i="32" s="1"/>
  <c r="B13" i="24"/>
  <c r="V8" i="23"/>
  <c r="J8" i="23"/>
  <c r="T8" i="23" s="1"/>
  <c r="F7" i="23"/>
  <c r="AD15" i="23"/>
  <c r="AD18" i="23"/>
  <c r="V11" i="25" l="1"/>
  <c r="G93" i="154"/>
  <c r="P93" i="154" s="1"/>
  <c r="U93" i="154" s="1"/>
  <c r="G93" i="153"/>
  <c r="P93" i="153" s="1"/>
  <c r="U93" i="153" s="1"/>
  <c r="K93" i="75"/>
  <c r="H93" i="38"/>
  <c r="N93" i="38" s="1"/>
  <c r="H93" i="28"/>
  <c r="N93" i="28" s="1"/>
  <c r="O93" i="28" s="1"/>
  <c r="P7" i="23"/>
  <c r="AB7" i="23"/>
  <c r="K10" i="25"/>
  <c r="U11" i="25" s="1"/>
  <c r="D13" i="24"/>
  <c r="K27" i="25" s="1"/>
  <c r="B14" i="24"/>
  <c r="D14" i="24" s="1"/>
  <c r="AE4" i="23"/>
  <c r="C52" i="74" s="1"/>
  <c r="W4" i="23"/>
  <c r="C50" i="74" s="1"/>
  <c r="G4" i="23"/>
  <c r="C46" i="74" s="1"/>
  <c r="C4" i="23"/>
  <c r="C45" i="74" s="1"/>
  <c r="BS15" i="17"/>
  <c r="BS16" i="17" s="1"/>
  <c r="CC94" i="67"/>
  <c r="I94" i="156" s="1"/>
  <c r="N93" i="36"/>
  <c r="Q93" i="36" s="1"/>
  <c r="N93" i="32"/>
  <c r="Q93" i="32" s="1"/>
  <c r="V9" i="23"/>
  <c r="J9" i="23"/>
  <c r="T9" i="23" s="1"/>
  <c r="F8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5" i="23"/>
  <c r="D25" i="24" l="1"/>
  <c r="L27" i="25"/>
  <c r="C53" i="74"/>
  <c r="G94" i="154"/>
  <c r="P94" i="154" s="1"/>
  <c r="U94" i="154" s="1"/>
  <c r="G94" i="153"/>
  <c r="P94" i="153" s="1"/>
  <c r="U94" i="153" s="1"/>
  <c r="H94" i="28"/>
  <c r="N94" i="28" s="1"/>
  <c r="O94" i="28" s="1"/>
  <c r="K94" i="75"/>
  <c r="H94" i="38"/>
  <c r="N94" i="38" s="1"/>
  <c r="P8" i="23"/>
  <c r="AB8" i="23"/>
  <c r="D24" i="24"/>
  <c r="L30" i="25"/>
  <c r="AE25" i="24"/>
  <c r="AF14" i="24"/>
  <c r="AE24" i="24"/>
  <c r="K5" i="23"/>
  <c r="D47" i="74" s="1"/>
  <c r="C5" i="23"/>
  <c r="D45" i="74" s="1"/>
  <c r="G5" i="23"/>
  <c r="D46" i="74" s="1"/>
  <c r="AE5" i="23"/>
  <c r="D52" i="74" s="1"/>
  <c r="W5" i="23"/>
  <c r="D50" i="74" s="1"/>
  <c r="CC95" i="67"/>
  <c r="I95" i="156" s="1"/>
  <c r="N94" i="36"/>
  <c r="Q94" i="36" s="1"/>
  <c r="N94" i="32"/>
  <c r="Q94" i="32" s="1"/>
  <c r="V10" i="23"/>
  <c r="J10" i="23"/>
  <c r="T10" i="23" s="1"/>
  <c r="F9" i="23"/>
  <c r="O133" i="77"/>
  <c r="F145" i="77"/>
  <c r="E144" i="76"/>
  <c r="N144" i="76" s="1"/>
  <c r="N132" i="76"/>
  <c r="F144" i="76"/>
  <c r="O144" i="76" s="1"/>
  <c r="O132" i="76"/>
  <c r="O130" i="77"/>
  <c r="F142" i="77"/>
  <c r="O132" i="77"/>
  <c r="F144" i="77"/>
  <c r="O129" i="77"/>
  <c r="F141" i="77"/>
  <c r="N129" i="77"/>
  <c r="E141" i="77"/>
  <c r="N131" i="77"/>
  <c r="E143" i="77"/>
  <c r="F145" i="76"/>
  <c r="O145" i="76" s="1"/>
  <c r="O133" i="76"/>
  <c r="O130" i="76"/>
  <c r="F142" i="76"/>
  <c r="O142" i="76" s="1"/>
  <c r="E142" i="76"/>
  <c r="N142" i="76" s="1"/>
  <c r="N130" i="76"/>
  <c r="F143" i="76"/>
  <c r="O143" i="76" s="1"/>
  <c r="O131" i="76"/>
  <c r="N130" i="77"/>
  <c r="E142" i="77"/>
  <c r="E145" i="76"/>
  <c r="N145" i="76" s="1"/>
  <c r="N133" i="76"/>
  <c r="N131" i="76"/>
  <c r="E143" i="76"/>
  <c r="N143" i="76" s="1"/>
  <c r="O131" i="77"/>
  <c r="F143" i="77"/>
  <c r="N133" i="77"/>
  <c r="E145" i="77"/>
  <c r="N132" i="77"/>
  <c r="E144" i="77"/>
  <c r="B6" i="23"/>
  <c r="D53" i="74" l="1"/>
  <c r="O142" i="77"/>
  <c r="O145" i="77"/>
  <c r="O143" i="77"/>
  <c r="O141" i="77"/>
  <c r="O144" i="77"/>
  <c r="N144" i="77"/>
  <c r="N145" i="77"/>
  <c r="N141" i="77"/>
  <c r="N143" i="77"/>
  <c r="N142" i="77"/>
  <c r="L32" i="25"/>
  <c r="G95" i="153"/>
  <c r="P95" i="153" s="1"/>
  <c r="U95" i="153" s="1"/>
  <c r="G95" i="154"/>
  <c r="P95" i="154" s="1"/>
  <c r="U95" i="154" s="1"/>
  <c r="H95" i="38"/>
  <c r="N95" i="38" s="1"/>
  <c r="H95" i="28"/>
  <c r="N95" i="28" s="1"/>
  <c r="O95" i="28" s="1"/>
  <c r="K95" i="75"/>
  <c r="P9" i="23"/>
  <c r="AB9" i="23"/>
  <c r="AE6" i="23"/>
  <c r="E52" i="74" s="1"/>
  <c r="W6" i="23"/>
  <c r="K6" i="23"/>
  <c r="E47" i="74" s="1"/>
  <c r="C6" i="23"/>
  <c r="E45" i="74" s="1"/>
  <c r="G6" i="23"/>
  <c r="E46" i="74" s="1"/>
  <c r="CC96" i="67"/>
  <c r="I96" i="156" s="1"/>
  <c r="N95" i="36"/>
  <c r="Q95" i="36" s="1"/>
  <c r="N95" i="32"/>
  <c r="Q95" i="32" s="1"/>
  <c r="V11" i="23"/>
  <c r="J11" i="23"/>
  <c r="T11" i="23" s="1"/>
  <c r="F10" i="23"/>
  <c r="B7" i="23"/>
  <c r="X6" i="23" l="1"/>
  <c r="E50" i="74"/>
  <c r="E53" i="74" s="1"/>
  <c r="G96" i="154"/>
  <c r="P96" i="154" s="1"/>
  <c r="U96" i="154" s="1"/>
  <c r="G96" i="153"/>
  <c r="P96" i="153" s="1"/>
  <c r="U96" i="153" s="1"/>
  <c r="H96" i="38"/>
  <c r="N96" i="38" s="1"/>
  <c r="H96" i="28"/>
  <c r="N96" i="28" s="1"/>
  <c r="O96" i="28" s="1"/>
  <c r="K96" i="75"/>
  <c r="P10" i="23"/>
  <c r="AB10" i="23"/>
  <c r="B8" i="23"/>
  <c r="AE7" i="23"/>
  <c r="F52" i="74" s="1"/>
  <c r="W7" i="23"/>
  <c r="F50" i="74" s="1"/>
  <c r="K7" i="23"/>
  <c r="F47" i="74" s="1"/>
  <c r="G7" i="23"/>
  <c r="F46" i="74" s="1"/>
  <c r="C7" i="23"/>
  <c r="F45" i="74" s="1"/>
  <c r="CC97" i="67"/>
  <c r="I97" i="156" s="1"/>
  <c r="N96" i="36"/>
  <c r="Q96" i="36" s="1"/>
  <c r="N96" i="32"/>
  <c r="Q96" i="32" s="1"/>
  <c r="V12" i="23"/>
  <c r="V13" i="23" s="1"/>
  <c r="J12" i="23"/>
  <c r="F11" i="23"/>
  <c r="F53" i="74" l="1"/>
  <c r="G97" i="153"/>
  <c r="P97" i="153" s="1"/>
  <c r="U97" i="153" s="1"/>
  <c r="G97" i="154"/>
  <c r="P97" i="154" s="1"/>
  <c r="U97" i="154" s="1"/>
  <c r="K97" i="75"/>
  <c r="H97" i="28"/>
  <c r="N97" i="28" s="1"/>
  <c r="O97" i="28" s="1"/>
  <c r="H97" i="38"/>
  <c r="N97" i="38" s="1"/>
  <c r="P11" i="23"/>
  <c r="AB11" i="23"/>
  <c r="J13" i="23"/>
  <c r="B9" i="23"/>
  <c r="W8" i="23"/>
  <c r="G50" i="74" s="1"/>
  <c r="G8" i="23"/>
  <c r="G46" i="74" s="1"/>
  <c r="C8" i="23"/>
  <c r="G45" i="74" s="1"/>
  <c r="K8" i="23"/>
  <c r="G47" i="74" s="1"/>
  <c r="AE8" i="23"/>
  <c r="G52" i="74" s="1"/>
  <c r="CC98" i="67"/>
  <c r="I98" i="156" s="1"/>
  <c r="N97" i="36"/>
  <c r="Q97" i="36" s="1"/>
  <c r="N97" i="32"/>
  <c r="Q97" i="32" s="1"/>
  <c r="F12" i="23"/>
  <c r="G53" i="74" l="1"/>
  <c r="G98" i="154"/>
  <c r="P98" i="154" s="1"/>
  <c r="U98" i="154" s="1"/>
  <c r="G98" i="153"/>
  <c r="P98" i="153" s="1"/>
  <c r="U98" i="153" s="1"/>
  <c r="K98" i="75"/>
  <c r="H98" i="28"/>
  <c r="N98" i="28" s="1"/>
  <c r="O98" i="28" s="1"/>
  <c r="H98" i="38"/>
  <c r="N98" i="38" s="1"/>
  <c r="AB12" i="23"/>
  <c r="T12" i="23"/>
  <c r="T17" i="23"/>
  <c r="T13" i="23"/>
  <c r="F13" i="23"/>
  <c r="AE9" i="23"/>
  <c r="H52" i="74" s="1"/>
  <c r="W9" i="23"/>
  <c r="H50" i="74" s="1"/>
  <c r="K9" i="23"/>
  <c r="H47" i="74" s="1"/>
  <c r="C9" i="23"/>
  <c r="H45" i="74" s="1"/>
  <c r="G9" i="23"/>
  <c r="H46" i="74" s="1"/>
  <c r="B10" i="23"/>
  <c r="CC99" i="67"/>
  <c r="I99" i="156" s="1"/>
  <c r="N98" i="36"/>
  <c r="N98" i="32"/>
  <c r="Q98" i="32" s="1"/>
  <c r="V14" i="23"/>
  <c r="V17" i="23"/>
  <c r="J17" i="23"/>
  <c r="J14" i="23"/>
  <c r="H53" i="74" l="1"/>
  <c r="T14" i="23"/>
  <c r="T15" i="23" s="1"/>
  <c r="G99" i="154"/>
  <c r="P99" i="154" s="1"/>
  <c r="U99" i="154" s="1"/>
  <c r="G99" i="153"/>
  <c r="P99" i="153" s="1"/>
  <c r="U99" i="153" s="1"/>
  <c r="K99" i="75"/>
  <c r="H99" i="38"/>
  <c r="N99" i="38" s="1"/>
  <c r="H99" i="28"/>
  <c r="N99" i="28" s="1"/>
  <c r="O99" i="28" s="1"/>
  <c r="P12" i="23"/>
  <c r="P17" i="23"/>
  <c r="P13" i="23"/>
  <c r="P14" i="23" s="1"/>
  <c r="C10" i="23"/>
  <c r="I45" i="74" s="1"/>
  <c r="W10" i="23"/>
  <c r="I50" i="74" s="1"/>
  <c r="AE10" i="23"/>
  <c r="I52" i="74" s="1"/>
  <c r="K10" i="23"/>
  <c r="I47" i="74" s="1"/>
  <c r="G10" i="23"/>
  <c r="I46" i="74" s="1"/>
  <c r="B11" i="23"/>
  <c r="CC100" i="67"/>
  <c r="I100" i="156" s="1"/>
  <c r="N99" i="36"/>
  <c r="Q99" i="36" s="1"/>
  <c r="N99" i="32"/>
  <c r="Q99" i="32" s="1"/>
  <c r="V15" i="23"/>
  <c r="V18" i="23"/>
  <c r="J18" i="23"/>
  <c r="J15" i="23"/>
  <c r="F17" i="23"/>
  <c r="F14" i="23"/>
  <c r="I53" i="74" l="1"/>
  <c r="G100" i="154"/>
  <c r="P100" i="154" s="1"/>
  <c r="U100" i="154" s="1"/>
  <c r="G100" i="153"/>
  <c r="P100" i="153" s="1"/>
  <c r="U100" i="153" s="1"/>
  <c r="K100" i="75"/>
  <c r="H100" i="38"/>
  <c r="N100" i="38" s="1"/>
  <c r="H100" i="28"/>
  <c r="N100" i="28" s="1"/>
  <c r="O100" i="28" s="1"/>
  <c r="P15" i="23"/>
  <c r="AB13" i="23"/>
  <c r="AE11" i="23"/>
  <c r="J52" i="74" s="1"/>
  <c r="G11" i="23"/>
  <c r="J46" i="74" s="1"/>
  <c r="K11" i="23"/>
  <c r="J47" i="74" s="1"/>
  <c r="W11" i="23"/>
  <c r="J50" i="74" s="1"/>
  <c r="C11" i="23"/>
  <c r="J45" i="74" s="1"/>
  <c r="B12" i="23"/>
  <c r="CC101" i="67"/>
  <c r="I101" i="156" s="1"/>
  <c r="N100" i="36"/>
  <c r="Q100" i="36" s="1"/>
  <c r="N100" i="32"/>
  <c r="Q100" i="32" s="1"/>
  <c r="F15" i="23"/>
  <c r="F18" i="23"/>
  <c r="S15" i="23" l="1"/>
  <c r="T47" i="23" s="1"/>
  <c r="M49" i="74"/>
  <c r="J53" i="74"/>
  <c r="M49" i="25"/>
  <c r="AB14" i="23"/>
  <c r="AB15" i="23" s="1"/>
  <c r="G101" i="154"/>
  <c r="P101" i="154" s="1"/>
  <c r="U101" i="154" s="1"/>
  <c r="G101" i="153"/>
  <c r="P101" i="153" s="1"/>
  <c r="U101" i="153" s="1"/>
  <c r="K101" i="75"/>
  <c r="H101" i="28"/>
  <c r="N101" i="28" s="1"/>
  <c r="O101" i="28" s="1"/>
  <c r="H101" i="38"/>
  <c r="N101" i="38" s="1"/>
  <c r="B13" i="23"/>
  <c r="C13" i="23" s="1"/>
  <c r="L45" i="74" s="1"/>
  <c r="W12" i="23"/>
  <c r="K50" i="74" s="1"/>
  <c r="C12" i="23"/>
  <c r="K45" i="74" s="1"/>
  <c r="G12" i="23"/>
  <c r="AE12" i="23"/>
  <c r="K52" i="74" s="1"/>
  <c r="K12" i="23"/>
  <c r="K47" i="74" s="1"/>
  <c r="CC102" i="67"/>
  <c r="I102" i="156" s="1"/>
  <c r="N101" i="36"/>
  <c r="Q101" i="36" s="1"/>
  <c r="N101" i="32"/>
  <c r="Q101" i="32" s="1"/>
  <c r="M51" i="25" l="1"/>
  <c r="M51" i="74"/>
  <c r="M48" i="25"/>
  <c r="M48" i="74"/>
  <c r="N49" i="25"/>
  <c r="E61" i="25" s="1"/>
  <c r="E9" i="160" s="1"/>
  <c r="N49" i="74"/>
  <c r="E61" i="74" s="1"/>
  <c r="H17" i="23"/>
  <c r="K46" i="74"/>
  <c r="K53" i="74" s="1"/>
  <c r="AA15" i="23"/>
  <c r="G102" i="154"/>
  <c r="P102" i="154" s="1"/>
  <c r="U102" i="154" s="1"/>
  <c r="G102" i="153"/>
  <c r="P102" i="153" s="1"/>
  <c r="U102" i="153" s="1"/>
  <c r="K102" i="75"/>
  <c r="H102" i="28"/>
  <c r="N102" i="28" s="1"/>
  <c r="O102" i="28" s="1"/>
  <c r="H102" i="38"/>
  <c r="N102" i="38" s="1"/>
  <c r="O15" i="23"/>
  <c r="G13" i="23"/>
  <c r="K13" i="23"/>
  <c r="AE13" i="23"/>
  <c r="W13" i="23"/>
  <c r="B17" i="23"/>
  <c r="B14" i="23"/>
  <c r="CC103" i="67"/>
  <c r="I103" i="156" s="1"/>
  <c r="N102" i="36"/>
  <c r="Q102" i="36" s="1"/>
  <c r="N102" i="32"/>
  <c r="Q102" i="32" s="1"/>
  <c r="M6" i="17"/>
  <c r="X6" i="17"/>
  <c r="AP6" i="17" s="1"/>
  <c r="AR6" i="17" s="1"/>
  <c r="AT6" i="17" s="1"/>
  <c r="M19" i="57" s="1"/>
  <c r="N51" i="25" l="1"/>
  <c r="E63" i="25" s="1"/>
  <c r="N51" i="74"/>
  <c r="E63" i="74" s="1"/>
  <c r="L50" i="25"/>
  <c r="L50" i="74"/>
  <c r="L47" i="25"/>
  <c r="L47" i="74"/>
  <c r="L52" i="25"/>
  <c r="L52" i="74"/>
  <c r="N48" i="25"/>
  <c r="E60" i="25" s="1"/>
  <c r="E8" i="160" s="1"/>
  <c r="N48" i="74"/>
  <c r="E60" i="74" s="1"/>
  <c r="L46" i="25"/>
  <c r="L46" i="74"/>
  <c r="L45" i="25"/>
  <c r="G103" i="153"/>
  <c r="P103" i="153" s="1"/>
  <c r="U103" i="153" s="1"/>
  <c r="G103" i="154"/>
  <c r="P103" i="154" s="1"/>
  <c r="U103" i="154" s="1"/>
  <c r="H103" i="38"/>
  <c r="N103" i="38" s="1"/>
  <c r="K103" i="75"/>
  <c r="H103" i="28"/>
  <c r="N103" i="28" s="1"/>
  <c r="O103" i="28" s="1"/>
  <c r="L13" i="23"/>
  <c r="H13" i="23"/>
  <c r="D13" i="23"/>
  <c r="BI14" i="17"/>
  <c r="X13" i="23"/>
  <c r="B15" i="23"/>
  <c r="B18" i="23"/>
  <c r="BU14" i="17"/>
  <c r="BV14" i="17" s="1"/>
  <c r="AF13" i="23"/>
  <c r="Y6" i="17"/>
  <c r="D5" i="25" s="1"/>
  <c r="Z6" i="17"/>
  <c r="N6" i="17"/>
  <c r="D4" i="25" s="1"/>
  <c r="O6" i="17"/>
  <c r="CC104" i="67"/>
  <c r="I104" i="156" s="1"/>
  <c r="N103" i="36"/>
  <c r="Q103" i="36" s="1"/>
  <c r="N103" i="32"/>
  <c r="Q103" i="32" s="1"/>
  <c r="X7" i="17"/>
  <c r="AH7" i="17" s="1"/>
  <c r="M7" i="17"/>
  <c r="L53" i="74" l="1"/>
  <c r="AP7" i="17"/>
  <c r="AR7" i="17" s="1"/>
  <c r="AT7" i="17" s="1"/>
  <c r="M20" i="57" s="1"/>
  <c r="E11" i="160"/>
  <c r="G104" i="154"/>
  <c r="P104" i="154" s="1"/>
  <c r="U104" i="154" s="1"/>
  <c r="H104" i="38"/>
  <c r="N104" i="38" s="1"/>
  <c r="G104" i="153"/>
  <c r="P104" i="153" s="1"/>
  <c r="U104" i="153" s="1"/>
  <c r="K104" i="75"/>
  <c r="H104" i="28"/>
  <c r="N104" i="28" s="1"/>
  <c r="O104" i="28" s="1"/>
  <c r="BJ14" i="17"/>
  <c r="BK14" i="17" s="1"/>
  <c r="BW14" i="17"/>
  <c r="Y7" i="17"/>
  <c r="E5" i="25" s="1"/>
  <c r="Z7" i="17"/>
  <c r="N7" i="17"/>
  <c r="E4" i="25" s="1"/>
  <c r="O7" i="17"/>
  <c r="CC105" i="67"/>
  <c r="I105" i="156" s="1"/>
  <c r="N104" i="36"/>
  <c r="Q104" i="36" s="1"/>
  <c r="N104" i="32"/>
  <c r="Q104" i="32" s="1"/>
  <c r="M8" i="17"/>
  <c r="X8" i="17"/>
  <c r="AP8" i="17" l="1"/>
  <c r="AR8" i="17" s="1"/>
  <c r="AT8" i="17" s="1"/>
  <c r="M21" i="57" s="1"/>
  <c r="Y8" i="17"/>
  <c r="F5" i="25" s="1"/>
  <c r="G105" i="153"/>
  <c r="P105" i="153" s="1"/>
  <c r="U105" i="153" s="1"/>
  <c r="G105" i="154"/>
  <c r="P105" i="154" s="1"/>
  <c r="U105" i="154" s="1"/>
  <c r="K105" i="75"/>
  <c r="H105" i="28"/>
  <c r="N105" i="28" s="1"/>
  <c r="O105" i="28" s="1"/>
  <c r="H105" i="38"/>
  <c r="N105" i="38" s="1"/>
  <c r="X9" i="17"/>
  <c r="Z8" i="17"/>
  <c r="M9" i="17"/>
  <c r="N8" i="17"/>
  <c r="F4" i="25" s="1"/>
  <c r="O8" i="17"/>
  <c r="CC106" i="67"/>
  <c r="I106" i="156" s="1"/>
  <c r="N105" i="36"/>
  <c r="Q105" i="36" s="1"/>
  <c r="N105" i="32"/>
  <c r="Q105" i="32" s="1"/>
  <c r="CG33" i="4"/>
  <c r="CF33" i="4"/>
  <c r="BS33" i="4"/>
  <c r="BR33" i="4"/>
  <c r="BE33" i="4"/>
  <c r="BD33" i="4"/>
  <c r="AP9" i="17" l="1"/>
  <c r="AR9" i="17" s="1"/>
  <c r="AT9" i="17" s="1"/>
  <c r="M22" i="57" s="1"/>
  <c r="G106" i="154"/>
  <c r="P106" i="154" s="1"/>
  <c r="U106" i="154" s="1"/>
  <c r="G106" i="153"/>
  <c r="P106" i="153" s="1"/>
  <c r="U106" i="153" s="1"/>
  <c r="K106" i="75"/>
  <c r="H106" i="28"/>
  <c r="N106" i="28" s="1"/>
  <c r="O106" i="28" s="1"/>
  <c r="H106" i="38"/>
  <c r="N106" i="38" s="1"/>
  <c r="X10" i="17"/>
  <c r="Y9" i="17"/>
  <c r="G5" i="25" s="1"/>
  <c r="Z9" i="17"/>
  <c r="M10" i="17"/>
  <c r="N9" i="17"/>
  <c r="G4" i="25" s="1"/>
  <c r="O9" i="17"/>
  <c r="CC107" i="67"/>
  <c r="I107" i="156" s="1"/>
  <c r="N106" i="36"/>
  <c r="Q106" i="36" s="1"/>
  <c r="N106" i="32"/>
  <c r="Q106" i="32" s="1"/>
  <c r="AP10" i="17" l="1"/>
  <c r="AR10" i="17" s="1"/>
  <c r="AT10" i="17" s="1"/>
  <c r="M23" i="57" s="1"/>
  <c r="S41" i="23"/>
  <c r="G107" i="154"/>
  <c r="P107" i="154" s="1"/>
  <c r="U107" i="154" s="1"/>
  <c r="G107" i="153"/>
  <c r="P107" i="153" s="1"/>
  <c r="U107" i="153" s="1"/>
  <c r="K107" i="75"/>
  <c r="H107" i="38"/>
  <c r="N107" i="38" s="1"/>
  <c r="H107" i="28"/>
  <c r="N107" i="28" s="1"/>
  <c r="O107" i="28" s="1"/>
  <c r="AA41" i="23"/>
  <c r="Y10" i="17"/>
  <c r="H5" i="25" s="1"/>
  <c r="Z10" i="17"/>
  <c r="X11" i="17"/>
  <c r="N10" i="17"/>
  <c r="H4" i="25" s="1"/>
  <c r="O10" i="17"/>
  <c r="M11" i="17"/>
  <c r="CC108" i="67"/>
  <c r="I108" i="156" s="1"/>
  <c r="N107" i="36"/>
  <c r="Q107" i="36" s="1"/>
  <c r="N107" i="32"/>
  <c r="Q107" i="32" s="1"/>
  <c r="AP11" i="17" l="1"/>
  <c r="S42" i="23"/>
  <c r="T41" i="23"/>
  <c r="G108" i="154"/>
  <c r="P108" i="154" s="1"/>
  <c r="U108" i="154" s="1"/>
  <c r="G108" i="153"/>
  <c r="P108" i="153" s="1"/>
  <c r="U108" i="153" s="1"/>
  <c r="K108" i="75"/>
  <c r="H108" i="38"/>
  <c r="N108" i="38" s="1"/>
  <c r="H108" i="28"/>
  <c r="N108" i="28" s="1"/>
  <c r="O108" i="28" s="1"/>
  <c r="O41" i="23"/>
  <c r="AA42" i="23"/>
  <c r="AB41" i="23"/>
  <c r="Y11" i="17"/>
  <c r="I5" i="25" s="1"/>
  <c r="X12" i="17"/>
  <c r="N11" i="17"/>
  <c r="I4" i="25" s="1"/>
  <c r="M12" i="17"/>
  <c r="CC109" i="67"/>
  <c r="I109" i="156" s="1"/>
  <c r="N108" i="36"/>
  <c r="Q108" i="36" s="1"/>
  <c r="N108" i="32"/>
  <c r="Q108" i="32" s="1"/>
  <c r="AP12" i="17" l="1"/>
  <c r="T42" i="23"/>
  <c r="S43" i="23"/>
  <c r="G109" i="153"/>
  <c r="P109" i="153" s="1"/>
  <c r="U109" i="153" s="1"/>
  <c r="G109" i="154"/>
  <c r="P109" i="154" s="1"/>
  <c r="U109" i="154" s="1"/>
  <c r="K109" i="75"/>
  <c r="H109" i="38"/>
  <c r="N109" i="38" s="1"/>
  <c r="H109" i="28"/>
  <c r="N109" i="28" s="1"/>
  <c r="O109" i="28" s="1"/>
  <c r="O42" i="23"/>
  <c r="P41" i="23"/>
  <c r="AB42" i="23"/>
  <c r="AA43" i="23"/>
  <c r="Y12" i="17"/>
  <c r="J5" i="25" s="1"/>
  <c r="X13" i="17"/>
  <c r="N12" i="17"/>
  <c r="J4" i="25" s="1"/>
  <c r="M13" i="17"/>
  <c r="M14" i="17" s="1"/>
  <c r="CC110" i="67"/>
  <c r="I110" i="156" s="1"/>
  <c r="N109" i="36"/>
  <c r="Q109" i="36" s="1"/>
  <c r="N109" i="32"/>
  <c r="Q109" i="32" s="1"/>
  <c r="B6" i="17"/>
  <c r="AP13" i="17" l="1"/>
  <c r="S44" i="23"/>
  <c r="T43" i="23"/>
  <c r="G110" i="154"/>
  <c r="P110" i="154" s="1"/>
  <c r="U110" i="154" s="1"/>
  <c r="G110" i="153"/>
  <c r="P110" i="153" s="1"/>
  <c r="U110" i="153" s="1"/>
  <c r="H110" i="28"/>
  <c r="N110" i="28" s="1"/>
  <c r="O110" i="28" s="1"/>
  <c r="K110" i="75"/>
  <c r="H110" i="38"/>
  <c r="N110" i="38" s="1"/>
  <c r="P42" i="23"/>
  <c r="O43" i="23"/>
  <c r="AA44" i="23"/>
  <c r="AB43" i="23"/>
  <c r="X14" i="17"/>
  <c r="N14" i="17"/>
  <c r="L4" i="25" s="1"/>
  <c r="Y13" i="17"/>
  <c r="K5" i="25" s="1"/>
  <c r="N13" i="17"/>
  <c r="K4" i="25" s="1"/>
  <c r="C6" i="17"/>
  <c r="D3" i="25" s="1"/>
  <c r="D6" i="17"/>
  <c r="CC111" i="67"/>
  <c r="I111" i="156" s="1"/>
  <c r="N110" i="36"/>
  <c r="N110" i="32"/>
  <c r="Q110" i="32" s="1"/>
  <c r="B7" i="17"/>
  <c r="AP14" i="17" l="1"/>
  <c r="T44" i="23"/>
  <c r="S45" i="23"/>
  <c r="Y14" i="17"/>
  <c r="L5" i="25" s="1"/>
  <c r="G111" i="153"/>
  <c r="P111" i="153" s="1"/>
  <c r="U111" i="153" s="1"/>
  <c r="G111" i="154"/>
  <c r="P111" i="154" s="1"/>
  <c r="U111" i="154" s="1"/>
  <c r="H111" i="38"/>
  <c r="N111" i="38" s="1"/>
  <c r="H111" i="28"/>
  <c r="N111" i="28" s="1"/>
  <c r="O111" i="28" s="1"/>
  <c r="K111" i="75"/>
  <c r="O44" i="23"/>
  <c r="P43" i="23"/>
  <c r="AA45" i="23"/>
  <c r="AB44" i="23"/>
  <c r="X15" i="17"/>
  <c r="M15" i="17"/>
  <c r="M16" i="17" s="1"/>
  <c r="V5" i="25"/>
  <c r="C7" i="17"/>
  <c r="E3" i="25" s="1"/>
  <c r="D7" i="17"/>
  <c r="CC112" i="67"/>
  <c r="I112" i="156" s="1"/>
  <c r="N111" i="36"/>
  <c r="Q111" i="36" s="1"/>
  <c r="N111" i="32"/>
  <c r="Q111" i="32" s="1"/>
  <c r="B8" i="17"/>
  <c r="T45" i="23" l="1"/>
  <c r="S46" i="23"/>
  <c r="G112" i="154"/>
  <c r="P112" i="154" s="1"/>
  <c r="U112" i="154" s="1"/>
  <c r="H112" i="38"/>
  <c r="N112" i="38" s="1"/>
  <c r="G112" i="153"/>
  <c r="P112" i="153" s="1"/>
  <c r="U112" i="153" s="1"/>
  <c r="H112" i="28"/>
  <c r="N112" i="28" s="1"/>
  <c r="O112" i="28" s="1"/>
  <c r="K112" i="75"/>
  <c r="P44" i="23"/>
  <c r="O45" i="23"/>
  <c r="AA46" i="23"/>
  <c r="AA18" i="23" s="1"/>
  <c r="BO15" i="17" s="1"/>
  <c r="BQ15" i="17" s="1"/>
  <c r="AB45" i="23"/>
  <c r="X16" i="17"/>
  <c r="AP16" i="17" s="1"/>
  <c r="AP15" i="17"/>
  <c r="C14" i="24"/>
  <c r="B9" i="17"/>
  <c r="C8" i="17"/>
  <c r="F3" i="25" s="1"/>
  <c r="D8" i="17"/>
  <c r="CC113" i="67"/>
  <c r="I113" i="156" s="1"/>
  <c r="N112" i="36"/>
  <c r="Q112" i="36" s="1"/>
  <c r="N112" i="32"/>
  <c r="Q112" i="32" s="1"/>
  <c r="AL28" i="57" l="1"/>
  <c r="AM28" i="57" s="1"/>
  <c r="M31" i="74" s="1"/>
  <c r="M9" i="74"/>
  <c r="S18" i="23"/>
  <c r="T18" i="23" s="1"/>
  <c r="T46" i="23"/>
  <c r="N9" i="25"/>
  <c r="AM20" i="24"/>
  <c r="AN20" i="24" s="1"/>
  <c r="C27" i="73"/>
  <c r="E27" i="73" s="1"/>
  <c r="G113" i="153"/>
  <c r="P113" i="153" s="1"/>
  <c r="U113" i="153" s="1"/>
  <c r="G113" i="154"/>
  <c r="P113" i="154" s="1"/>
  <c r="U113" i="154" s="1"/>
  <c r="K113" i="75"/>
  <c r="H113" i="28"/>
  <c r="N113" i="28" s="1"/>
  <c r="O113" i="28" s="1"/>
  <c r="H113" i="38"/>
  <c r="N113" i="38" s="1"/>
  <c r="P45" i="23"/>
  <c r="O46" i="23"/>
  <c r="AB18" i="23"/>
  <c r="AB46" i="23"/>
  <c r="E14" i="24"/>
  <c r="E14" i="57" s="1"/>
  <c r="B10" i="17"/>
  <c r="C9" i="17"/>
  <c r="G3" i="25" s="1"/>
  <c r="D9" i="17"/>
  <c r="CC114" i="67"/>
  <c r="I114" i="156" s="1"/>
  <c r="N113" i="36"/>
  <c r="Q113" i="36" s="1"/>
  <c r="N113" i="32"/>
  <c r="Q113" i="32" s="1"/>
  <c r="O13" i="38"/>
  <c r="O11" i="38"/>
  <c r="O10" i="38"/>
  <c r="O12" i="38"/>
  <c r="O8" i="38"/>
  <c r="O9" i="38"/>
  <c r="O7" i="38"/>
  <c r="O6" i="38"/>
  <c r="K24" i="38"/>
  <c r="K21" i="38"/>
  <c r="K20" i="38"/>
  <c r="L21" i="38"/>
  <c r="L24" i="38"/>
  <c r="L18" i="38"/>
  <c r="L25" i="38"/>
  <c r="L20" i="38"/>
  <c r="L23" i="38"/>
  <c r="K19" i="38"/>
  <c r="K18" i="38"/>
  <c r="L19" i="38"/>
  <c r="L22" i="38"/>
  <c r="K22" i="38"/>
  <c r="K25" i="38"/>
  <c r="K23" i="38"/>
  <c r="S48" i="23" l="1"/>
  <c r="W10" i="25"/>
  <c r="G114" i="154"/>
  <c r="P114" i="154" s="1"/>
  <c r="U114" i="154" s="1"/>
  <c r="G114" i="153"/>
  <c r="P114" i="153" s="1"/>
  <c r="U114" i="153" s="1"/>
  <c r="K114" i="75"/>
  <c r="H114" i="28"/>
  <c r="N114" i="28" s="1"/>
  <c r="O114" i="28" s="1"/>
  <c r="H114" i="38"/>
  <c r="N114" i="38" s="1"/>
  <c r="N31" i="25"/>
  <c r="F27" i="73"/>
  <c r="G27" i="73" s="1"/>
  <c r="O18" i="23"/>
  <c r="P18" i="23" s="1"/>
  <c r="P46" i="23"/>
  <c r="AA48" i="23"/>
  <c r="AB47" i="23"/>
  <c r="C10" i="17"/>
  <c r="H3" i="25" s="1"/>
  <c r="D10" i="17"/>
  <c r="B11" i="17"/>
  <c r="CC115" i="67"/>
  <c r="I115" i="156" s="1"/>
  <c r="N114" i="36"/>
  <c r="Q114" i="36" s="1"/>
  <c r="N114" i="32"/>
  <c r="Q114" i="32" s="1"/>
  <c r="O23" i="38"/>
  <c r="O22" i="38"/>
  <c r="O25" i="38"/>
  <c r="O20" i="38"/>
  <c r="O21" i="38"/>
  <c r="O24" i="38"/>
  <c r="O18" i="38"/>
  <c r="O19" i="38"/>
  <c r="E36" i="38"/>
  <c r="K36" i="38" s="1"/>
  <c r="E33" i="38"/>
  <c r="K33" i="38" s="1"/>
  <c r="E32" i="38"/>
  <c r="K32" i="38" s="1"/>
  <c r="F33" i="38"/>
  <c r="L33" i="38" s="1"/>
  <c r="E31" i="38"/>
  <c r="K31" i="38" s="1"/>
  <c r="F37" i="38"/>
  <c r="L37" i="38" s="1"/>
  <c r="F36" i="38"/>
  <c r="L36" i="38" s="1"/>
  <c r="F30" i="38"/>
  <c r="L30" i="38" s="1"/>
  <c r="F35" i="38"/>
  <c r="L35" i="38" s="1"/>
  <c r="F32" i="38"/>
  <c r="L32" i="38" s="1"/>
  <c r="E30" i="38"/>
  <c r="K30" i="38" s="1"/>
  <c r="F31" i="38"/>
  <c r="L31" i="38" s="1"/>
  <c r="F34" i="38"/>
  <c r="L34" i="38" s="1"/>
  <c r="E37" i="38"/>
  <c r="K37" i="38" s="1"/>
  <c r="E34" i="38"/>
  <c r="K34" i="38" s="1"/>
  <c r="E35" i="38"/>
  <c r="K35" i="38" s="1"/>
  <c r="S49" i="23" l="1"/>
  <c r="T48" i="23"/>
  <c r="G115" i="154"/>
  <c r="P115" i="154" s="1"/>
  <c r="U115" i="154" s="1"/>
  <c r="G115" i="153"/>
  <c r="P115" i="153" s="1"/>
  <c r="U115" i="153" s="1"/>
  <c r="K115" i="75"/>
  <c r="H115" i="38"/>
  <c r="N115" i="38" s="1"/>
  <c r="H115" i="28"/>
  <c r="N115" i="28" s="1"/>
  <c r="O115" i="28" s="1"/>
  <c r="P47" i="23"/>
  <c r="O48" i="23"/>
  <c r="AA49" i="23"/>
  <c r="AB48" i="23"/>
  <c r="C11" i="17"/>
  <c r="I3" i="25" s="1"/>
  <c r="B12" i="17"/>
  <c r="N115" i="36"/>
  <c r="Q115" i="36" s="1"/>
  <c r="CC116" i="67"/>
  <c r="I116" i="156" s="1"/>
  <c r="N115" i="32"/>
  <c r="Q115" i="32" s="1"/>
  <c r="O32" i="38"/>
  <c r="O35" i="38"/>
  <c r="O31" i="38"/>
  <c r="O34" i="38"/>
  <c r="O37" i="38"/>
  <c r="O33" i="38"/>
  <c r="O36" i="38"/>
  <c r="O30" i="38"/>
  <c r="E48" i="38"/>
  <c r="K48" i="38" s="1"/>
  <c r="E45" i="38"/>
  <c r="K45" i="38" s="1"/>
  <c r="E44" i="38"/>
  <c r="K44" i="38" s="1"/>
  <c r="F45" i="38"/>
  <c r="L45" i="38" s="1"/>
  <c r="E43" i="38"/>
  <c r="K43" i="38" s="1"/>
  <c r="E42" i="38"/>
  <c r="K42" i="38" s="1"/>
  <c r="F42" i="38"/>
  <c r="L42" i="38" s="1"/>
  <c r="F49" i="38"/>
  <c r="L49" i="38" s="1"/>
  <c r="F48" i="38"/>
  <c r="L48" i="38" s="1"/>
  <c r="F44" i="38"/>
  <c r="L44" i="38" s="1"/>
  <c r="F47" i="38"/>
  <c r="L47" i="38" s="1"/>
  <c r="E47" i="38"/>
  <c r="K47" i="38" s="1"/>
  <c r="E46" i="38"/>
  <c r="K46" i="38" s="1"/>
  <c r="F43" i="38"/>
  <c r="L43" i="38" s="1"/>
  <c r="F46" i="38"/>
  <c r="L46" i="38" s="1"/>
  <c r="E49" i="38"/>
  <c r="K49" i="38" s="1"/>
  <c r="S50" i="23" l="1"/>
  <c r="T49" i="23"/>
  <c r="G116" i="154"/>
  <c r="P116" i="154" s="1"/>
  <c r="U116" i="154" s="1"/>
  <c r="G116" i="153"/>
  <c r="P116" i="153" s="1"/>
  <c r="U116" i="153" s="1"/>
  <c r="K116" i="75"/>
  <c r="H116" i="38"/>
  <c r="N116" i="38" s="1"/>
  <c r="H116" i="28"/>
  <c r="N116" i="28" s="1"/>
  <c r="O116" i="28" s="1"/>
  <c r="O49" i="23"/>
  <c r="P48" i="23"/>
  <c r="AA50" i="23"/>
  <c r="AB49" i="23"/>
  <c r="C12" i="17"/>
  <c r="J3" i="25" s="1"/>
  <c r="B13" i="17"/>
  <c r="B14" i="17" s="1"/>
  <c r="CC117" i="67"/>
  <c r="I117" i="156" s="1"/>
  <c r="N116" i="32"/>
  <c r="Q116" i="32" s="1"/>
  <c r="N116" i="36"/>
  <c r="Q116" i="36" s="1"/>
  <c r="O48" i="38"/>
  <c r="O47" i="38"/>
  <c r="O42" i="38"/>
  <c r="O49" i="38"/>
  <c r="O44" i="38"/>
  <c r="O46" i="38"/>
  <c r="O43" i="38"/>
  <c r="O45" i="38"/>
  <c r="E60" i="38"/>
  <c r="K60" i="38" s="1"/>
  <c r="E57" i="38"/>
  <c r="K57" i="38" s="1"/>
  <c r="E56" i="38"/>
  <c r="K56" i="38" s="1"/>
  <c r="F57" i="38"/>
  <c r="L57" i="38" s="1"/>
  <c r="E55" i="38"/>
  <c r="K55" i="38" s="1"/>
  <c r="E54" i="38"/>
  <c r="K54" i="38" s="1"/>
  <c r="F60" i="38"/>
  <c r="L60" i="38" s="1"/>
  <c r="F54" i="38"/>
  <c r="L54" i="38" s="1"/>
  <c r="F61" i="38"/>
  <c r="L61" i="38" s="1"/>
  <c r="F56" i="38"/>
  <c r="L56" i="38" s="1"/>
  <c r="F59" i="38"/>
  <c r="L59" i="38" s="1"/>
  <c r="F58" i="38"/>
  <c r="L58" i="38" s="1"/>
  <c r="F55" i="38"/>
  <c r="L55" i="38" s="1"/>
  <c r="E59" i="38"/>
  <c r="K59" i="38" s="1"/>
  <c r="E58" i="38"/>
  <c r="K58" i="38" s="1"/>
  <c r="E61" i="38"/>
  <c r="K61" i="38" s="1"/>
  <c r="S51" i="23" l="1"/>
  <c r="T50" i="23"/>
  <c r="G117" i="154"/>
  <c r="P117" i="154" s="1"/>
  <c r="U117" i="154" s="1"/>
  <c r="K117" i="75"/>
  <c r="G117" i="153"/>
  <c r="P117" i="153" s="1"/>
  <c r="U117" i="153" s="1"/>
  <c r="H117" i="28"/>
  <c r="N117" i="28" s="1"/>
  <c r="O117" i="28" s="1"/>
  <c r="H117" i="38"/>
  <c r="N117" i="38" s="1"/>
  <c r="P49" i="23"/>
  <c r="O50" i="23"/>
  <c r="AB50" i="23"/>
  <c r="AA51" i="23"/>
  <c r="C13" i="17"/>
  <c r="K3" i="25" s="1"/>
  <c r="CC118" i="67"/>
  <c r="I118" i="156" s="1"/>
  <c r="N117" i="36"/>
  <c r="Q117" i="36" s="1"/>
  <c r="N117" i="32"/>
  <c r="Q117" i="32" s="1"/>
  <c r="O56" i="38"/>
  <c r="O58" i="38"/>
  <c r="O59" i="38"/>
  <c r="O61" i="38"/>
  <c r="O54" i="38"/>
  <c r="O55" i="38"/>
  <c r="O57" i="38"/>
  <c r="O60" i="38"/>
  <c r="E70" i="38"/>
  <c r="F67" i="38"/>
  <c r="F69" i="38"/>
  <c r="E67" i="38"/>
  <c r="E71" i="38"/>
  <c r="E68" i="38"/>
  <c r="E72" i="38"/>
  <c r="F70" i="38"/>
  <c r="F71" i="38"/>
  <c r="F68" i="38"/>
  <c r="F73" i="38"/>
  <c r="F66" i="38"/>
  <c r="E69" i="38"/>
  <c r="F72" i="38"/>
  <c r="E73" i="38"/>
  <c r="E66" i="38"/>
  <c r="T51" i="23" l="1"/>
  <c r="S52" i="23"/>
  <c r="G118" i="153"/>
  <c r="P118" i="153" s="1"/>
  <c r="U118" i="153" s="1"/>
  <c r="G118" i="154"/>
  <c r="P118" i="154" s="1"/>
  <c r="U118" i="154" s="1"/>
  <c r="K118" i="75"/>
  <c r="H118" i="28"/>
  <c r="N118" i="28" s="1"/>
  <c r="O118" i="28" s="1"/>
  <c r="H118" i="38"/>
  <c r="N118" i="38" s="1"/>
  <c r="P50" i="23"/>
  <c r="O51" i="23"/>
  <c r="AA52" i="23"/>
  <c r="AB51" i="23"/>
  <c r="B15" i="17"/>
  <c r="B16" i="17" s="1"/>
  <c r="C14" i="17"/>
  <c r="L3" i="25" s="1"/>
  <c r="CC119" i="67"/>
  <c r="I119" i="156" s="1"/>
  <c r="N118" i="32"/>
  <c r="Q118" i="32" s="1"/>
  <c r="N118" i="36"/>
  <c r="Q118" i="36" s="1"/>
  <c r="K69" i="38"/>
  <c r="K70" i="38"/>
  <c r="L68" i="38"/>
  <c r="L73" i="38"/>
  <c r="L71" i="38"/>
  <c r="L70" i="38"/>
  <c r="K72" i="38"/>
  <c r="K66" i="38"/>
  <c r="K68" i="38"/>
  <c r="K73" i="38"/>
  <c r="K71" i="38"/>
  <c r="K67" i="38"/>
  <c r="L66" i="38"/>
  <c r="L69" i="38"/>
  <c r="L72" i="38"/>
  <c r="L67" i="38"/>
  <c r="E78" i="38"/>
  <c r="E80" i="38"/>
  <c r="E85" i="38"/>
  <c r="F85" i="38"/>
  <c r="F80" i="38"/>
  <c r="E83" i="38"/>
  <c r="E79" i="38"/>
  <c r="F84" i="38"/>
  <c r="F83" i="38"/>
  <c r="F81" i="38"/>
  <c r="F82" i="38"/>
  <c r="F79" i="38"/>
  <c r="E81" i="38"/>
  <c r="E82" i="38"/>
  <c r="F78" i="38"/>
  <c r="E84" i="38"/>
  <c r="S53" i="23" l="1"/>
  <c r="T52" i="23"/>
  <c r="G119" i="153"/>
  <c r="P119" i="153" s="1"/>
  <c r="U119" i="153" s="1"/>
  <c r="G119" i="154"/>
  <c r="P119" i="154" s="1"/>
  <c r="U119" i="154" s="1"/>
  <c r="H119" i="38"/>
  <c r="N119" i="38" s="1"/>
  <c r="K119" i="75"/>
  <c r="H119" i="28"/>
  <c r="N119" i="28" s="1"/>
  <c r="O119" i="28" s="1"/>
  <c r="P51" i="23"/>
  <c r="O52" i="23"/>
  <c r="AA53" i="23"/>
  <c r="AB52" i="23"/>
  <c r="CC120" i="67"/>
  <c r="I120" i="156" s="1"/>
  <c r="N119" i="32"/>
  <c r="Q119" i="32" s="1"/>
  <c r="N119" i="36"/>
  <c r="Q119" i="36" s="1"/>
  <c r="K81" i="38"/>
  <c r="K80" i="38"/>
  <c r="L79" i="38"/>
  <c r="L82" i="38"/>
  <c r="K78" i="38"/>
  <c r="L81" i="38"/>
  <c r="L83" i="38"/>
  <c r="L84" i="38"/>
  <c r="K79" i="38"/>
  <c r="K83" i="38"/>
  <c r="L80" i="38"/>
  <c r="K84" i="38"/>
  <c r="L78" i="38"/>
  <c r="K82" i="38"/>
  <c r="L85" i="38"/>
  <c r="K85" i="38"/>
  <c r="O73" i="38"/>
  <c r="O72" i="38"/>
  <c r="O67" i="38"/>
  <c r="O68" i="38"/>
  <c r="O69" i="38"/>
  <c r="O70" i="38"/>
  <c r="O66" i="38"/>
  <c r="O71" i="38"/>
  <c r="E95" i="38"/>
  <c r="F93" i="38"/>
  <c r="E96" i="38"/>
  <c r="F92" i="38"/>
  <c r="F90" i="38"/>
  <c r="F95" i="38"/>
  <c r="F96" i="38"/>
  <c r="F97" i="38"/>
  <c r="E94" i="38"/>
  <c r="E91" i="38"/>
  <c r="E93" i="38"/>
  <c r="E97" i="38"/>
  <c r="E92" i="38"/>
  <c r="F91" i="38"/>
  <c r="F94" i="38"/>
  <c r="E90" i="38"/>
  <c r="T53" i="23" l="1"/>
  <c r="S54" i="23"/>
  <c r="G120" i="154"/>
  <c r="P120" i="154" s="1"/>
  <c r="U120" i="154" s="1"/>
  <c r="G120" i="153"/>
  <c r="P120" i="153" s="1"/>
  <c r="U120" i="153" s="1"/>
  <c r="H120" i="38"/>
  <c r="N120" i="38" s="1"/>
  <c r="K120" i="75"/>
  <c r="H120" i="28"/>
  <c r="N120" i="28" s="1"/>
  <c r="O120" i="28" s="1"/>
  <c r="P52" i="23"/>
  <c r="O53" i="23"/>
  <c r="AA54" i="23"/>
  <c r="AB53" i="23"/>
  <c r="CC121" i="67"/>
  <c r="I121" i="156" s="1"/>
  <c r="I122" i="156" s="1"/>
  <c r="N120" i="32"/>
  <c r="Q120" i="32" s="1"/>
  <c r="N120" i="36"/>
  <c r="Q120" i="36" s="1"/>
  <c r="K97" i="38"/>
  <c r="K91" i="38"/>
  <c r="K94" i="38"/>
  <c r="L97" i="38"/>
  <c r="L96" i="38"/>
  <c r="K90" i="38"/>
  <c r="L95" i="38"/>
  <c r="L90" i="38"/>
  <c r="K93" i="38"/>
  <c r="L94" i="38"/>
  <c r="L92" i="38"/>
  <c r="K96" i="38"/>
  <c r="L93" i="38"/>
  <c r="L91" i="38"/>
  <c r="K92" i="38"/>
  <c r="K95" i="38"/>
  <c r="O85" i="38"/>
  <c r="O78" i="38"/>
  <c r="O83" i="38"/>
  <c r="O84" i="38"/>
  <c r="O82" i="38"/>
  <c r="O80" i="38"/>
  <c r="O79" i="38"/>
  <c r="O81" i="38"/>
  <c r="E108" i="38"/>
  <c r="E120" i="38" s="1"/>
  <c r="K120" i="38" s="1"/>
  <c r="F106" i="38"/>
  <c r="F118" i="38" s="1"/>
  <c r="L118" i="38" s="1"/>
  <c r="F102" i="38"/>
  <c r="F114" i="38" s="1"/>
  <c r="L114" i="38" s="1"/>
  <c r="E103" i="38"/>
  <c r="E115" i="38" s="1"/>
  <c r="K115" i="38" s="1"/>
  <c r="E104" i="38"/>
  <c r="E116" i="38" s="1"/>
  <c r="K116" i="38" s="1"/>
  <c r="F109" i="38"/>
  <c r="F121" i="38" s="1"/>
  <c r="L121" i="38" s="1"/>
  <c r="F107" i="38"/>
  <c r="F119" i="38" s="1"/>
  <c r="L119" i="38" s="1"/>
  <c r="F105" i="38"/>
  <c r="F117" i="38" s="1"/>
  <c r="L117" i="38" s="1"/>
  <c r="E106" i="38"/>
  <c r="E118" i="38" s="1"/>
  <c r="K118" i="38" s="1"/>
  <c r="E102" i="38"/>
  <c r="E114" i="38" s="1"/>
  <c r="K114" i="38" s="1"/>
  <c r="E107" i="38"/>
  <c r="E119" i="38" s="1"/>
  <c r="K119" i="38" s="1"/>
  <c r="E105" i="38"/>
  <c r="E117" i="38" s="1"/>
  <c r="K117" i="38" s="1"/>
  <c r="F104" i="38"/>
  <c r="F116" i="38" s="1"/>
  <c r="L116" i="38" s="1"/>
  <c r="F103" i="38"/>
  <c r="F115" i="38" s="1"/>
  <c r="L115" i="38" s="1"/>
  <c r="F108" i="38"/>
  <c r="F120" i="38" s="1"/>
  <c r="L120" i="38" s="1"/>
  <c r="E109" i="38"/>
  <c r="E121" i="38" s="1"/>
  <c r="K121" i="38" s="1"/>
  <c r="R122" i="156" l="1"/>
  <c r="W122" i="156" s="1"/>
  <c r="I123" i="156"/>
  <c r="S55" i="23"/>
  <c r="T54" i="23"/>
  <c r="G121" i="153"/>
  <c r="P121" i="153" s="1"/>
  <c r="U121" i="153" s="1"/>
  <c r="G121" i="154"/>
  <c r="K121" i="75"/>
  <c r="K122" i="75" s="1"/>
  <c r="H121" i="38"/>
  <c r="H121" i="28"/>
  <c r="N121" i="28" s="1"/>
  <c r="O121" i="28" s="1"/>
  <c r="D13" i="15" s="1"/>
  <c r="P53" i="23"/>
  <c r="O54" i="23"/>
  <c r="AA55" i="23"/>
  <c r="AB54" i="23"/>
  <c r="N121" i="36"/>
  <c r="Q121" i="36" s="1"/>
  <c r="N121" i="32"/>
  <c r="O120" i="38"/>
  <c r="O117" i="38"/>
  <c r="O119" i="38"/>
  <c r="O118" i="38"/>
  <c r="O116" i="38"/>
  <c r="O115" i="38"/>
  <c r="O114" i="38"/>
  <c r="K107" i="38"/>
  <c r="K102" i="38"/>
  <c r="K105" i="38"/>
  <c r="K106" i="38"/>
  <c r="L105" i="38"/>
  <c r="L109" i="38"/>
  <c r="L107" i="38"/>
  <c r="K104" i="38"/>
  <c r="L102" i="38"/>
  <c r="K103" i="38"/>
  <c r="L106" i="38"/>
  <c r="K109" i="38"/>
  <c r="L108" i="38"/>
  <c r="L103" i="38"/>
  <c r="L104" i="38"/>
  <c r="K108" i="38"/>
  <c r="O97" i="38"/>
  <c r="O91" i="38"/>
  <c r="O95" i="38"/>
  <c r="O90" i="38"/>
  <c r="O92" i="38"/>
  <c r="O96" i="38"/>
  <c r="O94" i="38"/>
  <c r="O93" i="38"/>
  <c r="O49" i="34"/>
  <c r="O45" i="34"/>
  <c r="O41" i="34"/>
  <c r="O37" i="34"/>
  <c r="O33" i="34"/>
  <c r="O29" i="34"/>
  <c r="O25" i="34"/>
  <c r="O21" i="34"/>
  <c r="O17" i="34"/>
  <c r="O13" i="34"/>
  <c r="O9" i="34"/>
  <c r="O5" i="34"/>
  <c r="O46" i="34"/>
  <c r="O42" i="34"/>
  <c r="O38" i="34"/>
  <c r="O34" i="34"/>
  <c r="O30" i="34"/>
  <c r="O26" i="34"/>
  <c r="O22" i="34"/>
  <c r="O18" i="34"/>
  <c r="O14" i="34"/>
  <c r="O10" i="34"/>
  <c r="O6" i="34"/>
  <c r="O1" i="34"/>
  <c r="O47" i="34"/>
  <c r="O43" i="34"/>
  <c r="O39" i="34"/>
  <c r="O35" i="34"/>
  <c r="O31" i="34"/>
  <c r="O27" i="34"/>
  <c r="O23" i="34"/>
  <c r="O19" i="34"/>
  <c r="O15" i="34"/>
  <c r="O11" i="34"/>
  <c r="O7" i="34"/>
  <c r="O3" i="34"/>
  <c r="M1" i="38"/>
  <c r="M1" i="28"/>
  <c r="O48" i="34"/>
  <c r="O44" i="34"/>
  <c r="O40" i="34"/>
  <c r="O36" i="34"/>
  <c r="O32" i="34"/>
  <c r="O28" i="34"/>
  <c r="O24" i="34"/>
  <c r="O20" i="34"/>
  <c r="O16" i="34"/>
  <c r="O12" i="34"/>
  <c r="O8" i="34"/>
  <c r="V4" i="15" l="1"/>
  <c r="W4" i="15" s="1"/>
  <c r="V5" i="15"/>
  <c r="W5" i="15" s="1"/>
  <c r="V6" i="15"/>
  <c r="W6" i="15" s="1"/>
  <c r="V7" i="15"/>
  <c r="W7" i="15" s="1"/>
  <c r="V8" i="15"/>
  <c r="W8" i="15" s="1"/>
  <c r="V9" i="15"/>
  <c r="W9" i="15" s="1"/>
  <c r="V10" i="15"/>
  <c r="V11" i="15"/>
  <c r="V12" i="15"/>
  <c r="V13" i="15"/>
  <c r="I124" i="156"/>
  <c r="R123" i="156"/>
  <c r="W123" i="156" s="1"/>
  <c r="S56" i="23"/>
  <c r="T55" i="23"/>
  <c r="P13" i="15"/>
  <c r="Q121" i="32"/>
  <c r="H122" i="38"/>
  <c r="N121" i="38"/>
  <c r="O121" i="38" s="1"/>
  <c r="K123" i="75"/>
  <c r="Q122" i="75"/>
  <c r="P121" i="154"/>
  <c r="U121" i="154" s="1"/>
  <c r="G122" i="154"/>
  <c r="O55" i="23"/>
  <c r="P54" i="23"/>
  <c r="AA56" i="23"/>
  <c r="AB55" i="23"/>
  <c r="P122" i="77"/>
  <c r="O102" i="38"/>
  <c r="O106" i="38"/>
  <c r="O108" i="38"/>
  <c r="O104" i="38"/>
  <c r="O109" i="38"/>
  <c r="O103" i="38"/>
  <c r="O107" i="38"/>
  <c r="O105" i="38"/>
  <c r="F127" i="38"/>
  <c r="G127" i="38" s="1"/>
  <c r="M127" i="38" s="1"/>
  <c r="E132" i="38"/>
  <c r="E131" i="38"/>
  <c r="F126" i="38"/>
  <c r="G126" i="38" s="1"/>
  <c r="M126" i="38" s="1"/>
  <c r="E133" i="38"/>
  <c r="F131" i="38"/>
  <c r="G131" i="38" s="1"/>
  <c r="M131" i="38" s="1"/>
  <c r="E126" i="38"/>
  <c r="E129" i="38"/>
  <c r="E127" i="38"/>
  <c r="E130" i="38"/>
  <c r="F129" i="38"/>
  <c r="G129" i="38" s="1"/>
  <c r="M129" i="38" s="1"/>
  <c r="E128" i="38"/>
  <c r="F128" i="38"/>
  <c r="G128" i="38" s="1"/>
  <c r="M128" i="38" s="1"/>
  <c r="F133" i="38"/>
  <c r="G133" i="38" s="1"/>
  <c r="M133" i="38" s="1"/>
  <c r="F132" i="38"/>
  <c r="G132" i="38" s="1"/>
  <c r="M132" i="38" s="1"/>
  <c r="F130" i="38"/>
  <c r="G130" i="38" s="1"/>
  <c r="M130" i="38" s="1"/>
  <c r="R124" i="156" l="1"/>
  <c r="W124" i="156" s="1"/>
  <c r="I125" i="156"/>
  <c r="S57" i="23"/>
  <c r="T56" i="23"/>
  <c r="G123" i="154"/>
  <c r="P122" i="154"/>
  <c r="U122" i="154" s="1"/>
  <c r="K124" i="75"/>
  <c r="Q123" i="75"/>
  <c r="H123" i="38"/>
  <c r="N122" i="38"/>
  <c r="P55" i="23"/>
  <c r="O56" i="23"/>
  <c r="AA57" i="23"/>
  <c r="AB56" i="23"/>
  <c r="P123" i="77"/>
  <c r="N122" i="36"/>
  <c r="S59" i="77"/>
  <c r="S61" i="77"/>
  <c r="S59" i="76"/>
  <c r="S58" i="77"/>
  <c r="S60" i="77"/>
  <c r="S58" i="76"/>
  <c r="S60" i="76"/>
  <c r="S57" i="77"/>
  <c r="S61" i="76"/>
  <c r="L131" i="38"/>
  <c r="L130" i="38"/>
  <c r="L126" i="38"/>
  <c r="K133" i="38"/>
  <c r="L132" i="38"/>
  <c r="L133" i="38"/>
  <c r="K131" i="38"/>
  <c r="K132" i="38"/>
  <c r="L127" i="38"/>
  <c r="K130" i="38"/>
  <c r="K127" i="38"/>
  <c r="K129" i="38"/>
  <c r="K128" i="38"/>
  <c r="L129" i="38"/>
  <c r="L128" i="38"/>
  <c r="K126" i="38"/>
  <c r="F145" i="38"/>
  <c r="G145" i="38" s="1"/>
  <c r="M145" i="38" s="1"/>
  <c r="E141" i="38"/>
  <c r="F140" i="38"/>
  <c r="G140" i="38" s="1"/>
  <c r="M140" i="38" s="1"/>
  <c r="E145" i="38"/>
  <c r="F138" i="38"/>
  <c r="G138" i="38" s="1"/>
  <c r="M138" i="38" s="1"/>
  <c r="E143" i="38"/>
  <c r="E140" i="38"/>
  <c r="F144" i="38"/>
  <c r="G144" i="38" s="1"/>
  <c r="M144" i="38" s="1"/>
  <c r="E139" i="38"/>
  <c r="F141" i="38"/>
  <c r="G141" i="38" s="1"/>
  <c r="M141" i="38" s="1"/>
  <c r="E144" i="38"/>
  <c r="E138" i="38"/>
  <c r="E142" i="38"/>
  <c r="F143" i="38"/>
  <c r="G143" i="38" s="1"/>
  <c r="M143" i="38" s="1"/>
  <c r="F139" i="38"/>
  <c r="G139" i="38" s="1"/>
  <c r="M139" i="38" s="1"/>
  <c r="F142" i="38"/>
  <c r="G142" i="38" s="1"/>
  <c r="M142" i="38" s="1"/>
  <c r="R125" i="156" l="1"/>
  <c r="W125" i="156" s="1"/>
  <c r="I126" i="156"/>
  <c r="T57" i="23"/>
  <c r="S58" i="23"/>
  <c r="K125" i="75"/>
  <c r="Q124" i="75"/>
  <c r="H124" i="38"/>
  <c r="N123" i="38"/>
  <c r="G124" i="154"/>
  <c r="P123" i="154"/>
  <c r="U123" i="154" s="1"/>
  <c r="O57" i="23"/>
  <c r="P56" i="23"/>
  <c r="AA58" i="23"/>
  <c r="AB57" i="23"/>
  <c r="N123" i="36"/>
  <c r="Q123" i="36" s="1"/>
  <c r="P124" i="77"/>
  <c r="AD51" i="17"/>
  <c r="AA51" i="17"/>
  <c r="H51" i="17"/>
  <c r="E51" i="17"/>
  <c r="S51" i="17"/>
  <c r="P51" i="17"/>
  <c r="C8" i="15"/>
  <c r="O8" i="15"/>
  <c r="L140" i="38"/>
  <c r="K141" i="38"/>
  <c r="L142" i="38"/>
  <c r="K142" i="38"/>
  <c r="L145" i="38"/>
  <c r="L139" i="38"/>
  <c r="K144" i="38"/>
  <c r="L141" i="38"/>
  <c r="K139" i="38"/>
  <c r="L143" i="38"/>
  <c r="L144" i="38"/>
  <c r="K145" i="38"/>
  <c r="K140" i="38"/>
  <c r="K143" i="38"/>
  <c r="K138" i="38"/>
  <c r="L138" i="38"/>
  <c r="AD10" i="17"/>
  <c r="S10" i="17"/>
  <c r="H10" i="17"/>
  <c r="S9" i="17"/>
  <c r="AD9" i="17"/>
  <c r="H9" i="17"/>
  <c r="I127" i="156" l="1"/>
  <c r="R126" i="156"/>
  <c r="W126" i="156" s="1"/>
  <c r="T58" i="23"/>
  <c r="S19" i="23"/>
  <c r="P124" i="154"/>
  <c r="U124" i="154" s="1"/>
  <c r="G125" i="154"/>
  <c r="H125" i="38"/>
  <c r="N124" i="38"/>
  <c r="K126" i="75"/>
  <c r="Q125" i="75"/>
  <c r="O58" i="23"/>
  <c r="P57" i="23"/>
  <c r="AB58" i="23"/>
  <c r="AA19" i="23"/>
  <c r="BO16" i="17" s="1"/>
  <c r="BQ16" i="17" s="1"/>
  <c r="P125" i="77"/>
  <c r="N124" i="36"/>
  <c r="Q124" i="36" s="1"/>
  <c r="C27" i="25"/>
  <c r="C30" i="74"/>
  <c r="S5" i="25"/>
  <c r="U5" i="25"/>
  <c r="T5" i="25"/>
  <c r="BI7" i="17"/>
  <c r="I52" i="25"/>
  <c r="H30" i="25"/>
  <c r="BU6" i="17"/>
  <c r="I50" i="25"/>
  <c r="BI6" i="17"/>
  <c r="H47" i="25"/>
  <c r="H46" i="25"/>
  <c r="I47" i="25"/>
  <c r="BU8" i="17"/>
  <c r="BI5" i="17"/>
  <c r="K50" i="25"/>
  <c r="BI8" i="17"/>
  <c r="BJ8" i="17" s="1"/>
  <c r="BU5" i="17"/>
  <c r="K52" i="25"/>
  <c r="H45" i="25"/>
  <c r="H9" i="23"/>
  <c r="D9" i="23"/>
  <c r="J47" i="25"/>
  <c r="J30" i="25"/>
  <c r="BU7" i="17"/>
  <c r="BV7" i="17" s="1"/>
  <c r="J52" i="25"/>
  <c r="L9" i="23"/>
  <c r="J50" i="25"/>
  <c r="I30" i="25"/>
  <c r="S47" i="77"/>
  <c r="S46" i="77"/>
  <c r="S33" i="77"/>
  <c r="S37" i="77"/>
  <c r="S34" i="77"/>
  <c r="I8" i="15"/>
  <c r="S11" i="77"/>
  <c r="S36" i="77"/>
  <c r="S25" i="77"/>
  <c r="S24" i="77"/>
  <c r="S23" i="77"/>
  <c r="S10" i="77"/>
  <c r="S12" i="77"/>
  <c r="S13" i="77"/>
  <c r="S9" i="77"/>
  <c r="S35" i="77"/>
  <c r="S48" i="77"/>
  <c r="S21" i="77"/>
  <c r="S22" i="77"/>
  <c r="S45" i="77"/>
  <c r="S49" i="77"/>
  <c r="S10" i="76"/>
  <c r="S46" i="76"/>
  <c r="S34" i="76"/>
  <c r="S12" i="76"/>
  <c r="S48" i="76"/>
  <c r="S37" i="76"/>
  <c r="S22" i="76"/>
  <c r="S35" i="76"/>
  <c r="S25" i="76"/>
  <c r="S11" i="76"/>
  <c r="S23" i="76"/>
  <c r="S36" i="76"/>
  <c r="S24" i="76"/>
  <c r="S47" i="76"/>
  <c r="S13" i="76"/>
  <c r="S49" i="76"/>
  <c r="H12" i="23"/>
  <c r="K46" i="25"/>
  <c r="E29" i="70"/>
  <c r="K30" i="25"/>
  <c r="AD10" i="57"/>
  <c r="J45" i="25"/>
  <c r="D18" i="70"/>
  <c r="AD13" i="57"/>
  <c r="AF13" i="57" s="1"/>
  <c r="AG14" i="57" s="1"/>
  <c r="H11" i="23"/>
  <c r="J46" i="25"/>
  <c r="D29" i="70"/>
  <c r="H10" i="23"/>
  <c r="I46" i="25"/>
  <c r="C29" i="70"/>
  <c r="D10" i="23"/>
  <c r="I45" i="25"/>
  <c r="C18" i="70"/>
  <c r="D12" i="23"/>
  <c r="K45" i="25"/>
  <c r="E18" i="70"/>
  <c r="BI10" i="17"/>
  <c r="H50" i="25"/>
  <c r="L12" i="23"/>
  <c r="K47" i="25"/>
  <c r="BU10" i="17"/>
  <c r="H52" i="25"/>
  <c r="AD12" i="24"/>
  <c r="AD12" i="57"/>
  <c r="AF12" i="57" s="1"/>
  <c r="AD11" i="24"/>
  <c r="AD11" i="57"/>
  <c r="AF11" i="57" s="1"/>
  <c r="P10" i="17"/>
  <c r="C11" i="24"/>
  <c r="X11" i="23"/>
  <c r="BI12" i="17"/>
  <c r="AF10" i="23"/>
  <c r="BU11" i="17"/>
  <c r="L10" i="23"/>
  <c r="C10" i="24"/>
  <c r="C24" i="24" s="1"/>
  <c r="AA10" i="17"/>
  <c r="X10" i="23"/>
  <c r="BI11" i="17"/>
  <c r="E10" i="17"/>
  <c r="BI13" i="17"/>
  <c r="X12" i="23"/>
  <c r="C13" i="24"/>
  <c r="BU13" i="17"/>
  <c r="AF12" i="23"/>
  <c r="C12" i="24"/>
  <c r="AD10" i="24"/>
  <c r="AD24" i="24" s="1"/>
  <c r="AF24" i="24" s="1"/>
  <c r="D11" i="23"/>
  <c r="X9" i="23"/>
  <c r="BI9" i="17"/>
  <c r="L11" i="23"/>
  <c r="AD13" i="24"/>
  <c r="AF9" i="23"/>
  <c r="BU9" i="17"/>
  <c r="AF11" i="23"/>
  <c r="BU12" i="17"/>
  <c r="D27" i="25"/>
  <c r="F30" i="25"/>
  <c r="E30" i="25"/>
  <c r="D30" i="25"/>
  <c r="AD5" i="57"/>
  <c r="AD6" i="57"/>
  <c r="AF6" i="57" s="1"/>
  <c r="AD9" i="57"/>
  <c r="AD8" i="57"/>
  <c r="AF8" i="57" s="1"/>
  <c r="AD7" i="57"/>
  <c r="AF7" i="57" s="1"/>
  <c r="D46" i="25"/>
  <c r="C46" i="25"/>
  <c r="E47" i="25"/>
  <c r="E46" i="25"/>
  <c r="E50" i="25"/>
  <c r="D50" i="25"/>
  <c r="C47" i="25"/>
  <c r="E45" i="25"/>
  <c r="C45" i="25"/>
  <c r="G46" i="25"/>
  <c r="G47" i="25"/>
  <c r="D52" i="25"/>
  <c r="C50" i="25"/>
  <c r="G45" i="25"/>
  <c r="E52" i="25"/>
  <c r="D47" i="25"/>
  <c r="D45" i="25"/>
  <c r="C52" i="25"/>
  <c r="G52" i="25"/>
  <c r="C9" i="24"/>
  <c r="AA9" i="17"/>
  <c r="E9" i="17"/>
  <c r="G30" i="25"/>
  <c r="AD9" i="24"/>
  <c r="P9" i="17"/>
  <c r="G50" i="25"/>
  <c r="D8" i="23"/>
  <c r="F45" i="25"/>
  <c r="C30" i="25"/>
  <c r="AD8" i="24"/>
  <c r="X8" i="23"/>
  <c r="F50" i="25"/>
  <c r="AD5" i="24"/>
  <c r="AD25" i="24" s="1"/>
  <c r="AF25" i="24" s="1"/>
  <c r="C8" i="24"/>
  <c r="C6" i="24"/>
  <c r="H8" i="23"/>
  <c r="F46" i="25"/>
  <c r="AD6" i="24"/>
  <c r="AF6" i="24" s="1"/>
  <c r="C7" i="24"/>
  <c r="C5" i="24"/>
  <c r="C25" i="24" s="1"/>
  <c r="AF8" i="23"/>
  <c r="F52" i="25"/>
  <c r="L8" i="23"/>
  <c r="F47" i="25"/>
  <c r="AD7" i="24"/>
  <c r="AF7" i="24" s="1"/>
  <c r="AD8" i="17"/>
  <c r="D7" i="23"/>
  <c r="H6" i="23"/>
  <c r="X5" i="23"/>
  <c r="H6" i="17"/>
  <c r="X7" i="23"/>
  <c r="AF6" i="23"/>
  <c r="L5" i="23"/>
  <c r="D5" i="23"/>
  <c r="H7" i="17"/>
  <c r="H8" i="17"/>
  <c r="H7" i="23"/>
  <c r="D6" i="23"/>
  <c r="H5" i="23"/>
  <c r="AD6" i="17"/>
  <c r="AD7" i="17"/>
  <c r="AD5" i="17"/>
  <c r="H5" i="17"/>
  <c r="AF7" i="23"/>
  <c r="L7" i="23"/>
  <c r="L6" i="23"/>
  <c r="AF5" i="23"/>
  <c r="I128" i="156" l="1"/>
  <c r="R127" i="156"/>
  <c r="W127" i="156" s="1"/>
  <c r="H14" i="23"/>
  <c r="AL29" i="57"/>
  <c r="AM29" i="57" s="1"/>
  <c r="N31" i="74" s="1"/>
  <c r="C40" i="74" s="1"/>
  <c r="N9" i="74"/>
  <c r="D14" i="23"/>
  <c r="S21" i="23"/>
  <c r="T19" i="23"/>
  <c r="H32" i="25"/>
  <c r="K32" i="25"/>
  <c r="C32" i="25"/>
  <c r="I32" i="25"/>
  <c r="D32" i="25"/>
  <c r="F32" i="25"/>
  <c r="E32" i="25"/>
  <c r="J32" i="25"/>
  <c r="X14" i="23"/>
  <c r="AF14" i="23"/>
  <c r="L14" i="23"/>
  <c r="H27" i="73"/>
  <c r="J27" i="73" s="1"/>
  <c r="O9" i="25"/>
  <c r="AM21" i="24"/>
  <c r="AN21" i="24" s="1"/>
  <c r="K127" i="75"/>
  <c r="Q126" i="75"/>
  <c r="H126" i="38"/>
  <c r="N125" i="38"/>
  <c r="P125" i="154"/>
  <c r="U125" i="154" s="1"/>
  <c r="G126" i="154"/>
  <c r="O19" i="23"/>
  <c r="P58" i="23"/>
  <c r="AB19" i="23"/>
  <c r="AA21" i="23"/>
  <c r="AF10" i="57"/>
  <c r="AG12" i="57" s="1"/>
  <c r="AD33" i="57"/>
  <c r="AF33" i="57" s="1"/>
  <c r="AF5" i="57"/>
  <c r="AD34" i="57"/>
  <c r="AF34" i="57" s="1"/>
  <c r="N125" i="36"/>
  <c r="Q125" i="36" s="1"/>
  <c r="P126" i="77"/>
  <c r="BV5" i="17"/>
  <c r="BW5" i="17" s="1"/>
  <c r="BJ7" i="17"/>
  <c r="BV8" i="17"/>
  <c r="BJ11" i="17"/>
  <c r="BV12" i="17"/>
  <c r="BJ12" i="17"/>
  <c r="BV13" i="17"/>
  <c r="BV6" i="17"/>
  <c r="BW6" i="17" s="1"/>
  <c r="BV9" i="17"/>
  <c r="BW9" i="17" s="1"/>
  <c r="BJ5" i="17"/>
  <c r="BJ10" i="17"/>
  <c r="BJ6" i="17"/>
  <c r="BJ9" i="17"/>
  <c r="BJ13" i="17"/>
  <c r="P48" i="17"/>
  <c r="H48" i="17"/>
  <c r="H50" i="17"/>
  <c r="BW7" i="17"/>
  <c r="AF8" i="24"/>
  <c r="AF11" i="24"/>
  <c r="AF5" i="24"/>
  <c r="AF10" i="24"/>
  <c r="AF12" i="24"/>
  <c r="AG14" i="24" s="1"/>
  <c r="E6" i="24"/>
  <c r="E8" i="24"/>
  <c r="E8" i="57" s="1"/>
  <c r="E7" i="24"/>
  <c r="E7" i="57" s="1"/>
  <c r="E10" i="24"/>
  <c r="E10" i="57" s="1"/>
  <c r="E12" i="24"/>
  <c r="E11" i="24"/>
  <c r="E11" i="57" s="1"/>
  <c r="E50" i="17"/>
  <c r="S48" i="17"/>
  <c r="E48" i="17"/>
  <c r="S49" i="17"/>
  <c r="P49" i="17"/>
  <c r="H47" i="17"/>
  <c r="E47" i="17"/>
  <c r="AD48" i="17"/>
  <c r="AA48" i="17"/>
  <c r="S47" i="17"/>
  <c r="P47" i="17"/>
  <c r="H49" i="17"/>
  <c r="E49" i="17"/>
  <c r="AD49" i="17"/>
  <c r="AA49" i="17"/>
  <c r="AD47" i="17"/>
  <c r="AA47" i="17"/>
  <c r="AD50" i="17"/>
  <c r="AA50" i="17"/>
  <c r="S50" i="17"/>
  <c r="P50" i="17"/>
  <c r="AG13" i="57"/>
  <c r="K53" i="25"/>
  <c r="J53" i="25"/>
  <c r="H53" i="25"/>
  <c r="E19" i="70"/>
  <c r="E23" i="70" s="1"/>
  <c r="D19" i="70"/>
  <c r="D23" i="70" s="1"/>
  <c r="I53" i="25"/>
  <c r="E30" i="70"/>
  <c r="E34" i="70" s="1"/>
  <c r="D30" i="70"/>
  <c r="D34" i="70" s="1"/>
  <c r="AF13" i="24"/>
  <c r="E13" i="24"/>
  <c r="E13" i="57" s="1"/>
  <c r="E25" i="24"/>
  <c r="E24" i="24"/>
  <c r="O5" i="15"/>
  <c r="AF9" i="57"/>
  <c r="AG8" i="57"/>
  <c r="O6" i="15"/>
  <c r="O7" i="15"/>
  <c r="BK8" i="17"/>
  <c r="AD21" i="57" s="1"/>
  <c r="E9" i="24"/>
  <c r="E9" i="57" s="1"/>
  <c r="E5" i="24"/>
  <c r="O4" i="15"/>
  <c r="AF9" i="24"/>
  <c r="AA8" i="17"/>
  <c r="AA7" i="17"/>
  <c r="E8" i="17"/>
  <c r="AA5" i="17"/>
  <c r="AA6" i="17"/>
  <c r="E6" i="17"/>
  <c r="G53" i="25"/>
  <c r="S6" i="17"/>
  <c r="P6" i="17"/>
  <c r="F53" i="25"/>
  <c r="S7" i="17"/>
  <c r="P7" i="17"/>
  <c r="E7" i="17"/>
  <c r="D53" i="25"/>
  <c r="E5" i="17"/>
  <c r="S5" i="17"/>
  <c r="P5" i="17"/>
  <c r="C53" i="25"/>
  <c r="E53" i="25"/>
  <c r="S8" i="17"/>
  <c r="P8" i="17"/>
  <c r="D15" i="23" l="1"/>
  <c r="M47" i="25"/>
  <c r="M47" i="74"/>
  <c r="M52" i="25"/>
  <c r="M52" i="74"/>
  <c r="M50" i="25"/>
  <c r="M50" i="74"/>
  <c r="M45" i="25"/>
  <c r="I129" i="156"/>
  <c r="R128" i="156"/>
  <c r="W128" i="156" s="1"/>
  <c r="AG7" i="57"/>
  <c r="AF18" i="57"/>
  <c r="AF19" i="57" s="1"/>
  <c r="AF20" i="57" s="1"/>
  <c r="AF21" i="57" s="1"/>
  <c r="AF22" i="57" s="1"/>
  <c r="AF23" i="57" s="1"/>
  <c r="AF24" i="57" s="1"/>
  <c r="AF25" i="57" s="1"/>
  <c r="AF26" i="57" s="1"/>
  <c r="AF27" i="57" s="1"/>
  <c r="AF28" i="57" s="1"/>
  <c r="AF29" i="57" s="1"/>
  <c r="BV15" i="17"/>
  <c r="AF18" i="24"/>
  <c r="AF19" i="24" s="1"/>
  <c r="AG11" i="57"/>
  <c r="G127" i="154"/>
  <c r="P126" i="154"/>
  <c r="U126" i="154" s="1"/>
  <c r="H127" i="38"/>
  <c r="N126" i="38"/>
  <c r="O126" i="38" s="1"/>
  <c r="K128" i="75"/>
  <c r="Q127" i="75"/>
  <c r="O31" i="25"/>
  <c r="C40" i="25" s="1"/>
  <c r="E40" i="25" s="1"/>
  <c r="D63" i="25" s="1"/>
  <c r="K27" i="73"/>
  <c r="L27" i="73" s="1"/>
  <c r="C21" i="25"/>
  <c r="E21" i="25" s="1"/>
  <c r="X10" i="25"/>
  <c r="BW12" i="17"/>
  <c r="BJ15" i="17"/>
  <c r="AG6" i="57"/>
  <c r="AG10" i="57"/>
  <c r="E18" i="24"/>
  <c r="E19" i="24" s="1"/>
  <c r="P19" i="23"/>
  <c r="O21" i="23"/>
  <c r="K41" i="23"/>
  <c r="K42" i="23" s="1"/>
  <c r="K43" i="23" s="1"/>
  <c r="K44" i="23" s="1"/>
  <c r="K45" i="23" s="1"/>
  <c r="K46" i="23" s="1"/>
  <c r="F19" i="24"/>
  <c r="F20" i="24"/>
  <c r="F21" i="24"/>
  <c r="F18" i="24"/>
  <c r="H15" i="23"/>
  <c r="E12" i="57"/>
  <c r="F14" i="57" s="1"/>
  <c r="F14" i="24"/>
  <c r="E6" i="57"/>
  <c r="E5" i="57"/>
  <c r="P127" i="77"/>
  <c r="N126" i="36"/>
  <c r="Q126" i="36" s="1"/>
  <c r="F11" i="57"/>
  <c r="F10" i="57"/>
  <c r="F8" i="24"/>
  <c r="BW8" i="17"/>
  <c r="F18" i="70"/>
  <c r="BK12" i="17"/>
  <c r="AD25" i="57" s="1"/>
  <c r="BW13" i="17"/>
  <c r="AG8" i="24"/>
  <c r="AG9" i="24"/>
  <c r="AG10" i="24"/>
  <c r="F12" i="24"/>
  <c r="AG13" i="24"/>
  <c r="AG11" i="24"/>
  <c r="AG12" i="24"/>
  <c r="AG7" i="24"/>
  <c r="F13" i="24"/>
  <c r="P110" i="34"/>
  <c r="E33" i="70"/>
  <c r="E35" i="70" s="1"/>
  <c r="E37" i="70" s="1"/>
  <c r="E46" i="70" s="1"/>
  <c r="D22" i="70"/>
  <c r="D24" i="70" s="1"/>
  <c r="D26" i="70" s="1"/>
  <c r="D42" i="70" s="1"/>
  <c r="E43" i="70" s="1"/>
  <c r="E22" i="70"/>
  <c r="E24" i="70" s="1"/>
  <c r="E26" i="70" s="1"/>
  <c r="E42" i="70" s="1"/>
  <c r="E44" i="70" s="1"/>
  <c r="I7" i="15"/>
  <c r="I6" i="15"/>
  <c r="C7" i="15"/>
  <c r="C5" i="15"/>
  <c r="C6" i="15"/>
  <c r="I4" i="15"/>
  <c r="C4" i="15"/>
  <c r="I5" i="15"/>
  <c r="BK13" i="17"/>
  <c r="AD26" i="57" s="1"/>
  <c r="D33" i="70"/>
  <c r="D35" i="70" s="1"/>
  <c r="D37" i="70" s="1"/>
  <c r="D46" i="70" s="1"/>
  <c r="X15" i="23"/>
  <c r="W15" i="23" s="1"/>
  <c r="AF15" i="23"/>
  <c r="AE15" i="23" s="1"/>
  <c r="F9" i="24"/>
  <c r="F11" i="24"/>
  <c r="F10" i="24"/>
  <c r="AG9" i="57"/>
  <c r="F7" i="24"/>
  <c r="BK9" i="17"/>
  <c r="AD22" i="57" s="1"/>
  <c r="BK6" i="17"/>
  <c r="BK7" i="17"/>
  <c r="BK5" i="17"/>
  <c r="N52" i="25" l="1"/>
  <c r="N52" i="74"/>
  <c r="E64" i="74" s="1"/>
  <c r="N50" i="25"/>
  <c r="E62" i="25" s="1"/>
  <c r="N50" i="74"/>
  <c r="E62" i="74" s="1"/>
  <c r="M46" i="25"/>
  <c r="M53" i="25" s="1"/>
  <c r="M46" i="74"/>
  <c r="M45" i="74"/>
  <c r="I130" i="156"/>
  <c r="R129" i="156"/>
  <c r="W129" i="156" s="1"/>
  <c r="D11" i="160"/>
  <c r="AG27" i="57"/>
  <c r="H21" i="25"/>
  <c r="C63" i="25"/>
  <c r="K129" i="75"/>
  <c r="Q128" i="75"/>
  <c r="H128" i="38"/>
  <c r="N127" i="38"/>
  <c r="O127" i="38" s="1"/>
  <c r="AG18" i="24"/>
  <c r="G128" i="154"/>
  <c r="P127" i="154"/>
  <c r="U127" i="154" s="1"/>
  <c r="AG20" i="24"/>
  <c r="AG21" i="24"/>
  <c r="AG19" i="24"/>
  <c r="G15" i="23"/>
  <c r="F12" i="57"/>
  <c r="F13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AG25" i="57"/>
  <c r="AG24" i="57"/>
  <c r="AG18" i="57"/>
  <c r="AG26" i="57"/>
  <c r="AG23" i="57"/>
  <c r="AG22" i="57"/>
  <c r="AG21" i="57"/>
  <c r="AG20" i="57"/>
  <c r="AG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AG29" i="57"/>
  <c r="AG28" i="57"/>
  <c r="N127" i="36"/>
  <c r="Q127" i="36" s="1"/>
  <c r="P128" i="77"/>
  <c r="AE21" i="57"/>
  <c r="E20" i="24"/>
  <c r="L15" i="23"/>
  <c r="K15" i="23" s="1"/>
  <c r="BJ16" i="17"/>
  <c r="BV16" i="17"/>
  <c r="AF20" i="24"/>
  <c r="F43" i="70"/>
  <c r="D44" i="70"/>
  <c r="D45" i="70" s="1"/>
  <c r="AD18" i="57"/>
  <c r="AE18" i="57" s="1"/>
  <c r="AD20" i="57"/>
  <c r="AE20" i="57" s="1"/>
  <c r="AD19" i="57"/>
  <c r="AE19" i="57" s="1"/>
  <c r="P111" i="34"/>
  <c r="AD18" i="24"/>
  <c r="AE18" i="24" s="1"/>
  <c r="E45" i="70"/>
  <c r="E47" i="70"/>
  <c r="D48" i="70"/>
  <c r="D49" i="70" s="1"/>
  <c r="E48" i="70"/>
  <c r="F47" i="70"/>
  <c r="F19" i="70"/>
  <c r="F23" i="70" s="1"/>
  <c r="AE25" i="57"/>
  <c r="N45" i="74"/>
  <c r="AE22" i="57"/>
  <c r="BV10" i="17"/>
  <c r="BK10" i="17"/>
  <c r="AD23" i="57" s="1"/>
  <c r="M53" i="74" l="1"/>
  <c r="N47" i="25"/>
  <c r="N47" i="74"/>
  <c r="N46" i="25"/>
  <c r="N46" i="74"/>
  <c r="R130" i="156"/>
  <c r="W130" i="156" s="1"/>
  <c r="I131" i="156"/>
  <c r="E10" i="160"/>
  <c r="C11" i="160"/>
  <c r="N45" i="25"/>
  <c r="I122" i="34"/>
  <c r="K122" i="76"/>
  <c r="R122" i="76" s="1"/>
  <c r="G129" i="154"/>
  <c r="P128" i="154"/>
  <c r="U128" i="154" s="1"/>
  <c r="H129" i="38"/>
  <c r="N128" i="38"/>
  <c r="O128" i="38" s="1"/>
  <c r="K130" i="75"/>
  <c r="Q129" i="75"/>
  <c r="K48" i="23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P129" i="77"/>
  <c r="S129" i="77" s="1"/>
  <c r="N128" i="36"/>
  <c r="Q128" i="36" s="1"/>
  <c r="AF21" i="24"/>
  <c r="BW10" i="17"/>
  <c r="E21" i="24"/>
  <c r="P112" i="34"/>
  <c r="F22" i="70"/>
  <c r="F24" i="70" s="1"/>
  <c r="F26" i="70" s="1"/>
  <c r="F42" i="70" s="1"/>
  <c r="E49" i="70"/>
  <c r="AE26" i="57"/>
  <c r="BV11" i="17"/>
  <c r="BK11" i="17"/>
  <c r="AD24" i="57" s="1"/>
  <c r="N53" i="74" l="1"/>
  <c r="I132" i="156"/>
  <c r="R131" i="156"/>
  <c r="W131" i="156" s="1"/>
  <c r="I123" i="34"/>
  <c r="K123" i="76"/>
  <c r="R123" i="76" s="1"/>
  <c r="K131" i="75"/>
  <c r="Q130" i="75"/>
  <c r="H130" i="38"/>
  <c r="N129" i="38"/>
  <c r="O129" i="38" s="1"/>
  <c r="P129" i="154"/>
  <c r="U129" i="154" s="1"/>
  <c r="G130" i="154"/>
  <c r="K124" i="76"/>
  <c r="R124" i="76" s="1"/>
  <c r="F44" i="70"/>
  <c r="F45" i="70" s="1"/>
  <c r="G43" i="70"/>
  <c r="N129" i="36"/>
  <c r="Q129" i="36" s="1"/>
  <c r="P130" i="77"/>
  <c r="S130" i="77" s="1"/>
  <c r="BW11" i="17"/>
  <c r="P113" i="34"/>
  <c r="R132" i="156" l="1"/>
  <c r="W132" i="156" s="1"/>
  <c r="I133" i="156"/>
  <c r="P130" i="154"/>
  <c r="U130" i="154" s="1"/>
  <c r="G131" i="154"/>
  <c r="H131" i="38"/>
  <c r="N130" i="38"/>
  <c r="O130" i="38" s="1"/>
  <c r="K132" i="75"/>
  <c r="Q131" i="75"/>
  <c r="K125" i="76"/>
  <c r="R125" i="76" s="1"/>
  <c r="I124" i="34"/>
  <c r="P131" i="77"/>
  <c r="S131" i="77" s="1"/>
  <c r="N130" i="36"/>
  <c r="Q130" i="36" s="1"/>
  <c r="P114" i="34"/>
  <c r="R133" i="156" l="1"/>
  <c r="W133" i="156" s="1"/>
  <c r="I134" i="156"/>
  <c r="G132" i="154"/>
  <c r="P131" i="154"/>
  <c r="U131" i="154" s="1"/>
  <c r="K133" i="75"/>
  <c r="Q132" i="75"/>
  <c r="H132" i="38"/>
  <c r="N131" i="38"/>
  <c r="O131" i="38" s="1"/>
  <c r="K126" i="76"/>
  <c r="R126" i="76" s="1"/>
  <c r="I125" i="34"/>
  <c r="N131" i="36"/>
  <c r="Q131" i="36" s="1"/>
  <c r="P132" i="77"/>
  <c r="S132" i="77" s="1"/>
  <c r="P115" i="34"/>
  <c r="R134" i="156" l="1"/>
  <c r="W134" i="156" s="1"/>
  <c r="I135" i="156"/>
  <c r="H133" i="38"/>
  <c r="N132" i="38"/>
  <c r="O132" i="38" s="1"/>
  <c r="K134" i="75"/>
  <c r="Q133" i="75"/>
  <c r="G133" i="154"/>
  <c r="P132" i="154"/>
  <c r="U132" i="154" s="1"/>
  <c r="K127" i="76"/>
  <c r="R127" i="76" s="1"/>
  <c r="I126" i="34"/>
  <c r="P133" i="77"/>
  <c r="S133" i="77" s="1"/>
  <c r="N132" i="36"/>
  <c r="Q132" i="36" s="1"/>
  <c r="R135" i="156" l="1"/>
  <c r="W135" i="156" s="1"/>
  <c r="I136" i="156"/>
  <c r="P133" i="154"/>
  <c r="U133" i="154" s="1"/>
  <c r="G134" i="154"/>
  <c r="K135" i="75"/>
  <c r="Q134" i="75"/>
  <c r="H134" i="38"/>
  <c r="N133" i="38"/>
  <c r="O133" i="38" s="1"/>
  <c r="G41" i="23"/>
  <c r="K128" i="76" s="1"/>
  <c r="R128" i="76" s="1"/>
  <c r="I127" i="34"/>
  <c r="N133" i="36"/>
  <c r="Q133" i="36" s="1"/>
  <c r="P134" i="77"/>
  <c r="R136" i="156" l="1"/>
  <c r="W136" i="156" s="1"/>
  <c r="I137" i="156"/>
  <c r="G135" i="154"/>
  <c r="P134" i="154"/>
  <c r="U134" i="154" s="1"/>
  <c r="H135" i="38"/>
  <c r="N134" i="38"/>
  <c r="K136" i="75"/>
  <c r="Q135" i="75"/>
  <c r="G42" i="23"/>
  <c r="K129" i="76" s="1"/>
  <c r="R129" i="76" s="1"/>
  <c r="I128" i="34"/>
  <c r="P135" i="77"/>
  <c r="N134" i="36"/>
  <c r="R137" i="156" l="1"/>
  <c r="W137" i="156" s="1"/>
  <c r="I138" i="156"/>
  <c r="K137" i="75"/>
  <c r="Q136" i="75"/>
  <c r="P135" i="154"/>
  <c r="U135" i="154" s="1"/>
  <c r="G136" i="154"/>
  <c r="H136" i="38"/>
  <c r="N135" i="38"/>
  <c r="G43" i="23"/>
  <c r="K130" i="76" s="1"/>
  <c r="R130" i="76" s="1"/>
  <c r="I129" i="34"/>
  <c r="N135" i="36"/>
  <c r="Q135" i="36" s="1"/>
  <c r="P136" i="77"/>
  <c r="R138" i="156" l="1"/>
  <c r="W138" i="156" s="1"/>
  <c r="I139" i="156"/>
  <c r="H137" i="38"/>
  <c r="N136" i="38"/>
  <c r="P136" i="154"/>
  <c r="U136" i="154" s="1"/>
  <c r="G137" i="154"/>
  <c r="K138" i="75"/>
  <c r="Q137" i="75"/>
  <c r="G44" i="23"/>
  <c r="K131" i="76" s="1"/>
  <c r="R131" i="76" s="1"/>
  <c r="I130" i="34"/>
  <c r="P137" i="77"/>
  <c r="N136" i="36"/>
  <c r="Q136" i="36" s="1"/>
  <c r="I140" i="156" l="1"/>
  <c r="R139" i="156"/>
  <c r="W139" i="156" s="1"/>
  <c r="G138" i="154"/>
  <c r="P137" i="154"/>
  <c r="U137" i="154" s="1"/>
  <c r="K139" i="75"/>
  <c r="Q138" i="75"/>
  <c r="H138" i="38"/>
  <c r="N137" i="38"/>
  <c r="G45" i="23"/>
  <c r="K132" i="76" s="1"/>
  <c r="R132" i="76" s="1"/>
  <c r="I131" i="34"/>
  <c r="N137" i="36"/>
  <c r="Q137" i="36" s="1"/>
  <c r="P138" i="77"/>
  <c r="I141" i="156" l="1"/>
  <c r="R140" i="156"/>
  <c r="W140" i="156" s="1"/>
  <c r="H139" i="38"/>
  <c r="N138" i="38"/>
  <c r="O138" i="38" s="1"/>
  <c r="K140" i="75"/>
  <c r="Q139" i="75"/>
  <c r="G139" i="154"/>
  <c r="P138" i="154"/>
  <c r="U138" i="154" s="1"/>
  <c r="G46" i="23"/>
  <c r="K133" i="76" s="1"/>
  <c r="R133" i="76" s="1"/>
  <c r="I132" i="34"/>
  <c r="P139" i="77"/>
  <c r="N138" i="36"/>
  <c r="Q138" i="36" s="1"/>
  <c r="P122" i="34"/>
  <c r="F29" i="70"/>
  <c r="R141" i="156" l="1"/>
  <c r="W141" i="156" s="1"/>
  <c r="I142" i="156"/>
  <c r="G140" i="154"/>
  <c r="P139" i="154"/>
  <c r="U139" i="154" s="1"/>
  <c r="K141" i="75"/>
  <c r="Q140" i="75"/>
  <c r="H140" i="38"/>
  <c r="N139" i="38"/>
  <c r="O139" i="38" s="1"/>
  <c r="K134" i="76"/>
  <c r="R134" i="76" s="1"/>
  <c r="I133" i="34"/>
  <c r="N139" i="36"/>
  <c r="Q139" i="36" s="1"/>
  <c r="P140" i="77"/>
  <c r="O122" i="34"/>
  <c r="Q122" i="76"/>
  <c r="P123" i="34"/>
  <c r="F30" i="70"/>
  <c r="F34" i="70" s="1"/>
  <c r="I143" i="156" l="1"/>
  <c r="R142" i="156"/>
  <c r="W142" i="156" s="1"/>
  <c r="H141" i="38"/>
  <c r="N140" i="38"/>
  <c r="O140" i="38" s="1"/>
  <c r="K142" i="75"/>
  <c r="Q141" i="75"/>
  <c r="P140" i="154"/>
  <c r="U140" i="154" s="1"/>
  <c r="G141" i="154"/>
  <c r="G48" i="23"/>
  <c r="K135" i="76" s="1"/>
  <c r="R135" i="76" s="1"/>
  <c r="I134" i="34"/>
  <c r="O123" i="34"/>
  <c r="Q123" i="76"/>
  <c r="P141" i="77"/>
  <c r="S141" i="77" s="1"/>
  <c r="N140" i="36"/>
  <c r="Q140" i="36" s="1"/>
  <c r="Q124" i="76"/>
  <c r="O124" i="34"/>
  <c r="P124" i="34"/>
  <c r="F33" i="70"/>
  <c r="F35" i="70" s="1"/>
  <c r="F37" i="70" s="1"/>
  <c r="F46" i="70" s="1"/>
  <c r="R143" i="156" l="1"/>
  <c r="W143" i="156" s="1"/>
  <c r="I144" i="156"/>
  <c r="P141" i="154"/>
  <c r="U141" i="154" s="1"/>
  <c r="G142" i="154"/>
  <c r="K143" i="75"/>
  <c r="Q142" i="75"/>
  <c r="H142" i="38"/>
  <c r="N141" i="38"/>
  <c r="O141" i="38" s="1"/>
  <c r="G49" i="23"/>
  <c r="K136" i="76" s="1"/>
  <c r="R136" i="76" s="1"/>
  <c r="I135" i="34"/>
  <c r="N141" i="36"/>
  <c r="Q141" i="36" s="1"/>
  <c r="P142" i="77"/>
  <c r="S142" i="77" s="1"/>
  <c r="Q125" i="76"/>
  <c r="O125" i="34"/>
  <c r="P125" i="34"/>
  <c r="F48" i="70"/>
  <c r="F49" i="70" s="1"/>
  <c r="G47" i="70"/>
  <c r="R144" i="156" l="1"/>
  <c r="W144" i="156" s="1"/>
  <c r="I145" i="156"/>
  <c r="R145" i="156" s="1"/>
  <c r="W145" i="156" s="1"/>
  <c r="P142" i="154"/>
  <c r="U142" i="154" s="1"/>
  <c r="G143" i="154"/>
  <c r="H143" i="38"/>
  <c r="N142" i="38"/>
  <c r="O142" i="38" s="1"/>
  <c r="K144" i="75"/>
  <c r="Q143" i="75"/>
  <c r="G50" i="23"/>
  <c r="K137" i="76" s="1"/>
  <c r="R137" i="76" s="1"/>
  <c r="I136" i="34"/>
  <c r="P143" i="77"/>
  <c r="S143" i="77" s="1"/>
  <c r="N142" i="36"/>
  <c r="Q142" i="36" s="1"/>
  <c r="Q126" i="76"/>
  <c r="O126" i="34"/>
  <c r="C17" i="23"/>
  <c r="D17" i="23" s="1"/>
  <c r="P126" i="34"/>
  <c r="K17" i="23"/>
  <c r="BA57" i="17" l="1"/>
  <c r="BA58" i="17"/>
  <c r="K145" i="75"/>
  <c r="Q145" i="75" s="1"/>
  <c r="Q144" i="75"/>
  <c r="P143" i="154"/>
  <c r="U143" i="154" s="1"/>
  <c r="G144" i="154"/>
  <c r="H144" i="38"/>
  <c r="N143" i="38"/>
  <c r="O143" i="38" s="1"/>
  <c r="G51" i="23"/>
  <c r="K138" i="76" s="1"/>
  <c r="R138" i="76" s="1"/>
  <c r="I137" i="34"/>
  <c r="N143" i="36"/>
  <c r="Q143" i="36" s="1"/>
  <c r="P145" i="77"/>
  <c r="S145" i="77" s="1"/>
  <c r="P144" i="77"/>
  <c r="S144" i="77" s="1"/>
  <c r="Q127" i="76"/>
  <c r="O127" i="34"/>
  <c r="P127" i="34"/>
  <c r="L17" i="23"/>
  <c r="W17" i="23"/>
  <c r="X17" i="23" s="1"/>
  <c r="H145" i="38" l="1"/>
  <c r="N145" i="38" s="1"/>
  <c r="O145" i="38" s="1"/>
  <c r="N144" i="38"/>
  <c r="O144" i="38" s="1"/>
  <c r="G145" i="154"/>
  <c r="P145" i="154" s="1"/>
  <c r="U145" i="154" s="1"/>
  <c r="P144" i="154"/>
  <c r="U144" i="154" s="1"/>
  <c r="G52" i="23"/>
  <c r="K139" i="76" s="1"/>
  <c r="R139" i="76" s="1"/>
  <c r="I138" i="34"/>
  <c r="N145" i="36"/>
  <c r="Q145" i="36" s="1"/>
  <c r="N144" i="36"/>
  <c r="Q144" i="36" s="1"/>
  <c r="G18" i="70"/>
  <c r="G19" i="70" s="1"/>
  <c r="G23" i="70" s="1"/>
  <c r="H18" i="70"/>
  <c r="Q128" i="76"/>
  <c r="O128" i="34"/>
  <c r="P128" i="34"/>
  <c r="AE17" i="23"/>
  <c r="H41" i="23"/>
  <c r="BA12" i="17" l="1"/>
  <c r="BA13" i="17"/>
  <c r="BA14" i="17"/>
  <c r="BA15" i="17"/>
  <c r="BA16" i="17"/>
  <c r="G53" i="23"/>
  <c r="K140" i="76" s="1"/>
  <c r="R140" i="76" s="1"/>
  <c r="I139" i="34"/>
  <c r="H19" i="70"/>
  <c r="H22" i="70" s="1"/>
  <c r="G22" i="70"/>
  <c r="G24" i="70" s="1"/>
  <c r="G26" i="70" s="1"/>
  <c r="G42" i="70" s="1"/>
  <c r="G44" i="70" s="1"/>
  <c r="AF35" i="23"/>
  <c r="Q129" i="76"/>
  <c r="O129" i="34"/>
  <c r="AD27" i="57"/>
  <c r="AE27" i="57" s="1"/>
  <c r="P129" i="34"/>
  <c r="M8" i="25"/>
  <c r="AD19" i="24"/>
  <c r="AE19" i="24" s="1"/>
  <c r="AF17" i="23"/>
  <c r="H42" i="23"/>
  <c r="G54" i="23" l="1"/>
  <c r="K141" i="76" s="1"/>
  <c r="R141" i="76" s="1"/>
  <c r="I140" i="34"/>
  <c r="G45" i="70"/>
  <c r="E54" i="70" s="1"/>
  <c r="E60" i="70" s="1"/>
  <c r="D10" i="71" s="1"/>
  <c r="H23" i="70"/>
  <c r="H24" i="70" s="1"/>
  <c r="H26" i="70" s="1"/>
  <c r="H42" i="70" s="1"/>
  <c r="H43" i="70"/>
  <c r="M10" i="25"/>
  <c r="L53" i="25"/>
  <c r="AF36" i="23"/>
  <c r="Q130" i="76"/>
  <c r="S130" i="76" s="1"/>
  <c r="O130" i="34"/>
  <c r="P130" i="34"/>
  <c r="M30" i="25"/>
  <c r="H43" i="23"/>
  <c r="G55" i="23" l="1"/>
  <c r="K142" i="76" s="1"/>
  <c r="R142" i="76" s="1"/>
  <c r="I141" i="34"/>
  <c r="H44" i="70"/>
  <c r="H45" i="70" s="1"/>
  <c r="F54" i="70" s="1"/>
  <c r="I43" i="70"/>
  <c r="I45" i="70" s="1"/>
  <c r="G54" i="70" s="1"/>
  <c r="AF37" i="23"/>
  <c r="Q131" i="76"/>
  <c r="S131" i="76" s="1"/>
  <c r="O131" i="34"/>
  <c r="P131" i="34"/>
  <c r="H44" i="23"/>
  <c r="G56" i="23" l="1"/>
  <c r="K143" i="76" s="1"/>
  <c r="R143" i="76" s="1"/>
  <c r="I142" i="34"/>
  <c r="G60" i="70"/>
  <c r="F60" i="70"/>
  <c r="E10" i="71" s="1"/>
  <c r="Q132" i="76"/>
  <c r="S132" i="76" s="1"/>
  <c r="O132" i="34"/>
  <c r="P132" i="34"/>
  <c r="AF38" i="23"/>
  <c r="H45" i="23"/>
  <c r="G57" i="23" l="1"/>
  <c r="K144" i="76" s="1"/>
  <c r="R144" i="76" s="1"/>
  <c r="I143" i="34"/>
  <c r="G18" i="23"/>
  <c r="H18" i="23" s="1"/>
  <c r="Q133" i="76"/>
  <c r="S133" i="76" s="1"/>
  <c r="O133" i="34"/>
  <c r="P133" i="34"/>
  <c r="C42" i="23"/>
  <c r="AF39" i="23"/>
  <c r="W41" i="23"/>
  <c r="L41" i="23"/>
  <c r="H46" i="23"/>
  <c r="G58" i="23" l="1"/>
  <c r="I144" i="34"/>
  <c r="Q134" i="76"/>
  <c r="O134" i="34"/>
  <c r="P134" i="34"/>
  <c r="G29" i="70"/>
  <c r="C43" i="23"/>
  <c r="D42" i="23"/>
  <c r="AE41" i="23"/>
  <c r="AF40" i="23"/>
  <c r="W42" i="23"/>
  <c r="X41" i="23"/>
  <c r="L42" i="23"/>
  <c r="H47" i="23"/>
  <c r="I145" i="34" l="1"/>
  <c r="K145" i="76"/>
  <c r="R145" i="76" s="1"/>
  <c r="Q135" i="76"/>
  <c r="O135" i="34"/>
  <c r="P135" i="34"/>
  <c r="G30" i="70"/>
  <c r="G34" i="70" s="1"/>
  <c r="D43" i="23"/>
  <c r="C44" i="23"/>
  <c r="AE42" i="23"/>
  <c r="AF41" i="23"/>
  <c r="W43" i="23"/>
  <c r="X42" i="23"/>
  <c r="L43" i="23"/>
  <c r="H48" i="23"/>
  <c r="Q136" i="76" l="1"/>
  <c r="O136" i="34"/>
  <c r="G33" i="70"/>
  <c r="G35" i="70" s="1"/>
  <c r="G37" i="70" s="1"/>
  <c r="G46" i="70" s="1"/>
  <c r="P136" i="34"/>
  <c r="C45" i="23"/>
  <c r="D44" i="23"/>
  <c r="AF42" i="23"/>
  <c r="AE43" i="23"/>
  <c r="X43" i="23"/>
  <c r="W44" i="23"/>
  <c r="L44" i="23"/>
  <c r="H49" i="23"/>
  <c r="Q137" i="76" l="1"/>
  <c r="O137" i="34"/>
  <c r="P137" i="34"/>
  <c r="G48" i="70"/>
  <c r="G49" i="70" s="1"/>
  <c r="E55" i="70" s="1"/>
  <c r="H47" i="70"/>
  <c r="D45" i="23"/>
  <c r="C46" i="23"/>
  <c r="AE44" i="23"/>
  <c r="AF43" i="23"/>
  <c r="X44" i="23"/>
  <c r="W45" i="23"/>
  <c r="L45" i="23"/>
  <c r="H50" i="23"/>
  <c r="C49" i="23" l="1"/>
  <c r="C50" i="23" s="1"/>
  <c r="C51" i="23" s="1"/>
  <c r="C52" i="23" s="1"/>
  <c r="C53" i="23" s="1"/>
  <c r="C54" i="23" s="1"/>
  <c r="C55" i="23" s="1"/>
  <c r="C56" i="23" s="1"/>
  <c r="C57" i="23" s="1"/>
  <c r="C58" i="23" s="1"/>
  <c r="D47" i="23"/>
  <c r="D18" i="23"/>
  <c r="Q138" i="76"/>
  <c r="O138" i="34"/>
  <c r="P138" i="34"/>
  <c r="E56" i="70"/>
  <c r="E61" i="70"/>
  <c r="D46" i="23"/>
  <c r="AF44" i="23"/>
  <c r="AE45" i="23"/>
  <c r="W46" i="23"/>
  <c r="X45" i="23"/>
  <c r="L46" i="23"/>
  <c r="K18" i="23"/>
  <c r="H51" i="23"/>
  <c r="C19" i="23" l="1"/>
  <c r="C21" i="23" s="1"/>
  <c r="Q139" i="76"/>
  <c r="O139" i="34"/>
  <c r="P139" i="34"/>
  <c r="D11" i="71"/>
  <c r="E62" i="70"/>
  <c r="L18" i="23"/>
  <c r="AE46" i="23"/>
  <c r="AF45" i="23"/>
  <c r="X46" i="23"/>
  <c r="W18" i="23"/>
  <c r="L47" i="23"/>
  <c r="H52" i="23"/>
  <c r="D15" i="71" l="1"/>
  <c r="BI15" i="17"/>
  <c r="BK15" i="17" s="1"/>
  <c r="M8" i="74" s="1"/>
  <c r="Q140" i="76"/>
  <c r="O140" i="34"/>
  <c r="P140" i="34"/>
  <c r="AE23" i="57"/>
  <c r="D48" i="23"/>
  <c r="AF46" i="23"/>
  <c r="AE18" i="23"/>
  <c r="X47" i="23"/>
  <c r="W48" i="23"/>
  <c r="X18" i="23"/>
  <c r="L48" i="23"/>
  <c r="H53" i="23"/>
  <c r="BU15" i="17" l="1"/>
  <c r="Q141" i="76"/>
  <c r="O141" i="34"/>
  <c r="AD28" i="57"/>
  <c r="AE28" i="57" s="1"/>
  <c r="P141" i="34"/>
  <c r="C26" i="73"/>
  <c r="E26" i="73" s="1"/>
  <c r="AD20" i="24"/>
  <c r="AE20" i="24" s="1"/>
  <c r="F26" i="73" s="1"/>
  <c r="N8" i="25"/>
  <c r="D49" i="23"/>
  <c r="AF47" i="23"/>
  <c r="AE48" i="23"/>
  <c r="AF18" i="23"/>
  <c r="W49" i="23"/>
  <c r="X48" i="23"/>
  <c r="L49" i="23"/>
  <c r="H54" i="23"/>
  <c r="W9" i="25" l="1"/>
  <c r="G26" i="73"/>
  <c r="BW15" i="17"/>
  <c r="Q142" i="76"/>
  <c r="S142" i="76" s="1"/>
  <c r="O142" i="34"/>
  <c r="N30" i="25"/>
  <c r="M30" i="74"/>
  <c r="P142" i="34"/>
  <c r="D50" i="23"/>
  <c r="AF48" i="23"/>
  <c r="AE49" i="23"/>
  <c r="X49" i="23"/>
  <c r="W50" i="23"/>
  <c r="L50" i="23"/>
  <c r="H55" i="23"/>
  <c r="N10" i="25" l="1"/>
  <c r="M10" i="74"/>
  <c r="Q143" i="76"/>
  <c r="S143" i="76" s="1"/>
  <c r="O143" i="34"/>
  <c r="P143" i="34"/>
  <c r="D51" i="23"/>
  <c r="AF49" i="23"/>
  <c r="AE50" i="23"/>
  <c r="W51" i="23"/>
  <c r="X50" i="23"/>
  <c r="L51" i="23"/>
  <c r="H56" i="23"/>
  <c r="W11" i="25" l="1"/>
  <c r="Q144" i="76"/>
  <c r="S144" i="76" s="1"/>
  <c r="O144" i="34"/>
  <c r="P144" i="34"/>
  <c r="D52" i="23"/>
  <c r="AF50" i="23"/>
  <c r="AE51" i="23"/>
  <c r="X51" i="23"/>
  <c r="W52" i="23"/>
  <c r="L52" i="23"/>
  <c r="H57" i="23"/>
  <c r="G19" i="23"/>
  <c r="H19" i="23" s="1"/>
  <c r="Q145" i="76" l="1"/>
  <c r="S145" i="76" s="1"/>
  <c r="O145" i="34"/>
  <c r="P145" i="34"/>
  <c r="D53" i="23"/>
  <c r="AE52" i="23"/>
  <c r="AF51" i="23"/>
  <c r="W53" i="23"/>
  <c r="X52" i="23"/>
  <c r="L53" i="23"/>
  <c r="H58" i="23"/>
  <c r="G21" i="23" l="1"/>
  <c r="H29" i="70"/>
  <c r="D54" i="23"/>
  <c r="AF52" i="23"/>
  <c r="AE53" i="23"/>
  <c r="X53" i="23"/>
  <c r="W54" i="23"/>
  <c r="L54" i="23"/>
  <c r="E58" i="25" l="1"/>
  <c r="E58" i="74"/>
  <c r="H30" i="70"/>
  <c r="H34" i="70" s="1"/>
  <c r="D55" i="23"/>
  <c r="AF53" i="23"/>
  <c r="AE54" i="23"/>
  <c r="X54" i="23"/>
  <c r="W55" i="23"/>
  <c r="L55" i="23"/>
  <c r="E6" i="160" l="1"/>
  <c r="H33" i="70"/>
  <c r="H35" i="70" s="1"/>
  <c r="H37" i="70" s="1"/>
  <c r="H46" i="70" s="1"/>
  <c r="D56" i="23"/>
  <c r="AF54" i="23"/>
  <c r="AE55" i="23"/>
  <c r="W56" i="23"/>
  <c r="X55" i="23"/>
  <c r="L56" i="23"/>
  <c r="I47" i="70" l="1"/>
  <c r="I49" i="70" s="1"/>
  <c r="G55" i="70" s="1"/>
  <c r="G56" i="70" s="1"/>
  <c r="H48" i="70"/>
  <c r="H49" i="70" s="1"/>
  <c r="F55" i="70" s="1"/>
  <c r="D57" i="23"/>
  <c r="AF55" i="23"/>
  <c r="AE56" i="23"/>
  <c r="W57" i="23"/>
  <c r="X56" i="23"/>
  <c r="L57" i="23"/>
  <c r="F56" i="70" l="1"/>
  <c r="F61" i="70"/>
  <c r="G61" i="70"/>
  <c r="G62" i="70" s="1"/>
  <c r="D58" i="23"/>
  <c r="AE57" i="23"/>
  <c r="AF56" i="23"/>
  <c r="X57" i="23"/>
  <c r="W58" i="23"/>
  <c r="L58" i="23"/>
  <c r="K19" i="23"/>
  <c r="E11" i="71" l="1"/>
  <c r="F62" i="70"/>
  <c r="D19" i="23"/>
  <c r="L19" i="23"/>
  <c r="K21" i="23"/>
  <c r="AF57" i="23"/>
  <c r="AE58" i="23"/>
  <c r="X58" i="23"/>
  <c r="W19" i="23"/>
  <c r="BI16" i="17" l="1"/>
  <c r="E59" i="74"/>
  <c r="E59" i="25"/>
  <c r="E7" i="160" s="1"/>
  <c r="E57" i="25"/>
  <c r="E57" i="74"/>
  <c r="BK16" i="17"/>
  <c r="N8" i="74" s="1"/>
  <c r="E15" i="71"/>
  <c r="AE24" i="57"/>
  <c r="X19" i="23"/>
  <c r="W21" i="23"/>
  <c r="AF58" i="23"/>
  <c r="AE19" i="23"/>
  <c r="E65" i="74" l="1"/>
  <c r="E5" i="160"/>
  <c r="BU16" i="17"/>
  <c r="AD29" i="57"/>
  <c r="AE29" i="57" s="1"/>
  <c r="AD21" i="24"/>
  <c r="AE21" i="24" s="1"/>
  <c r="K26" i="73" s="1"/>
  <c r="H26" i="73"/>
  <c r="J26" i="73" s="1"/>
  <c r="O8" i="25"/>
  <c r="AF19" i="23"/>
  <c r="AE21" i="23"/>
  <c r="L26" i="73" l="1"/>
  <c r="C20" i="25"/>
  <c r="E20" i="25" s="1"/>
  <c r="X9" i="25"/>
  <c r="BW16" i="17"/>
  <c r="N10" i="74" s="1"/>
  <c r="C22" i="74" s="1"/>
  <c r="E22" i="74" s="1"/>
  <c r="C64" i="74" s="1"/>
  <c r="C20" i="74"/>
  <c r="E20" i="74" s="1"/>
  <c r="C62" i="74" s="1"/>
  <c r="O30" i="25"/>
  <c r="C39" i="25" s="1"/>
  <c r="E39" i="25" s="1"/>
  <c r="D62" i="25" s="1"/>
  <c r="N30" i="74"/>
  <c r="C39" i="74" s="1"/>
  <c r="E39" i="74" s="1"/>
  <c r="D62" i="74" s="1"/>
  <c r="N53" i="25"/>
  <c r="E64" i="25"/>
  <c r="E12" i="160" l="1"/>
  <c r="D10" i="160"/>
  <c r="C62" i="25"/>
  <c r="O10" i="25"/>
  <c r="C21" i="74"/>
  <c r="E21" i="74" s="1"/>
  <c r="C63" i="74" s="1"/>
  <c r="E65" i="25"/>
  <c r="E13" i="160" l="1"/>
  <c r="C10" i="160"/>
  <c r="X11" i="25"/>
  <c r="C22" i="25"/>
  <c r="H20" i="25"/>
  <c r="E40" i="74"/>
  <c r="D63" i="74" l="1"/>
  <c r="E22" i="25"/>
  <c r="H22" i="25" l="1"/>
  <c r="C64" i="25"/>
  <c r="C12" i="160" l="1"/>
  <c r="N2" i="34"/>
  <c r="Q2" i="30"/>
  <c r="P2" i="28" l="1"/>
  <c r="R2" i="30"/>
  <c r="N3" i="34"/>
  <c r="Q3" i="30" l="1"/>
  <c r="P3" i="28"/>
  <c r="R2" i="32"/>
  <c r="S2" i="32" s="1"/>
  <c r="N4" i="34"/>
  <c r="Q4" i="30"/>
  <c r="S2" i="30"/>
  <c r="Q2" i="28"/>
  <c r="Q3" i="28" l="1"/>
  <c r="R3" i="30"/>
  <c r="S3" i="30" s="1"/>
  <c r="R3" i="32"/>
  <c r="S3" i="32" s="1"/>
  <c r="N5" i="34"/>
  <c r="Q5" i="30"/>
  <c r="P4" i="28"/>
  <c r="R4" i="30"/>
  <c r="R4" i="32" l="1"/>
  <c r="S4" i="32" s="1"/>
  <c r="Q4" i="28"/>
  <c r="P5" i="28"/>
  <c r="S4" i="30"/>
  <c r="N6" i="34"/>
  <c r="Q6" i="30"/>
  <c r="R5" i="30"/>
  <c r="R5" i="32" l="1"/>
  <c r="S5" i="32" s="1"/>
  <c r="R6" i="30"/>
  <c r="S5" i="30"/>
  <c r="P6" i="28"/>
  <c r="N7" i="34"/>
  <c r="Q7" i="30"/>
  <c r="Q5" i="28"/>
  <c r="P7" i="28" l="1"/>
  <c r="R6" i="32"/>
  <c r="S6" i="32" s="1"/>
  <c r="Q6" i="28"/>
  <c r="N8" i="34"/>
  <c r="R7" i="30"/>
  <c r="S6" i="30"/>
  <c r="Q7" i="28" l="1"/>
  <c r="Q8" i="30"/>
  <c r="R8" i="30" s="1"/>
  <c r="S8" i="30" s="1"/>
  <c r="R7" i="32"/>
  <c r="S7" i="32" s="1"/>
  <c r="S7" i="30"/>
  <c r="P8" i="28"/>
  <c r="N9" i="34"/>
  <c r="Q9" i="30"/>
  <c r="P9" i="28" l="1"/>
  <c r="R8" i="32"/>
  <c r="S8" i="32" s="1"/>
  <c r="N10" i="34"/>
  <c r="R9" i="30"/>
  <c r="Q8" i="28"/>
  <c r="Q9" i="28" l="1"/>
  <c r="P10" i="28"/>
  <c r="Q10" i="30"/>
  <c r="R10" i="30" s="1"/>
  <c r="R9" i="32"/>
  <c r="S9" i="32" s="1"/>
  <c r="N11" i="34"/>
  <c r="S9" i="30"/>
  <c r="Q10" i="28" l="1"/>
  <c r="S10" i="30"/>
  <c r="Q11" i="30"/>
  <c r="R11" i="30" s="1"/>
  <c r="P11" i="28"/>
  <c r="R10" i="32"/>
  <c r="S10" i="32" s="1"/>
  <c r="N12" i="34"/>
  <c r="Q11" i="28" l="1"/>
  <c r="S11" i="30"/>
  <c r="Q12" i="30"/>
  <c r="R12" i="30" s="1"/>
  <c r="P12" i="28"/>
  <c r="R11" i="32"/>
  <c r="S11" i="32" s="1"/>
  <c r="N13" i="34"/>
  <c r="Q12" i="28" l="1"/>
  <c r="S12" i="30"/>
  <c r="P13" i="28"/>
  <c r="Q13" i="28" s="1"/>
  <c r="Q13" i="30"/>
  <c r="R13" i="30" s="1"/>
  <c r="R12" i="32"/>
  <c r="S12" i="32" s="1"/>
  <c r="Q14" i="30"/>
  <c r="N14" i="34"/>
  <c r="S13" i="30" l="1"/>
  <c r="R13" i="32"/>
  <c r="S13" i="32" s="1"/>
  <c r="R14" i="30"/>
  <c r="P14" i="28"/>
  <c r="N15" i="34"/>
  <c r="Q15" i="30" l="1"/>
  <c r="P15" i="28"/>
  <c r="R14" i="32"/>
  <c r="S14" i="32" s="1"/>
  <c r="N16" i="34"/>
  <c r="Q16" i="30"/>
  <c r="Q14" i="28"/>
  <c r="S14" i="30"/>
  <c r="Q15" i="28" l="1"/>
  <c r="R15" i="30"/>
  <c r="S15" i="30" s="1"/>
  <c r="R15" i="32"/>
  <c r="S15" i="32" s="1"/>
  <c r="R16" i="30"/>
  <c r="N17" i="34"/>
  <c r="Q17" i="30"/>
  <c r="P16" i="28"/>
  <c r="S16" i="30" l="1"/>
  <c r="P17" i="28"/>
  <c r="Q17" i="28" s="1"/>
  <c r="R16" i="32"/>
  <c r="S16" i="32" s="1"/>
  <c r="R17" i="30"/>
  <c r="Q16" i="28"/>
  <c r="N18" i="34"/>
  <c r="Q18" i="30"/>
  <c r="R17" i="32" l="1"/>
  <c r="S17" i="32" s="1"/>
  <c r="S17" i="30"/>
  <c r="R18" i="30"/>
  <c r="P18" i="28"/>
  <c r="N19" i="34"/>
  <c r="S18" i="30" l="1"/>
  <c r="P19" i="28"/>
  <c r="Q19" i="30"/>
  <c r="R19" i="30" s="1"/>
  <c r="S19" i="30" s="1"/>
  <c r="R18" i="32"/>
  <c r="S18" i="32" s="1"/>
  <c r="Q18" i="28"/>
  <c r="N20" i="34"/>
  <c r="Q20" i="30"/>
  <c r="Q19" i="28" l="1"/>
  <c r="R19" i="32"/>
  <c r="S19" i="32" s="1"/>
  <c r="P20" i="28"/>
  <c r="N21" i="34"/>
  <c r="R20" i="30"/>
  <c r="Q21" i="30" l="1"/>
  <c r="R21" i="30" s="1"/>
  <c r="S21" i="30" s="1"/>
  <c r="P21" i="28"/>
  <c r="R20" i="32"/>
  <c r="S20" i="32" s="1"/>
  <c r="S20" i="30"/>
  <c r="N22" i="34"/>
  <c r="Q20" i="28"/>
  <c r="Q21" i="28" l="1"/>
  <c r="Q22" i="30"/>
  <c r="R22" i="30" s="1"/>
  <c r="S22" i="30" s="1"/>
  <c r="R21" i="32"/>
  <c r="S21" i="32" s="1"/>
  <c r="P22" i="28"/>
  <c r="N23" i="34"/>
  <c r="Q23" i="30" l="1"/>
  <c r="R23" i="30" s="1"/>
  <c r="S23" i="30" s="1"/>
  <c r="P23" i="28"/>
  <c r="Q23" i="28" s="1"/>
  <c r="R22" i="32"/>
  <c r="S22" i="32" s="1"/>
  <c r="N24" i="34"/>
  <c r="Q22" i="28"/>
  <c r="P24" i="28" l="1"/>
  <c r="Q24" i="28" s="1"/>
  <c r="Q24" i="30"/>
  <c r="R24" i="30" s="1"/>
  <c r="S24" i="30" s="1"/>
  <c r="R23" i="32"/>
  <c r="S23" i="32" s="1"/>
  <c r="N25" i="34"/>
  <c r="Q25" i="30" l="1"/>
  <c r="R25" i="30" s="1"/>
  <c r="S25" i="30" s="1"/>
  <c r="P25" i="28"/>
  <c r="Q25" i="28" s="1"/>
  <c r="R24" i="32"/>
  <c r="S24" i="32" s="1"/>
  <c r="N26" i="34"/>
  <c r="Q26" i="30"/>
  <c r="R25" i="32" l="1"/>
  <c r="S25" i="32" s="1"/>
  <c r="R26" i="30"/>
  <c r="P26" i="28"/>
  <c r="N27" i="34"/>
  <c r="Q27" i="30" l="1"/>
  <c r="P27" i="28"/>
  <c r="Q27" i="28" s="1"/>
  <c r="R26" i="32"/>
  <c r="S26" i="32" s="1"/>
  <c r="S26" i="30"/>
  <c r="Q26" i="28"/>
  <c r="N28" i="34"/>
  <c r="Q28" i="30"/>
  <c r="R27" i="30" l="1"/>
  <c r="S27" i="30" s="1"/>
  <c r="R27" i="32"/>
  <c r="S27" i="32" s="1"/>
  <c r="R28" i="30"/>
  <c r="S28" i="30" s="1"/>
  <c r="N29" i="34"/>
  <c r="Q29" i="30"/>
  <c r="P28" i="28"/>
  <c r="P29" i="28" l="1"/>
  <c r="Q29" i="28" s="1"/>
  <c r="R28" i="32"/>
  <c r="S28" i="32" s="1"/>
  <c r="R29" i="30"/>
  <c r="Q30" i="30"/>
  <c r="N30" i="34"/>
  <c r="Q28" i="28"/>
  <c r="R29" i="32" l="1"/>
  <c r="S29" i="32" s="1"/>
  <c r="R30" i="30"/>
  <c r="S30" i="30" s="1"/>
  <c r="S29" i="30"/>
  <c r="P30" i="28"/>
  <c r="N31" i="34"/>
  <c r="Q31" i="30"/>
  <c r="P31" i="28" l="1"/>
  <c r="Q31" i="28" s="1"/>
  <c r="R30" i="32"/>
  <c r="S30" i="32" s="1"/>
  <c r="R31" i="30"/>
  <c r="Q30" i="28"/>
  <c r="N32" i="34"/>
  <c r="Q32" i="30"/>
  <c r="R31" i="32" l="1"/>
  <c r="S31" i="32" s="1"/>
  <c r="R32" i="30"/>
  <c r="S32" i="30" s="1"/>
  <c r="P32" i="28"/>
  <c r="N33" i="34"/>
  <c r="S31" i="30"/>
  <c r="Q33" i="30" l="1"/>
  <c r="R33" i="30" s="1"/>
  <c r="S33" i="30" s="1"/>
  <c r="R32" i="32"/>
  <c r="S32" i="32" s="1"/>
  <c r="P33" i="28"/>
  <c r="Q33" i="28" s="1"/>
  <c r="N34" i="34"/>
  <c r="Q32" i="28"/>
  <c r="Q34" i="30" l="1"/>
  <c r="R34" i="30" s="1"/>
  <c r="S34" i="30" s="1"/>
  <c r="R33" i="32"/>
  <c r="S33" i="32" s="1"/>
  <c r="P34" i="28"/>
  <c r="N35" i="34"/>
  <c r="Q35" i="30" l="1"/>
  <c r="R35" i="30" s="1"/>
  <c r="S35" i="30" s="1"/>
  <c r="P35" i="28"/>
  <c r="Q35" i="28" s="1"/>
  <c r="R34" i="32"/>
  <c r="S34" i="32" s="1"/>
  <c r="N36" i="34"/>
  <c r="Q34" i="28"/>
  <c r="P36" i="28" l="1"/>
  <c r="Q36" i="28" s="1"/>
  <c r="Q36" i="30"/>
  <c r="R36" i="30" s="1"/>
  <c r="S36" i="30" s="1"/>
  <c r="R35" i="32"/>
  <c r="S35" i="32" s="1"/>
  <c r="N37" i="34"/>
  <c r="Q37" i="30" l="1"/>
  <c r="R37" i="30" s="1"/>
  <c r="S37" i="30" s="1"/>
  <c r="P37" i="28"/>
  <c r="Q37" i="28" s="1"/>
  <c r="R36" i="32"/>
  <c r="S36" i="32" s="1"/>
  <c r="N38" i="34"/>
  <c r="Q38" i="30"/>
  <c r="R37" i="32" l="1"/>
  <c r="S37" i="32" s="1"/>
  <c r="R38" i="30"/>
  <c r="P38" i="28"/>
  <c r="N39" i="34"/>
  <c r="Q39" i="30" l="1"/>
  <c r="P39" i="28"/>
  <c r="Q39" i="28" s="1"/>
  <c r="R38" i="32"/>
  <c r="S38" i="32" s="1"/>
  <c r="N40" i="34"/>
  <c r="Q40" i="30"/>
  <c r="Q38" i="28"/>
  <c r="S38" i="30"/>
  <c r="R39" i="30" l="1"/>
  <c r="S39" i="30" s="1"/>
  <c r="P40" i="28"/>
  <c r="R39" i="32"/>
  <c r="S39" i="32" s="1"/>
  <c r="R40" i="30"/>
  <c r="N41" i="34"/>
  <c r="Q41" i="30"/>
  <c r="Q40" i="28" l="1"/>
  <c r="R40" i="32"/>
  <c r="S40" i="32" s="1"/>
  <c r="R41" i="30"/>
  <c r="S41" i="30" s="1"/>
  <c r="S40" i="30"/>
  <c r="P41" i="28"/>
  <c r="N42" i="34"/>
  <c r="Q42" i="30"/>
  <c r="P42" i="28" l="1"/>
  <c r="R41" i="32"/>
  <c r="S41" i="32" s="1"/>
  <c r="R42" i="30"/>
  <c r="S42" i="30" s="1"/>
  <c r="N43" i="34"/>
  <c r="Q43" i="30"/>
  <c r="Q41" i="28"/>
  <c r="Q42" i="28" l="1"/>
  <c r="P43" i="28"/>
  <c r="Q43" i="28" s="1"/>
  <c r="R42" i="32"/>
  <c r="S42" i="32" s="1"/>
  <c r="R43" i="30"/>
  <c r="N44" i="34"/>
  <c r="Q44" i="30"/>
  <c r="P44" i="28" l="1"/>
  <c r="R43" i="32"/>
  <c r="S43" i="32" s="1"/>
  <c r="N45" i="34"/>
  <c r="Q45" i="30"/>
  <c r="S43" i="30"/>
  <c r="R44" i="30"/>
  <c r="S44" i="30" s="1"/>
  <c r="Q44" i="28" l="1"/>
  <c r="P45" i="28"/>
  <c r="Q45" i="28" s="1"/>
  <c r="R44" i="32"/>
  <c r="S44" i="32" s="1"/>
  <c r="R45" i="30"/>
  <c r="N46" i="34"/>
  <c r="Q46" i="30" l="1"/>
  <c r="R46" i="30" s="1"/>
  <c r="S46" i="30" s="1"/>
  <c r="P46" i="28"/>
  <c r="Q46" i="28" s="1"/>
  <c r="R45" i="32"/>
  <c r="S45" i="32" s="1"/>
  <c r="N47" i="34"/>
  <c r="S45" i="30"/>
  <c r="Q47" i="30" l="1"/>
  <c r="R47" i="30" s="1"/>
  <c r="S47" i="30" s="1"/>
  <c r="P47" i="28"/>
  <c r="Q47" i="28" s="1"/>
  <c r="R46" i="32"/>
  <c r="S46" i="32" s="1"/>
  <c r="N48" i="34"/>
  <c r="P48" i="28" l="1"/>
  <c r="Q48" i="28" s="1"/>
  <c r="Q48" i="30"/>
  <c r="R48" i="30" s="1"/>
  <c r="S48" i="30" s="1"/>
  <c r="R47" i="32"/>
  <c r="S47" i="32" s="1"/>
  <c r="N49" i="34"/>
  <c r="Q49" i="30" l="1"/>
  <c r="R49" i="30" s="1"/>
  <c r="S49" i="30" s="1"/>
  <c r="P49" i="28"/>
  <c r="Q49" i="28" s="1"/>
  <c r="R48" i="32"/>
  <c r="S48" i="32" s="1"/>
  <c r="N50" i="34"/>
  <c r="Q50" i="30"/>
  <c r="R49" i="32" l="1"/>
  <c r="S49" i="32" s="1"/>
  <c r="P50" i="28"/>
  <c r="N51" i="34"/>
  <c r="R50" i="30"/>
  <c r="P51" i="28" l="1"/>
  <c r="Q51" i="28" s="1"/>
  <c r="Q51" i="30"/>
  <c r="R50" i="32"/>
  <c r="S50" i="32" s="1"/>
  <c r="S50" i="30"/>
  <c r="N52" i="34"/>
  <c r="Q52" i="30"/>
  <c r="Q50" i="28"/>
  <c r="R51" i="30" l="1"/>
  <c r="S51" i="30" s="1"/>
  <c r="P52" i="28"/>
  <c r="R51" i="32"/>
  <c r="S51" i="32" s="1"/>
  <c r="N53" i="34"/>
  <c r="R52" i="30"/>
  <c r="Q52" i="28" l="1"/>
  <c r="Q53" i="30"/>
  <c r="R52" i="32"/>
  <c r="S52" i="32" s="1"/>
  <c r="S52" i="30"/>
  <c r="N54" i="34"/>
  <c r="Q54" i="30"/>
  <c r="P53" i="28"/>
  <c r="R53" i="30" l="1"/>
  <c r="S53" i="30" s="1"/>
  <c r="P54" i="28"/>
  <c r="Q54" i="28" s="1"/>
  <c r="R53" i="32"/>
  <c r="S53" i="32" s="1"/>
  <c r="N55" i="34"/>
  <c r="Q53" i="28"/>
  <c r="R54" i="30"/>
  <c r="Q55" i="30" l="1"/>
  <c r="R54" i="32"/>
  <c r="S54" i="32" s="1"/>
  <c r="N56" i="34"/>
  <c r="Q56" i="30"/>
  <c r="S54" i="30"/>
  <c r="P55" i="28"/>
  <c r="R55" i="30" l="1"/>
  <c r="S55" i="30" s="1"/>
  <c r="P56" i="28"/>
  <c r="Q56" i="28" s="1"/>
  <c r="R55" i="32"/>
  <c r="S55" i="32" s="1"/>
  <c r="Q55" i="28"/>
  <c r="R56" i="30"/>
  <c r="N57" i="34"/>
  <c r="Q57" i="30" l="1"/>
  <c r="R57" i="30" s="1"/>
  <c r="S57" i="30" s="1"/>
  <c r="P57" i="28"/>
  <c r="Q57" i="28" s="1"/>
  <c r="R56" i="32"/>
  <c r="S56" i="32" s="1"/>
  <c r="Q58" i="30"/>
  <c r="N58" i="34"/>
  <c r="S56" i="30"/>
  <c r="P58" i="28" l="1"/>
  <c r="Q58" i="28" s="1"/>
  <c r="R57" i="32"/>
  <c r="S57" i="32" s="1"/>
  <c r="R58" i="30"/>
  <c r="N59" i="34"/>
  <c r="Q59" i="30" l="1"/>
  <c r="R59" i="30" s="1"/>
  <c r="S59" i="30" s="1"/>
  <c r="P59" i="28"/>
  <c r="Q59" i="28" s="1"/>
  <c r="R58" i="32"/>
  <c r="S58" i="32" s="1"/>
  <c r="S58" i="30"/>
  <c r="N60" i="34"/>
  <c r="Q62" i="30" l="1"/>
  <c r="Q60" i="30"/>
  <c r="R60" i="30" s="1"/>
  <c r="S60" i="30" s="1"/>
  <c r="P60" i="28"/>
  <c r="Q60" i="28" s="1"/>
  <c r="R59" i="32"/>
  <c r="S59" i="32" s="1"/>
  <c r="Q61" i="30"/>
  <c r="R62" i="30" l="1"/>
  <c r="R62" i="32"/>
  <c r="S62" i="32" s="1"/>
  <c r="P62" i="28"/>
  <c r="R63" i="32"/>
  <c r="S63" i="32" s="1"/>
  <c r="P63" i="28"/>
  <c r="Q63" i="28" s="1"/>
  <c r="Q63" i="30"/>
  <c r="R63" i="30" s="1"/>
  <c r="S63" i="30" s="1"/>
  <c r="R60" i="32"/>
  <c r="S60" i="32" s="1"/>
  <c r="J4" i="15"/>
  <c r="J5" i="15"/>
  <c r="J6" i="15"/>
  <c r="J7" i="15"/>
  <c r="J8" i="15"/>
  <c r="N61" i="34"/>
  <c r="R61" i="30"/>
  <c r="P61" i="28"/>
  <c r="D4" i="15"/>
  <c r="D5" i="15"/>
  <c r="D6" i="15"/>
  <c r="D7" i="15"/>
  <c r="D8" i="15"/>
  <c r="E6" i="15" l="1"/>
  <c r="E5" i="15"/>
  <c r="E7" i="15"/>
  <c r="E4" i="15"/>
  <c r="E8" i="15"/>
  <c r="S62" i="30"/>
  <c r="Q62" i="28"/>
  <c r="Q64" i="30"/>
  <c r="R64" i="30" s="1"/>
  <c r="S64" i="30" s="1"/>
  <c r="P4" i="15"/>
  <c r="P5" i="15"/>
  <c r="P6" i="15"/>
  <c r="P7" i="15"/>
  <c r="P8" i="15"/>
  <c r="R61" i="32"/>
  <c r="S61" i="32" s="1"/>
  <c r="Q61" i="28"/>
  <c r="S61" i="30"/>
  <c r="N62" i="34"/>
  <c r="Q7" i="15" l="1"/>
  <c r="Q6" i="15"/>
  <c r="Q8" i="15"/>
  <c r="Q5" i="15"/>
  <c r="Q4" i="15"/>
  <c r="R64" i="32"/>
  <c r="S64" i="32" s="1"/>
  <c r="P64" i="28"/>
  <c r="R65" i="32"/>
  <c r="S65" i="32" s="1"/>
  <c r="Q65" i="30"/>
  <c r="R65" i="30" s="1"/>
  <c r="S65" i="30" s="1"/>
  <c r="P65" i="28"/>
  <c r="Q65" i="28" s="1"/>
  <c r="N63" i="34"/>
  <c r="Q64" i="28" l="1"/>
  <c r="R66" i="32"/>
  <c r="S66" i="32" s="1"/>
  <c r="Q66" i="30"/>
  <c r="P66" i="28"/>
  <c r="Q66" i="28" s="1"/>
  <c r="N64" i="34"/>
  <c r="R66" i="30" l="1"/>
  <c r="S66" i="30" s="1"/>
  <c r="Q67" i="30"/>
  <c r="R67" i="32"/>
  <c r="S67" i="32" s="1"/>
  <c r="P67" i="28"/>
  <c r="N65" i="34"/>
  <c r="Q67" i="28" l="1"/>
  <c r="R67" i="30"/>
  <c r="Q68" i="30"/>
  <c r="R68" i="30" s="1"/>
  <c r="S68" i="30" s="1"/>
  <c r="N66" i="34"/>
  <c r="S67" i="30" l="1"/>
  <c r="R68" i="32"/>
  <c r="S68" i="32" s="1"/>
  <c r="P68" i="28"/>
  <c r="Q69" i="30"/>
  <c r="R69" i="30" s="1"/>
  <c r="S69" i="30" s="1"/>
  <c r="R69" i="32"/>
  <c r="S69" i="32" s="1"/>
  <c r="P69" i="28"/>
  <c r="Q69" i="28" s="1"/>
  <c r="N67" i="34"/>
  <c r="Q68" i="28" l="1"/>
  <c r="R70" i="32"/>
  <c r="S70" i="32" s="1"/>
  <c r="P70" i="28"/>
  <c r="Q70" i="28" s="1"/>
  <c r="Q70" i="30"/>
  <c r="R70" i="30" s="1"/>
  <c r="S70" i="30" s="1"/>
  <c r="N68" i="34"/>
  <c r="R71" i="32" l="1"/>
  <c r="S71" i="32" s="1"/>
  <c r="Q71" i="30"/>
  <c r="R71" i="30" s="1"/>
  <c r="S71" i="30" s="1"/>
  <c r="P71" i="28"/>
  <c r="N69" i="34"/>
  <c r="Q71" i="28" l="1"/>
  <c r="R72" i="32"/>
  <c r="S72" i="32" s="1"/>
  <c r="Q72" i="30"/>
  <c r="R72" i="30" s="1"/>
  <c r="S72" i="30" s="1"/>
  <c r="P72" i="28"/>
  <c r="Q72" i="28" s="1"/>
  <c r="N70" i="34"/>
  <c r="R73" i="32" l="1"/>
  <c r="S73" i="32" s="1"/>
  <c r="Q73" i="30"/>
  <c r="R73" i="30" s="1"/>
  <c r="S73" i="30" s="1"/>
  <c r="P73" i="28"/>
  <c r="Q73" i="28" s="1"/>
  <c r="N71" i="34"/>
  <c r="Q74" i="30" l="1"/>
  <c r="N72" i="34"/>
  <c r="Q75" i="30" l="1"/>
  <c r="N73" i="34"/>
  <c r="Q76" i="30" l="1"/>
  <c r="N74" i="34"/>
  <c r="Q77" i="30" l="1"/>
  <c r="N75" i="34"/>
  <c r="Q78" i="30" l="1"/>
  <c r="N76" i="34"/>
  <c r="Q79" i="30" l="1"/>
  <c r="N77" i="34"/>
  <c r="Q80" i="30" l="1"/>
  <c r="N78" i="34"/>
  <c r="Q81" i="30" l="1"/>
  <c r="N79" i="34"/>
  <c r="Q82" i="30" l="1"/>
  <c r="N80" i="34"/>
  <c r="Q83" i="30" l="1"/>
  <c r="N81" i="34"/>
  <c r="Q84" i="30" l="1"/>
  <c r="N82" i="34"/>
  <c r="Q85" i="30" l="1"/>
  <c r="N83" i="34"/>
  <c r="Q86" i="30" l="1"/>
  <c r="N84" i="34"/>
  <c r="N85" i="34" l="1"/>
  <c r="Q87" i="30"/>
  <c r="Q88" i="30" l="1"/>
  <c r="N86" i="34"/>
  <c r="F7" i="57"/>
  <c r="N87" i="34" l="1"/>
  <c r="Q89" i="30"/>
  <c r="F6" i="57"/>
  <c r="F8" i="57"/>
  <c r="Q90" i="30" l="1"/>
  <c r="N88" i="34"/>
  <c r="F9" i="57"/>
  <c r="N89" i="34" l="1"/>
  <c r="Q91" i="30"/>
  <c r="Q92" i="30" l="1"/>
  <c r="N90" i="34"/>
  <c r="N91" i="34" l="1"/>
  <c r="Q93" i="30"/>
  <c r="Q94" i="30" l="1"/>
  <c r="N92" i="34"/>
  <c r="N93" i="34" l="1"/>
  <c r="Q95" i="30"/>
  <c r="N94" i="34" l="1"/>
  <c r="Q96" i="30"/>
  <c r="K4" i="15"/>
  <c r="K5" i="15"/>
  <c r="K6" i="15"/>
  <c r="K7" i="15"/>
  <c r="K8" i="15"/>
  <c r="Q97" i="30" l="1"/>
  <c r="N95" i="34"/>
  <c r="N96" i="34" l="1"/>
  <c r="Q98" i="30"/>
  <c r="Q99" i="30" l="1"/>
  <c r="N97" i="34"/>
  <c r="N98" i="34" l="1"/>
  <c r="Q100" i="30"/>
  <c r="Q101" i="30" l="1"/>
  <c r="N99" i="34"/>
  <c r="Q102" i="30" l="1"/>
  <c r="N100" i="34"/>
  <c r="N101" i="34" l="1"/>
  <c r="Q103" i="30"/>
  <c r="Q104" i="30" l="1"/>
  <c r="N102" i="34"/>
  <c r="N103" i="34" l="1"/>
  <c r="Q105" i="30"/>
  <c r="N104" i="34" l="1"/>
  <c r="Q106" i="30"/>
  <c r="Q107" i="30" l="1"/>
  <c r="N105" i="34"/>
  <c r="N106" i="34" l="1"/>
  <c r="Q108" i="30"/>
  <c r="Q109" i="30" l="1"/>
  <c r="N107" i="34"/>
  <c r="J9" i="15" l="1"/>
  <c r="J10" i="15"/>
  <c r="J11" i="15"/>
  <c r="J12" i="15"/>
  <c r="P9" i="15"/>
  <c r="P10" i="15"/>
  <c r="P11" i="15"/>
  <c r="P12" i="15"/>
  <c r="D9" i="15"/>
  <c r="D10" i="15"/>
  <c r="D11" i="15"/>
  <c r="D12" i="15"/>
  <c r="N108" i="34"/>
  <c r="Q9" i="15" l="1"/>
  <c r="K9" i="15"/>
  <c r="E9" i="15"/>
  <c r="N109" i="34"/>
  <c r="N110" i="34" l="1"/>
  <c r="N111" i="34" l="1"/>
  <c r="N112" i="34" l="1"/>
  <c r="N113" i="34" l="1"/>
  <c r="N114" i="34" l="1"/>
  <c r="N115" i="34" l="1"/>
  <c r="N122" i="34" l="1"/>
  <c r="N123" i="34" l="1"/>
  <c r="N124" i="34" l="1"/>
  <c r="N125" i="34" l="1"/>
  <c r="N126" i="34" l="1"/>
  <c r="N127" i="34" l="1"/>
  <c r="N128" i="34" l="1"/>
  <c r="N129" i="34" l="1"/>
  <c r="N130" i="34" l="1"/>
  <c r="N131" i="34" l="1"/>
  <c r="N132" i="34" l="1"/>
  <c r="N133" i="34" l="1"/>
  <c r="N134" i="34" l="1"/>
  <c r="N135" i="34" l="1"/>
  <c r="N136" i="34" l="1"/>
  <c r="N137" i="34" l="1"/>
  <c r="N138" i="34" l="1"/>
  <c r="N139" i="34" l="1"/>
  <c r="N140" i="34" l="1"/>
  <c r="N141" i="34" l="1"/>
  <c r="N142" i="34" l="1"/>
  <c r="N143" i="34" l="1"/>
  <c r="N144" i="34" l="1"/>
  <c r="N145" i="34"/>
  <c r="K16" i="72" l="1"/>
  <c r="U16" i="72" l="1"/>
  <c r="T16" i="72"/>
  <c r="F77" i="72" s="1"/>
  <c r="S16" i="72"/>
  <c r="Q16" i="72"/>
  <c r="R16" i="72"/>
  <c r="P16" i="72"/>
  <c r="Q34" i="72" s="1"/>
  <c r="G77" i="72"/>
  <c r="D77" i="72"/>
  <c r="P34" i="72"/>
  <c r="R34" i="72" l="1"/>
  <c r="S34" i="72"/>
  <c r="E77" i="72"/>
  <c r="U34" i="72"/>
  <c r="T34" i="72"/>
  <c r="J77" i="72"/>
  <c r="O95" i="72" l="1"/>
  <c r="R95" i="72"/>
  <c r="S95" i="72"/>
  <c r="P95" i="72"/>
  <c r="Q95" i="72"/>
  <c r="L128" i="69"/>
  <c r="U95" i="72" l="1"/>
  <c r="H128" i="69"/>
  <c r="G128" i="69"/>
  <c r="I128" i="69" l="1"/>
  <c r="J128" i="69" l="1"/>
  <c r="K128" i="69" l="1"/>
  <c r="S5" i="77" l="1"/>
  <c r="S4" i="77"/>
  <c r="S7" i="76"/>
  <c r="S6" i="77"/>
  <c r="S6" i="76"/>
  <c r="O18" i="77"/>
  <c r="F30" i="77"/>
  <c r="N20" i="77"/>
  <c r="E32" i="77"/>
  <c r="S8" i="77"/>
  <c r="N18" i="77"/>
  <c r="E30" i="77"/>
  <c r="N17" i="77"/>
  <c r="E29" i="77"/>
  <c r="N16" i="77"/>
  <c r="E28" i="77"/>
  <c r="O15" i="77"/>
  <c r="F27" i="77"/>
  <c r="O20" i="77"/>
  <c r="F32" i="77"/>
  <c r="O16" i="77"/>
  <c r="F28" i="77"/>
  <c r="O14" i="77"/>
  <c r="F26" i="77"/>
  <c r="N15" i="77"/>
  <c r="E27" i="77"/>
  <c r="S7" i="77"/>
  <c r="O17" i="77"/>
  <c r="F29" i="77"/>
  <c r="N14" i="77"/>
  <c r="E26" i="77"/>
  <c r="O19" i="77"/>
  <c r="F31" i="77"/>
  <c r="N19" i="77"/>
  <c r="E31" i="77"/>
  <c r="S2" i="77"/>
  <c r="S2" i="76"/>
  <c r="S8" i="76"/>
  <c r="O21" i="76"/>
  <c r="F33" i="76"/>
  <c r="O19" i="76"/>
  <c r="F31" i="76"/>
  <c r="N17" i="76"/>
  <c r="E29" i="76"/>
  <c r="N18" i="76"/>
  <c r="E30" i="76"/>
  <c r="N19" i="76"/>
  <c r="E31" i="76"/>
  <c r="O18" i="76"/>
  <c r="F30" i="76"/>
  <c r="N14" i="76"/>
  <c r="E26" i="76"/>
  <c r="N21" i="76"/>
  <c r="E33" i="76"/>
  <c r="N16" i="76"/>
  <c r="E28" i="76"/>
  <c r="S5" i="76"/>
  <c r="N15" i="76"/>
  <c r="E27" i="76"/>
  <c r="O14" i="76"/>
  <c r="F26" i="76"/>
  <c r="S4" i="76"/>
  <c r="O16" i="76"/>
  <c r="F28" i="76"/>
  <c r="O15" i="76"/>
  <c r="F27" i="76"/>
  <c r="Q5" i="34"/>
  <c r="S3" i="76"/>
  <c r="O20" i="76"/>
  <c r="F32" i="76"/>
  <c r="S9" i="76"/>
  <c r="N20" i="76"/>
  <c r="E32" i="76"/>
  <c r="O17" i="76"/>
  <c r="F29" i="76"/>
  <c r="O16" i="75"/>
  <c r="R7" i="75"/>
  <c r="O25" i="75"/>
  <c r="O20" i="75"/>
  <c r="R6" i="75"/>
  <c r="R12" i="75"/>
  <c r="O17" i="75"/>
  <c r="R8" i="75"/>
  <c r="O19" i="75"/>
  <c r="R4" i="75"/>
  <c r="O15" i="75"/>
  <c r="R9" i="75"/>
  <c r="O21" i="75"/>
  <c r="O23" i="75"/>
  <c r="R11" i="75"/>
  <c r="O14" i="75"/>
  <c r="R10" i="75"/>
  <c r="R2" i="75"/>
  <c r="R3" i="75"/>
  <c r="O24" i="75"/>
  <c r="O18" i="75"/>
  <c r="R13" i="75"/>
  <c r="R5" i="75"/>
  <c r="O22" i="75"/>
  <c r="Q2" i="34"/>
  <c r="Q10" i="34"/>
  <c r="E33" i="34"/>
  <c r="L21" i="34"/>
  <c r="Q12" i="34"/>
  <c r="Q9" i="34"/>
  <c r="E35" i="34"/>
  <c r="L23" i="34"/>
  <c r="E36" i="34"/>
  <c r="L24" i="34"/>
  <c r="Q13" i="34"/>
  <c r="Q11" i="34"/>
  <c r="Q3" i="34"/>
  <c r="E37" i="34"/>
  <c r="L25" i="34"/>
  <c r="E34" i="34"/>
  <c r="L22" i="34"/>
  <c r="Q4" i="34"/>
  <c r="F29" i="34"/>
  <c r="M17" i="34"/>
  <c r="E27" i="34"/>
  <c r="L15" i="34"/>
  <c r="E30" i="34"/>
  <c r="L18" i="34"/>
  <c r="E31" i="34"/>
  <c r="L19" i="34"/>
  <c r="E28" i="34"/>
  <c r="L16" i="34"/>
  <c r="F26" i="34"/>
  <c r="M14" i="34"/>
  <c r="F28" i="34"/>
  <c r="M16" i="34"/>
  <c r="E32" i="34"/>
  <c r="L20" i="34"/>
  <c r="Q7" i="34"/>
  <c r="Q6" i="34"/>
  <c r="E26" i="34"/>
  <c r="L14" i="34"/>
  <c r="E29" i="34"/>
  <c r="L17" i="34"/>
  <c r="Q8" i="34"/>
  <c r="F27" i="34"/>
  <c r="M15" i="34"/>
  <c r="K17" i="38"/>
  <c r="E29" i="38"/>
  <c r="O4" i="38"/>
  <c r="O2" i="38"/>
  <c r="O3" i="38"/>
  <c r="O5" i="38"/>
  <c r="E27" i="38"/>
  <c r="E28" i="38"/>
  <c r="E26" i="38"/>
  <c r="K26" i="38" s="1"/>
  <c r="S20" i="77" l="1"/>
  <c r="S19" i="76"/>
  <c r="S16" i="77"/>
  <c r="S14" i="77"/>
  <c r="S17" i="77"/>
  <c r="S18" i="77"/>
  <c r="S19" i="77"/>
  <c r="O29" i="77"/>
  <c r="F41" i="77"/>
  <c r="O27" i="77"/>
  <c r="F39" i="77"/>
  <c r="O26" i="77"/>
  <c r="F38" i="77"/>
  <c r="O28" i="77"/>
  <c r="F40" i="77"/>
  <c r="O30" i="77"/>
  <c r="F42" i="77"/>
  <c r="N28" i="77"/>
  <c r="E40" i="77"/>
  <c r="N29" i="77"/>
  <c r="E41" i="77"/>
  <c r="N27" i="77"/>
  <c r="E39" i="77"/>
  <c r="S15" i="77"/>
  <c r="N26" i="77"/>
  <c r="E38" i="77"/>
  <c r="N30" i="77"/>
  <c r="E42" i="77"/>
  <c r="N32" i="77"/>
  <c r="E44" i="77"/>
  <c r="AC47" i="17"/>
  <c r="O32" i="77"/>
  <c r="F44" i="77"/>
  <c r="O31" i="77"/>
  <c r="F43" i="77"/>
  <c r="S14" i="76"/>
  <c r="N31" i="77"/>
  <c r="E43" i="77"/>
  <c r="S21" i="76"/>
  <c r="R47" i="17"/>
  <c r="O28" i="76"/>
  <c r="F40" i="76"/>
  <c r="O29" i="76"/>
  <c r="F41" i="76"/>
  <c r="S18" i="76"/>
  <c r="O27" i="76"/>
  <c r="F39" i="76"/>
  <c r="N31" i="76"/>
  <c r="E43" i="76"/>
  <c r="O26" i="76"/>
  <c r="F38" i="76"/>
  <c r="N29" i="76"/>
  <c r="E41" i="76"/>
  <c r="N32" i="76"/>
  <c r="E44" i="76"/>
  <c r="S15" i="76"/>
  <c r="S17" i="76"/>
  <c r="N33" i="76"/>
  <c r="E45" i="76"/>
  <c r="O30" i="76"/>
  <c r="F42" i="76"/>
  <c r="N30" i="76"/>
  <c r="E42" i="76"/>
  <c r="N27" i="76"/>
  <c r="E39" i="76"/>
  <c r="S20" i="76"/>
  <c r="O31" i="76"/>
  <c r="F43" i="76"/>
  <c r="N28" i="76"/>
  <c r="E40" i="76"/>
  <c r="N26" i="76"/>
  <c r="E38" i="76"/>
  <c r="S16" i="76"/>
  <c r="O33" i="76"/>
  <c r="F45" i="76"/>
  <c r="O32" i="76"/>
  <c r="F44" i="76"/>
  <c r="O30" i="75"/>
  <c r="N18" i="75"/>
  <c r="R18" i="75" s="1"/>
  <c r="O37" i="75"/>
  <c r="N21" i="75"/>
  <c r="R21" i="75" s="1"/>
  <c r="R14" i="75"/>
  <c r="N16" i="75"/>
  <c r="R16" i="75" s="1"/>
  <c r="O29" i="75"/>
  <c r="O35" i="75"/>
  <c r="O34" i="75"/>
  <c r="G47" i="17"/>
  <c r="N19" i="75"/>
  <c r="R19" i="75" s="1"/>
  <c r="N23" i="75"/>
  <c r="R23" i="75" s="1"/>
  <c r="O27" i="75"/>
  <c r="N22" i="75"/>
  <c r="R22" i="75" s="1"/>
  <c r="O31" i="75"/>
  <c r="N25" i="75"/>
  <c r="R25" i="75" s="1"/>
  <c r="N24" i="75"/>
  <c r="R24" i="75" s="1"/>
  <c r="O28" i="75"/>
  <c r="O36" i="75"/>
  <c r="O33" i="75"/>
  <c r="O32" i="75"/>
  <c r="N15" i="75"/>
  <c r="R15" i="75" s="1"/>
  <c r="N17" i="75"/>
  <c r="R17" i="75" s="1"/>
  <c r="O26" i="75"/>
  <c r="N20" i="75"/>
  <c r="R20" i="75" s="1"/>
  <c r="M26" i="36"/>
  <c r="L26" i="36"/>
  <c r="E49" i="34"/>
  <c r="L37" i="34"/>
  <c r="F36" i="34"/>
  <c r="M24" i="34"/>
  <c r="Q24" i="34" s="1"/>
  <c r="R5" i="17"/>
  <c r="T5" i="17" s="1"/>
  <c r="V5" i="17" s="1"/>
  <c r="F37" i="34"/>
  <c r="M25" i="34"/>
  <c r="Q25" i="34" s="1"/>
  <c r="E48" i="34"/>
  <c r="L36" i="34"/>
  <c r="F33" i="34"/>
  <c r="M21" i="34"/>
  <c r="Q21" i="34" s="1"/>
  <c r="Q17" i="34"/>
  <c r="E45" i="34"/>
  <c r="L33" i="34"/>
  <c r="E46" i="34"/>
  <c r="L34" i="34"/>
  <c r="E47" i="34"/>
  <c r="L35" i="34"/>
  <c r="F35" i="34"/>
  <c r="M23" i="34"/>
  <c r="Q23" i="34" s="1"/>
  <c r="F34" i="34"/>
  <c r="M22" i="34"/>
  <c r="Q22" i="34" s="1"/>
  <c r="F40" i="34"/>
  <c r="M28" i="34"/>
  <c r="E40" i="34"/>
  <c r="L28" i="34"/>
  <c r="F38" i="34"/>
  <c r="M26" i="34"/>
  <c r="Q14" i="34"/>
  <c r="E38" i="34"/>
  <c r="L26" i="34"/>
  <c r="E42" i="34"/>
  <c r="L30" i="34"/>
  <c r="F32" i="34"/>
  <c r="M20" i="34"/>
  <c r="Q20" i="34" s="1"/>
  <c r="E43" i="34"/>
  <c r="L31" i="34"/>
  <c r="F39" i="34"/>
  <c r="M27" i="34"/>
  <c r="E39" i="34"/>
  <c r="L27" i="34"/>
  <c r="E41" i="34"/>
  <c r="L29" i="34"/>
  <c r="Q15" i="34"/>
  <c r="F31" i="34"/>
  <c r="M19" i="34"/>
  <c r="Q19" i="34" s="1"/>
  <c r="F41" i="34"/>
  <c r="M29" i="34"/>
  <c r="Q16" i="34"/>
  <c r="F30" i="34"/>
  <c r="M18" i="34"/>
  <c r="Q18" i="34" s="1"/>
  <c r="E44" i="34"/>
  <c r="L32" i="34"/>
  <c r="K27" i="38"/>
  <c r="E39" i="38"/>
  <c r="L17" i="38"/>
  <c r="O17" i="38" s="1"/>
  <c r="F29" i="38"/>
  <c r="O15" i="38"/>
  <c r="F27" i="38"/>
  <c r="O14" i="38"/>
  <c r="F26" i="38"/>
  <c r="G5" i="17"/>
  <c r="I5" i="17" s="1"/>
  <c r="K5" i="17" s="1"/>
  <c r="L16" i="38"/>
  <c r="O16" i="38" s="1"/>
  <c r="F28" i="38"/>
  <c r="E38" i="38"/>
  <c r="K29" i="38"/>
  <c r="E41" i="38"/>
  <c r="K28" i="38"/>
  <c r="E40" i="38"/>
  <c r="Q26" i="36" l="1"/>
  <c r="AC5" i="17"/>
  <c r="AE5" i="17" s="1"/>
  <c r="AC48" i="17"/>
  <c r="S30" i="76"/>
  <c r="S27" i="77"/>
  <c r="S29" i="76"/>
  <c r="S29" i="77"/>
  <c r="S27" i="76"/>
  <c r="S28" i="77"/>
  <c r="AE47" i="17"/>
  <c r="N38" i="77"/>
  <c r="E50" i="77"/>
  <c r="O39" i="77"/>
  <c r="F51" i="77"/>
  <c r="N41" i="77"/>
  <c r="E53" i="77"/>
  <c r="O42" i="77"/>
  <c r="F54" i="77"/>
  <c r="S30" i="77"/>
  <c r="S26" i="77"/>
  <c r="R48" i="17"/>
  <c r="O40" i="77"/>
  <c r="F52" i="77"/>
  <c r="N44" i="77"/>
  <c r="E56" i="77"/>
  <c r="S32" i="77"/>
  <c r="N42" i="77"/>
  <c r="E54" i="77"/>
  <c r="N43" i="77"/>
  <c r="E55" i="77"/>
  <c r="O41" i="77"/>
  <c r="F53" i="77"/>
  <c r="O43" i="77"/>
  <c r="F55" i="77"/>
  <c r="N40" i="77"/>
  <c r="E52" i="77"/>
  <c r="O44" i="77"/>
  <c r="F56" i="77"/>
  <c r="O38" i="77"/>
  <c r="F50" i="77"/>
  <c r="S28" i="76"/>
  <c r="S31" i="77"/>
  <c r="N39" i="77"/>
  <c r="E51" i="77"/>
  <c r="T47" i="17"/>
  <c r="C4" i="74" s="1"/>
  <c r="S32" i="76"/>
  <c r="O45" i="76"/>
  <c r="F57" i="76"/>
  <c r="O42" i="76"/>
  <c r="F54" i="76"/>
  <c r="N42" i="76"/>
  <c r="E54" i="76"/>
  <c r="O39" i="76"/>
  <c r="F51" i="76"/>
  <c r="N45" i="76"/>
  <c r="E57" i="76"/>
  <c r="N43" i="76"/>
  <c r="E55" i="76"/>
  <c r="S31" i="76"/>
  <c r="S33" i="76"/>
  <c r="O40" i="76"/>
  <c r="F52" i="76"/>
  <c r="N41" i="76"/>
  <c r="E53" i="76"/>
  <c r="O38" i="76"/>
  <c r="F50" i="76"/>
  <c r="N39" i="76"/>
  <c r="E51" i="76"/>
  <c r="N38" i="76"/>
  <c r="E50" i="76"/>
  <c r="O43" i="76"/>
  <c r="F55" i="76"/>
  <c r="O44" i="76"/>
  <c r="F56" i="76"/>
  <c r="S26" i="76"/>
  <c r="O41" i="76"/>
  <c r="F53" i="76"/>
  <c r="N40" i="76"/>
  <c r="E52" i="76"/>
  <c r="N44" i="76"/>
  <c r="E56" i="76"/>
  <c r="O43" i="75"/>
  <c r="O44" i="75"/>
  <c r="G48" i="17"/>
  <c r="O40" i="75"/>
  <c r="N31" i="75"/>
  <c r="R31" i="75" s="1"/>
  <c r="O49" i="75"/>
  <c r="O41" i="75"/>
  <c r="O39" i="75"/>
  <c r="N29" i="75"/>
  <c r="R29" i="75" s="1"/>
  <c r="N34" i="75"/>
  <c r="R34" i="75" s="1"/>
  <c r="O45" i="75"/>
  <c r="N26" i="75"/>
  <c r="R26" i="75" s="1"/>
  <c r="N33" i="75"/>
  <c r="R33" i="75" s="1"/>
  <c r="I47" i="17"/>
  <c r="N30" i="75"/>
  <c r="R30" i="75" s="1"/>
  <c r="O47" i="75"/>
  <c r="N27" i="75"/>
  <c r="R27" i="75" s="1"/>
  <c r="O48" i="75"/>
  <c r="N35" i="75"/>
  <c r="R35" i="75" s="1"/>
  <c r="N32" i="75"/>
  <c r="R32" i="75" s="1"/>
  <c r="Q28" i="34"/>
  <c r="O38" i="75"/>
  <c r="N37" i="75"/>
  <c r="R37" i="75" s="1"/>
  <c r="O46" i="75"/>
  <c r="O42" i="75"/>
  <c r="N28" i="75"/>
  <c r="R28" i="75" s="1"/>
  <c r="N36" i="75"/>
  <c r="R36" i="75" s="1"/>
  <c r="Q26" i="34"/>
  <c r="L38" i="36"/>
  <c r="M38" i="36"/>
  <c r="Q27" i="34"/>
  <c r="F47" i="34"/>
  <c r="M35" i="34"/>
  <c r="Q35" i="34" s="1"/>
  <c r="E59" i="34"/>
  <c r="L47" i="34"/>
  <c r="F48" i="34"/>
  <c r="M36" i="34"/>
  <c r="Q36" i="34" s="1"/>
  <c r="E57" i="34"/>
  <c r="L45" i="34"/>
  <c r="E61" i="34"/>
  <c r="L49" i="34"/>
  <c r="F45" i="34"/>
  <c r="M33" i="34"/>
  <c r="Q33" i="34" s="1"/>
  <c r="F46" i="34"/>
  <c r="M34" i="34"/>
  <c r="Q34" i="34" s="1"/>
  <c r="F49" i="34"/>
  <c r="M37" i="34"/>
  <c r="Q37" i="34" s="1"/>
  <c r="E58" i="34"/>
  <c r="L46" i="34"/>
  <c r="E60" i="34"/>
  <c r="L48" i="34"/>
  <c r="F44" i="34"/>
  <c r="M32" i="34"/>
  <c r="Q32" i="34" s="1"/>
  <c r="F53" i="34"/>
  <c r="M41" i="34"/>
  <c r="E54" i="34"/>
  <c r="L42" i="34"/>
  <c r="E50" i="34"/>
  <c r="L38" i="34"/>
  <c r="E53" i="34"/>
  <c r="L41" i="34"/>
  <c r="F51" i="34"/>
  <c r="M39" i="34"/>
  <c r="F43" i="34"/>
  <c r="M31" i="34"/>
  <c r="Q31" i="34" s="1"/>
  <c r="E52" i="34"/>
  <c r="L40" i="34"/>
  <c r="F42" i="34"/>
  <c r="M30" i="34"/>
  <c r="Q30" i="34" s="1"/>
  <c r="E55" i="34"/>
  <c r="L43" i="34"/>
  <c r="R6" i="17"/>
  <c r="T6" i="17" s="1"/>
  <c r="V6" i="17" s="1"/>
  <c r="Q29" i="34"/>
  <c r="E51" i="34"/>
  <c r="L39" i="34"/>
  <c r="F50" i="34"/>
  <c r="M38" i="34"/>
  <c r="E56" i="34"/>
  <c r="L44" i="34"/>
  <c r="F52" i="34"/>
  <c r="M40" i="34"/>
  <c r="K38" i="38"/>
  <c r="E50" i="38"/>
  <c r="L28" i="38"/>
  <c r="O28" i="38" s="1"/>
  <c r="F40" i="38"/>
  <c r="L26" i="38"/>
  <c r="O26" i="38" s="1"/>
  <c r="F38" i="38"/>
  <c r="K41" i="38"/>
  <c r="E53" i="38"/>
  <c r="G6" i="17"/>
  <c r="I6" i="17" s="1"/>
  <c r="K6" i="17" s="1"/>
  <c r="L27" i="38"/>
  <c r="O27" i="38" s="1"/>
  <c r="F39" i="38"/>
  <c r="L29" i="38"/>
  <c r="O29" i="38" s="1"/>
  <c r="F41" i="38"/>
  <c r="K40" i="38"/>
  <c r="E52" i="38"/>
  <c r="K39" i="38"/>
  <c r="E51" i="38"/>
  <c r="Q38" i="36" l="1"/>
  <c r="C3" i="74"/>
  <c r="K47" i="17"/>
  <c r="V47" i="17"/>
  <c r="T48" i="17"/>
  <c r="D4" i="74" s="1"/>
  <c r="S39" i="77"/>
  <c r="AE48" i="17"/>
  <c r="S38" i="76"/>
  <c r="S38" i="77"/>
  <c r="S40" i="76"/>
  <c r="AC49" i="17"/>
  <c r="S41" i="76"/>
  <c r="O55" i="77"/>
  <c r="F67" i="77"/>
  <c r="O53" i="77"/>
  <c r="F65" i="77"/>
  <c r="N51" i="77"/>
  <c r="E63" i="77"/>
  <c r="O51" i="77"/>
  <c r="F63" i="77"/>
  <c r="N50" i="77"/>
  <c r="E62" i="77"/>
  <c r="N52" i="77"/>
  <c r="E64" i="77"/>
  <c r="N55" i="77"/>
  <c r="E67" i="77"/>
  <c r="S43" i="77"/>
  <c r="N54" i="77"/>
  <c r="E66" i="77"/>
  <c r="N56" i="77"/>
  <c r="E68" i="77"/>
  <c r="O56" i="77"/>
  <c r="F68" i="77"/>
  <c r="S40" i="77"/>
  <c r="O54" i="77"/>
  <c r="F66" i="77"/>
  <c r="S41" i="77"/>
  <c r="S42" i="77"/>
  <c r="O50" i="77"/>
  <c r="F62" i="77"/>
  <c r="S44" i="77"/>
  <c r="AG47" i="17"/>
  <c r="AI47" i="17" s="1"/>
  <c r="C5" i="74" s="1"/>
  <c r="N53" i="77"/>
  <c r="E65" i="77"/>
  <c r="S45" i="76"/>
  <c r="O52" i="77"/>
  <c r="F64" i="77"/>
  <c r="S43" i="76"/>
  <c r="S39" i="76"/>
  <c r="R49" i="17"/>
  <c r="N56" i="76"/>
  <c r="E68" i="76"/>
  <c r="N53" i="76"/>
  <c r="E65" i="76"/>
  <c r="S42" i="76"/>
  <c r="N52" i="76"/>
  <c r="E64" i="76"/>
  <c r="O52" i="76"/>
  <c r="F64" i="76"/>
  <c r="N55" i="76"/>
  <c r="E67" i="76"/>
  <c r="O51" i="76"/>
  <c r="F63" i="76"/>
  <c r="O50" i="76"/>
  <c r="F62" i="76"/>
  <c r="O54" i="76"/>
  <c r="F66" i="76"/>
  <c r="O57" i="76"/>
  <c r="F69" i="76"/>
  <c r="N51" i="76"/>
  <c r="E63" i="76"/>
  <c r="O53" i="76"/>
  <c r="F65" i="76"/>
  <c r="O55" i="76"/>
  <c r="F67" i="76"/>
  <c r="N57" i="76"/>
  <c r="E69" i="76"/>
  <c r="N54" i="76"/>
  <c r="E66" i="76"/>
  <c r="N50" i="76"/>
  <c r="E62" i="76"/>
  <c r="S44" i="76"/>
  <c r="O56" i="76"/>
  <c r="F68" i="76"/>
  <c r="O59" i="75"/>
  <c r="O61" i="75"/>
  <c r="O50" i="75"/>
  <c r="N45" i="75"/>
  <c r="R45" i="75" s="1"/>
  <c r="G49" i="17"/>
  <c r="N47" i="75"/>
  <c r="R47" i="75" s="1"/>
  <c r="O57" i="75"/>
  <c r="O58" i="75"/>
  <c r="N42" i="75"/>
  <c r="R42" i="75" s="1"/>
  <c r="I48" i="17"/>
  <c r="D3" i="74" s="1"/>
  <c r="O53" i="75"/>
  <c r="N38" i="75"/>
  <c r="R38" i="75" s="1"/>
  <c r="O60" i="75"/>
  <c r="N46" i="75"/>
  <c r="R46" i="75" s="1"/>
  <c r="O56" i="75"/>
  <c r="N43" i="75"/>
  <c r="R43" i="75" s="1"/>
  <c r="N44" i="75"/>
  <c r="R44" i="75" s="1"/>
  <c r="N40" i="75"/>
  <c r="R40" i="75" s="1"/>
  <c r="N49" i="75"/>
  <c r="R49" i="75" s="1"/>
  <c r="N39" i="75"/>
  <c r="R39" i="75" s="1"/>
  <c r="N41" i="75"/>
  <c r="R41" i="75" s="1"/>
  <c r="O55" i="75"/>
  <c r="O51" i="75"/>
  <c r="O52" i="75"/>
  <c r="N48" i="75"/>
  <c r="R48" i="75" s="1"/>
  <c r="O54" i="75"/>
  <c r="AC6" i="17"/>
  <c r="AE6" i="17" s="1"/>
  <c r="C6" i="57" s="1"/>
  <c r="D6" i="57" s="1"/>
  <c r="M50" i="36"/>
  <c r="C18" i="57"/>
  <c r="D18" i="57" s="1"/>
  <c r="H18" i="57" s="1"/>
  <c r="J18" i="57" s="1"/>
  <c r="C27" i="74" s="1"/>
  <c r="C5" i="57"/>
  <c r="D5" i="57" s="1"/>
  <c r="AG5" i="17"/>
  <c r="L50" i="36"/>
  <c r="F57" i="34"/>
  <c r="M45" i="34"/>
  <c r="Q45" i="34" s="1"/>
  <c r="E72" i="34"/>
  <c r="L60" i="34"/>
  <c r="F60" i="34"/>
  <c r="M48" i="34"/>
  <c r="Q48" i="34" s="1"/>
  <c r="E70" i="34"/>
  <c r="L58" i="34"/>
  <c r="E71" i="34"/>
  <c r="L59" i="34"/>
  <c r="E69" i="34"/>
  <c r="L57" i="34"/>
  <c r="Q41" i="34"/>
  <c r="F61" i="34"/>
  <c r="M49" i="34"/>
  <c r="Q49" i="34" s="1"/>
  <c r="E73" i="34"/>
  <c r="L61" i="34"/>
  <c r="F58" i="34"/>
  <c r="M46" i="34"/>
  <c r="Q46" i="34" s="1"/>
  <c r="F59" i="34"/>
  <c r="M47" i="34"/>
  <c r="Q47" i="34" s="1"/>
  <c r="R7" i="17"/>
  <c r="T7" i="17" s="1"/>
  <c r="V7" i="17" s="1"/>
  <c r="E66" i="34"/>
  <c r="L54" i="34"/>
  <c r="Q38" i="34"/>
  <c r="F62" i="34"/>
  <c r="M50" i="34"/>
  <c r="Q39" i="34"/>
  <c r="E67" i="34"/>
  <c r="L55" i="34"/>
  <c r="F65" i="34"/>
  <c r="M53" i="34"/>
  <c r="F55" i="34"/>
  <c r="M43" i="34"/>
  <c r="Q43" i="34" s="1"/>
  <c r="E62" i="34"/>
  <c r="L50" i="34"/>
  <c r="F54" i="34"/>
  <c r="M42" i="34"/>
  <c r="Q42" i="34" s="1"/>
  <c r="E68" i="34"/>
  <c r="L56" i="34"/>
  <c r="F63" i="34"/>
  <c r="M51" i="34"/>
  <c r="E65" i="34"/>
  <c r="L53" i="34"/>
  <c r="E63" i="34"/>
  <c r="L51" i="34"/>
  <c r="Q40" i="34"/>
  <c r="F56" i="34"/>
  <c r="M44" i="34"/>
  <c r="Q44" i="34" s="1"/>
  <c r="F64" i="34"/>
  <c r="M52" i="34"/>
  <c r="E64" i="34"/>
  <c r="L52" i="34"/>
  <c r="L39" i="38"/>
  <c r="O39" i="38" s="1"/>
  <c r="F51" i="38"/>
  <c r="L38" i="38"/>
  <c r="O38" i="38" s="1"/>
  <c r="F50" i="38"/>
  <c r="L40" i="38"/>
  <c r="O40" i="38" s="1"/>
  <c r="F52" i="38"/>
  <c r="G7" i="17"/>
  <c r="I7" i="17" s="1"/>
  <c r="K7" i="17" s="1"/>
  <c r="K51" i="38"/>
  <c r="E63" i="38"/>
  <c r="K53" i="38"/>
  <c r="E65" i="38"/>
  <c r="K50" i="38"/>
  <c r="E62" i="38"/>
  <c r="K52" i="38"/>
  <c r="E64" i="38"/>
  <c r="L41" i="38"/>
  <c r="O41" i="38" s="1"/>
  <c r="F53" i="38"/>
  <c r="O5" i="24" l="1"/>
  <c r="AI5" i="17"/>
  <c r="C11" i="74"/>
  <c r="Q50" i="36"/>
  <c r="K48" i="17"/>
  <c r="V48" i="17"/>
  <c r="AG48" i="17"/>
  <c r="AI48" i="17" s="1"/>
  <c r="D5" i="74" s="1"/>
  <c r="D11" i="74" s="1"/>
  <c r="AC50" i="17"/>
  <c r="S53" i="77"/>
  <c r="AE49" i="17"/>
  <c r="S55" i="77"/>
  <c r="S52" i="77"/>
  <c r="R50" i="17"/>
  <c r="N66" i="77"/>
  <c r="E78" i="77"/>
  <c r="O65" i="77"/>
  <c r="F77" i="77"/>
  <c r="N62" i="77"/>
  <c r="E74" i="77"/>
  <c r="S50" i="77"/>
  <c r="O63" i="77"/>
  <c r="F75" i="77"/>
  <c r="N65" i="77"/>
  <c r="E77" i="77"/>
  <c r="S56" i="77"/>
  <c r="S54" i="77"/>
  <c r="O66" i="77"/>
  <c r="F78" i="77"/>
  <c r="O64" i="77"/>
  <c r="F76" i="77"/>
  <c r="O68" i="77"/>
  <c r="F80" i="77"/>
  <c r="N68" i="77"/>
  <c r="E80" i="77"/>
  <c r="S51" i="77"/>
  <c r="O67" i="77"/>
  <c r="F79" i="77"/>
  <c r="O62" i="77"/>
  <c r="F74" i="77"/>
  <c r="N64" i="77"/>
  <c r="E76" i="77"/>
  <c r="N63" i="77"/>
  <c r="E75" i="77"/>
  <c r="N67" i="77"/>
  <c r="E79" i="77"/>
  <c r="S50" i="76"/>
  <c r="T49" i="17"/>
  <c r="E4" i="74" s="1"/>
  <c r="S55" i="76"/>
  <c r="S57" i="76"/>
  <c r="N67" i="76"/>
  <c r="E79" i="76"/>
  <c r="N64" i="76"/>
  <c r="E76" i="76"/>
  <c r="O69" i="76"/>
  <c r="F81" i="76"/>
  <c r="O66" i="76"/>
  <c r="F78" i="76"/>
  <c r="O67" i="76"/>
  <c r="F79" i="76"/>
  <c r="O64" i="76"/>
  <c r="F76" i="76"/>
  <c r="S52" i="76"/>
  <c r="N65" i="76"/>
  <c r="E77" i="76"/>
  <c r="N66" i="76"/>
  <c r="E78" i="76"/>
  <c r="O62" i="76"/>
  <c r="F74" i="76"/>
  <c r="S53" i="76"/>
  <c r="O65" i="76"/>
  <c r="F77" i="76"/>
  <c r="S51" i="76"/>
  <c r="N62" i="76"/>
  <c r="E74" i="76"/>
  <c r="S54" i="76"/>
  <c r="N68" i="76"/>
  <c r="E80" i="76"/>
  <c r="O68" i="76"/>
  <c r="F80" i="76"/>
  <c r="N63" i="76"/>
  <c r="E75" i="76"/>
  <c r="N69" i="76"/>
  <c r="E81" i="76"/>
  <c r="O63" i="76"/>
  <c r="F75" i="76"/>
  <c r="S56" i="76"/>
  <c r="AG6" i="17"/>
  <c r="AI6" i="17" s="1"/>
  <c r="O70" i="75"/>
  <c r="O68" i="75"/>
  <c r="N57" i="75"/>
  <c r="R57" i="75" s="1"/>
  <c r="N61" i="75"/>
  <c r="R61" i="75" s="1"/>
  <c r="O62" i="75"/>
  <c r="N59" i="75"/>
  <c r="R59" i="75" s="1"/>
  <c r="O67" i="75"/>
  <c r="N53" i="75"/>
  <c r="R53" i="75" s="1"/>
  <c r="N51" i="75"/>
  <c r="R51" i="75" s="1"/>
  <c r="C19" i="57"/>
  <c r="D19" i="57" s="1"/>
  <c r="O66" i="75"/>
  <c r="N52" i="75"/>
  <c r="R52" i="75" s="1"/>
  <c r="O73" i="75"/>
  <c r="O72" i="75"/>
  <c r="N50" i="75"/>
  <c r="R50" i="75" s="1"/>
  <c r="N55" i="75"/>
  <c r="R55" i="75" s="1"/>
  <c r="O63" i="75"/>
  <c r="I49" i="17"/>
  <c r="E3" i="74" s="1"/>
  <c r="N60" i="75"/>
  <c r="R60" i="75" s="1"/>
  <c r="N56" i="75"/>
  <c r="R56" i="75" s="1"/>
  <c r="N54" i="75"/>
  <c r="R54" i="75" s="1"/>
  <c r="O71" i="75"/>
  <c r="O69" i="75"/>
  <c r="N58" i="75"/>
  <c r="R58" i="75" s="1"/>
  <c r="G50" i="17"/>
  <c r="L62" i="36"/>
  <c r="M62" i="36"/>
  <c r="AC7" i="17"/>
  <c r="AE7" i="17" s="1"/>
  <c r="AG7" i="17" s="1"/>
  <c r="AI7" i="17" s="1"/>
  <c r="E81" i="34"/>
  <c r="L69" i="34"/>
  <c r="F71" i="34"/>
  <c r="M59" i="34"/>
  <c r="Q59" i="34" s="1"/>
  <c r="F70" i="34"/>
  <c r="M58" i="34"/>
  <c r="Q58" i="34" s="1"/>
  <c r="F72" i="34"/>
  <c r="M60" i="34"/>
  <c r="Q60" i="34" s="1"/>
  <c r="F73" i="34"/>
  <c r="M61" i="34"/>
  <c r="Q61" i="34" s="1"/>
  <c r="Q51" i="34"/>
  <c r="E83" i="34"/>
  <c r="L71" i="34"/>
  <c r="E85" i="34"/>
  <c r="L73" i="34"/>
  <c r="E84" i="34"/>
  <c r="L72" i="34"/>
  <c r="E82" i="34"/>
  <c r="L70" i="34"/>
  <c r="F69" i="34"/>
  <c r="M57" i="34"/>
  <c r="Q57" i="34" s="1"/>
  <c r="E79" i="34"/>
  <c r="L67" i="34"/>
  <c r="E75" i="34"/>
  <c r="L63" i="34"/>
  <c r="F75" i="34"/>
  <c r="M63" i="34"/>
  <c r="F74" i="34"/>
  <c r="M62" i="34"/>
  <c r="E77" i="34"/>
  <c r="L65" i="34"/>
  <c r="F67" i="34"/>
  <c r="M55" i="34"/>
  <c r="Q55" i="34" s="1"/>
  <c r="E80" i="34"/>
  <c r="L68" i="34"/>
  <c r="F68" i="34"/>
  <c r="M56" i="34"/>
  <c r="Q56" i="34" s="1"/>
  <c r="R8" i="17"/>
  <c r="T8" i="17" s="1"/>
  <c r="V8" i="17" s="1"/>
  <c r="Q52" i="34"/>
  <c r="F66" i="34"/>
  <c r="M54" i="34"/>
  <c r="Q54" i="34" s="1"/>
  <c r="E74" i="34"/>
  <c r="L62" i="34"/>
  <c r="F76" i="34"/>
  <c r="M64" i="34"/>
  <c r="F77" i="34"/>
  <c r="M65" i="34"/>
  <c r="Q53" i="34"/>
  <c r="E76" i="34"/>
  <c r="L64" i="34"/>
  <c r="Q50" i="34"/>
  <c r="E78" i="34"/>
  <c r="L66" i="34"/>
  <c r="G8" i="17"/>
  <c r="I8" i="17" s="1"/>
  <c r="K8" i="17" s="1"/>
  <c r="L50" i="38"/>
  <c r="O50" i="38" s="1"/>
  <c r="F62" i="38"/>
  <c r="K64" i="38"/>
  <c r="E76" i="38"/>
  <c r="L51" i="38"/>
  <c r="O51" i="38" s="1"/>
  <c r="F63" i="38"/>
  <c r="K65" i="38"/>
  <c r="E77" i="38"/>
  <c r="K63" i="38"/>
  <c r="E75" i="38"/>
  <c r="L52" i="38"/>
  <c r="O52" i="38" s="1"/>
  <c r="F64" i="38"/>
  <c r="L53" i="38"/>
  <c r="O53" i="38" s="1"/>
  <c r="F65" i="38"/>
  <c r="K62" i="38"/>
  <c r="E74" i="38"/>
  <c r="H19" i="57" l="1"/>
  <c r="J19" i="57" s="1"/>
  <c r="D27" i="74" s="1"/>
  <c r="Q62" i="36"/>
  <c r="D11" i="25"/>
  <c r="O6" i="24"/>
  <c r="K49" i="17"/>
  <c r="C11" i="25"/>
  <c r="S68" i="77"/>
  <c r="AG49" i="17"/>
  <c r="AI49" i="17" s="1"/>
  <c r="E5" i="74" s="1"/>
  <c r="AE50" i="17"/>
  <c r="AC51" i="17"/>
  <c r="T50" i="17"/>
  <c r="F4" i="74" s="1"/>
  <c r="S65" i="77"/>
  <c r="S66" i="77"/>
  <c r="N79" i="77"/>
  <c r="E91" i="77"/>
  <c r="S67" i="77"/>
  <c r="O80" i="77"/>
  <c r="F92" i="77"/>
  <c r="V49" i="17"/>
  <c r="N75" i="77"/>
  <c r="E87" i="77"/>
  <c r="N78" i="77"/>
  <c r="E90" i="77"/>
  <c r="O78" i="77"/>
  <c r="F90" i="77"/>
  <c r="N74" i="77"/>
  <c r="E86" i="77"/>
  <c r="N80" i="77"/>
  <c r="E92" i="77"/>
  <c r="S63" i="77"/>
  <c r="N76" i="77"/>
  <c r="E88" i="77"/>
  <c r="N77" i="77"/>
  <c r="E89" i="77"/>
  <c r="O75" i="77"/>
  <c r="F87" i="77"/>
  <c r="S62" i="77"/>
  <c r="O77" i="77"/>
  <c r="F89" i="77"/>
  <c r="S64" i="77"/>
  <c r="O79" i="77"/>
  <c r="F91" i="77"/>
  <c r="O76" i="77"/>
  <c r="F88" i="77"/>
  <c r="O74" i="77"/>
  <c r="F86" i="77"/>
  <c r="R51" i="17"/>
  <c r="S69" i="76"/>
  <c r="S62" i="76"/>
  <c r="N75" i="76"/>
  <c r="E87" i="76"/>
  <c r="N78" i="76"/>
  <c r="E90" i="76"/>
  <c r="O81" i="76"/>
  <c r="F93" i="76"/>
  <c r="S63" i="76"/>
  <c r="S66" i="76"/>
  <c r="O74" i="76"/>
  <c r="F86" i="76"/>
  <c r="N77" i="76"/>
  <c r="E89" i="76"/>
  <c r="S64" i="76"/>
  <c r="N81" i="76"/>
  <c r="E93" i="76"/>
  <c r="O80" i="76"/>
  <c r="F92" i="76"/>
  <c r="N76" i="76"/>
  <c r="E88" i="76"/>
  <c r="S65" i="76"/>
  <c r="N79" i="76"/>
  <c r="E91" i="76"/>
  <c r="O79" i="76"/>
  <c r="F91" i="76"/>
  <c r="O75" i="76"/>
  <c r="F87" i="76"/>
  <c r="N80" i="76"/>
  <c r="E92" i="76"/>
  <c r="S67" i="76"/>
  <c r="O76" i="76"/>
  <c r="F88" i="76"/>
  <c r="O77" i="76"/>
  <c r="F89" i="76"/>
  <c r="O78" i="76"/>
  <c r="F90" i="76"/>
  <c r="S68" i="76"/>
  <c r="N74" i="76"/>
  <c r="E86" i="76"/>
  <c r="AC8" i="17"/>
  <c r="AE8" i="17" s="1"/>
  <c r="AG8" i="17" s="1"/>
  <c r="AI8" i="17" s="1"/>
  <c r="N71" i="75"/>
  <c r="R71" i="75" s="1"/>
  <c r="O74" i="75"/>
  <c r="N72" i="75"/>
  <c r="R72" i="75" s="1"/>
  <c r="O78" i="75"/>
  <c r="N69" i="75"/>
  <c r="R69" i="75" s="1"/>
  <c r="O79" i="75"/>
  <c r="N62" i="75"/>
  <c r="R62" i="75" s="1"/>
  <c r="O83" i="75"/>
  <c r="N66" i="75"/>
  <c r="R66" i="75" s="1"/>
  <c r="O85" i="75"/>
  <c r="O77" i="75"/>
  <c r="R64" i="75"/>
  <c r="I50" i="17"/>
  <c r="F3" i="74" s="1"/>
  <c r="N63" i="75"/>
  <c r="R63" i="75" s="1"/>
  <c r="G51" i="17"/>
  <c r="O84" i="75"/>
  <c r="N68" i="75"/>
  <c r="R68" i="75" s="1"/>
  <c r="N70" i="75"/>
  <c r="R70" i="75" s="1"/>
  <c r="O75" i="75"/>
  <c r="O80" i="75"/>
  <c r="O81" i="75"/>
  <c r="N65" i="75"/>
  <c r="R65" i="75" s="1"/>
  <c r="O76" i="75"/>
  <c r="N73" i="75"/>
  <c r="R73" i="75" s="1"/>
  <c r="N67" i="75"/>
  <c r="R67" i="75" s="1"/>
  <c r="O82" i="75"/>
  <c r="M74" i="36"/>
  <c r="L74" i="36"/>
  <c r="C7" i="57"/>
  <c r="D7" i="57" s="1"/>
  <c r="C20" i="57"/>
  <c r="D20" i="57" s="1"/>
  <c r="Q64" i="34"/>
  <c r="F84" i="34"/>
  <c r="M72" i="34"/>
  <c r="Q72" i="34" s="1"/>
  <c r="E94" i="34"/>
  <c r="L82" i="34"/>
  <c r="F81" i="34"/>
  <c r="M69" i="34"/>
  <c r="Q69" i="34" s="1"/>
  <c r="E96" i="34"/>
  <c r="L84" i="34"/>
  <c r="F82" i="34"/>
  <c r="M70" i="34"/>
  <c r="Q70" i="34" s="1"/>
  <c r="E97" i="34"/>
  <c r="L85" i="34"/>
  <c r="F83" i="34"/>
  <c r="M71" i="34"/>
  <c r="Q71" i="34" s="1"/>
  <c r="F85" i="34"/>
  <c r="M73" i="34"/>
  <c r="Q73" i="34" s="1"/>
  <c r="E95" i="34"/>
  <c r="L83" i="34"/>
  <c r="E93" i="34"/>
  <c r="L81" i="34"/>
  <c r="F89" i="34"/>
  <c r="M77" i="34"/>
  <c r="F88" i="34"/>
  <c r="M76" i="34"/>
  <c r="F86" i="34"/>
  <c r="M74" i="34"/>
  <c r="E88" i="34"/>
  <c r="L76" i="34"/>
  <c r="E86" i="34"/>
  <c r="L74" i="34"/>
  <c r="F78" i="34"/>
  <c r="M66" i="34"/>
  <c r="Q66" i="34" s="1"/>
  <c r="F87" i="34"/>
  <c r="M75" i="34"/>
  <c r="E92" i="34"/>
  <c r="L80" i="34"/>
  <c r="E89" i="34"/>
  <c r="L77" i="34"/>
  <c r="Q62" i="34"/>
  <c r="Q63" i="34"/>
  <c r="E87" i="34"/>
  <c r="L75" i="34"/>
  <c r="F79" i="34"/>
  <c r="M67" i="34"/>
  <c r="Q67" i="34" s="1"/>
  <c r="Q65" i="34"/>
  <c r="E90" i="34"/>
  <c r="L78" i="34"/>
  <c r="R9" i="17"/>
  <c r="T9" i="17" s="1"/>
  <c r="V9" i="17" s="1"/>
  <c r="F80" i="34"/>
  <c r="M68" i="34"/>
  <c r="Q68" i="34" s="1"/>
  <c r="E91" i="34"/>
  <c r="L79" i="34"/>
  <c r="G9" i="17"/>
  <c r="I9" i="17" s="1"/>
  <c r="K9" i="17" s="1"/>
  <c r="L62" i="38"/>
  <c r="O62" i="38" s="1"/>
  <c r="F74" i="38"/>
  <c r="F77" i="38"/>
  <c r="L65" i="38"/>
  <c r="O65" i="38" s="1"/>
  <c r="E87" i="38"/>
  <c r="K75" i="38"/>
  <c r="E88" i="38"/>
  <c r="K76" i="38"/>
  <c r="E86" i="38"/>
  <c r="K74" i="38"/>
  <c r="L63" i="38"/>
  <c r="O63" i="38" s="1"/>
  <c r="F75" i="38"/>
  <c r="E89" i="38"/>
  <c r="K77" i="38"/>
  <c r="L64" i="38"/>
  <c r="O64" i="38" s="1"/>
  <c r="F76" i="38"/>
  <c r="E11" i="74" l="1"/>
  <c r="H20" i="57"/>
  <c r="J20" i="57" s="1"/>
  <c r="E27" i="74" s="1"/>
  <c r="Q74" i="36"/>
  <c r="F11" i="25"/>
  <c r="O8" i="24"/>
  <c r="E11" i="25"/>
  <c r="O7" i="24"/>
  <c r="K50" i="17"/>
  <c r="T51" i="17"/>
  <c r="AG50" i="17"/>
  <c r="AE51" i="17"/>
  <c r="V50" i="17"/>
  <c r="N87" i="77"/>
  <c r="E99" i="77"/>
  <c r="O86" i="77"/>
  <c r="F98" i="77"/>
  <c r="N89" i="77"/>
  <c r="E101" i="77"/>
  <c r="O90" i="77"/>
  <c r="F102" i="77"/>
  <c r="O88" i="77"/>
  <c r="F100" i="77"/>
  <c r="N86" i="77"/>
  <c r="E98" i="77"/>
  <c r="O89" i="77"/>
  <c r="F101" i="77"/>
  <c r="AC52" i="17"/>
  <c r="N88" i="77"/>
  <c r="E100" i="77"/>
  <c r="N92" i="77"/>
  <c r="E104" i="77"/>
  <c r="E116" i="77" s="1"/>
  <c r="N116" i="77" s="1"/>
  <c r="O87" i="77"/>
  <c r="F99" i="77"/>
  <c r="O92" i="77"/>
  <c r="F104" i="77"/>
  <c r="F116" i="77" s="1"/>
  <c r="O116" i="77" s="1"/>
  <c r="N91" i="77"/>
  <c r="E103" i="77"/>
  <c r="N90" i="77"/>
  <c r="E102" i="77"/>
  <c r="O91" i="77"/>
  <c r="F103" i="77"/>
  <c r="R52" i="17"/>
  <c r="O91" i="76"/>
  <c r="F103" i="76"/>
  <c r="O90" i="76"/>
  <c r="F102" i="76"/>
  <c r="N91" i="76"/>
  <c r="E103" i="76"/>
  <c r="O93" i="76"/>
  <c r="F105" i="76"/>
  <c r="F117" i="76" s="1"/>
  <c r="O117" i="76" s="1"/>
  <c r="C21" i="57"/>
  <c r="O89" i="76"/>
  <c r="F101" i="76"/>
  <c r="C8" i="57"/>
  <c r="D8" i="57" s="1"/>
  <c r="O88" i="76"/>
  <c r="F100" i="76"/>
  <c r="N88" i="76"/>
  <c r="E100" i="76"/>
  <c r="N87" i="76"/>
  <c r="E99" i="76"/>
  <c r="N90" i="76"/>
  <c r="E102" i="76"/>
  <c r="O92" i="76"/>
  <c r="F104" i="76"/>
  <c r="F116" i="76" s="1"/>
  <c r="O116" i="76" s="1"/>
  <c r="N86" i="76"/>
  <c r="E98" i="76"/>
  <c r="O87" i="76"/>
  <c r="F99" i="76"/>
  <c r="N92" i="76"/>
  <c r="E104" i="76"/>
  <c r="E116" i="76" s="1"/>
  <c r="N116" i="76" s="1"/>
  <c r="N89" i="76"/>
  <c r="E101" i="76"/>
  <c r="O86" i="76"/>
  <c r="F98" i="76"/>
  <c r="N93" i="76"/>
  <c r="E105" i="76"/>
  <c r="E117" i="76" s="1"/>
  <c r="N117" i="76" s="1"/>
  <c r="N74" i="75"/>
  <c r="G52" i="17"/>
  <c r="N75" i="75"/>
  <c r="O116" i="75"/>
  <c r="O92" i="75"/>
  <c r="O87" i="75"/>
  <c r="O89" i="75"/>
  <c r="N84" i="75"/>
  <c r="I51" i="17"/>
  <c r="G3" i="74" s="1"/>
  <c r="N77" i="75"/>
  <c r="N81" i="75"/>
  <c r="AC9" i="17"/>
  <c r="AE9" i="17" s="1"/>
  <c r="AG9" i="17" s="1"/>
  <c r="AI9" i="17" s="1"/>
  <c r="O118" i="75"/>
  <c r="O94" i="75"/>
  <c r="N82" i="75"/>
  <c r="O97" i="75"/>
  <c r="O121" i="75"/>
  <c r="O86" i="75"/>
  <c r="O119" i="75"/>
  <c r="O91" i="75"/>
  <c r="N76" i="75"/>
  <c r="N85" i="75"/>
  <c r="O120" i="75"/>
  <c r="O96" i="75"/>
  <c r="O88" i="75"/>
  <c r="O93" i="75"/>
  <c r="O117" i="75"/>
  <c r="O90" i="75"/>
  <c r="N78" i="75"/>
  <c r="N79" i="75"/>
  <c r="N80" i="75"/>
  <c r="N83" i="75"/>
  <c r="L86" i="36"/>
  <c r="M86" i="36"/>
  <c r="E107" i="34"/>
  <c r="E119" i="34" s="1"/>
  <c r="L119" i="34" s="1"/>
  <c r="L95" i="34"/>
  <c r="E109" i="34"/>
  <c r="E121" i="34" s="1"/>
  <c r="L121" i="34" s="1"/>
  <c r="L97" i="34"/>
  <c r="Q77" i="34"/>
  <c r="F93" i="34"/>
  <c r="M81" i="34"/>
  <c r="Q81" i="34" s="1"/>
  <c r="F95" i="34"/>
  <c r="M83" i="34"/>
  <c r="Q83" i="34" s="1"/>
  <c r="F94" i="34"/>
  <c r="M82" i="34"/>
  <c r="Q82" i="34" s="1"/>
  <c r="Q74" i="34"/>
  <c r="E106" i="34"/>
  <c r="E118" i="34" s="1"/>
  <c r="L118" i="34" s="1"/>
  <c r="L94" i="34"/>
  <c r="E108" i="34"/>
  <c r="E120" i="34" s="1"/>
  <c r="L120" i="34" s="1"/>
  <c r="L96" i="34"/>
  <c r="F97" i="34"/>
  <c r="M85" i="34"/>
  <c r="Q85" i="34" s="1"/>
  <c r="E105" i="34"/>
  <c r="E117" i="34" s="1"/>
  <c r="L117" i="34" s="1"/>
  <c r="L93" i="34"/>
  <c r="Q76" i="34"/>
  <c r="F96" i="34"/>
  <c r="M84" i="34"/>
  <c r="Q84" i="34" s="1"/>
  <c r="Q75" i="34"/>
  <c r="E100" i="34"/>
  <c r="L88" i="34"/>
  <c r="E104" i="34"/>
  <c r="E116" i="34" s="1"/>
  <c r="L116" i="34" s="1"/>
  <c r="L92" i="34"/>
  <c r="E102" i="34"/>
  <c r="L90" i="34"/>
  <c r="E99" i="34"/>
  <c r="L87" i="34"/>
  <c r="F98" i="34"/>
  <c r="M86" i="34"/>
  <c r="F99" i="34"/>
  <c r="M87" i="34"/>
  <c r="F90" i="34"/>
  <c r="M78" i="34"/>
  <c r="Q78" i="34" s="1"/>
  <c r="E98" i="34"/>
  <c r="L86" i="34"/>
  <c r="R10" i="17"/>
  <c r="T10" i="17" s="1"/>
  <c r="V10" i="17" s="1"/>
  <c r="F100" i="34"/>
  <c r="M88" i="34"/>
  <c r="F91" i="34"/>
  <c r="M79" i="34"/>
  <c r="Q79" i="34" s="1"/>
  <c r="E103" i="34"/>
  <c r="L91" i="34"/>
  <c r="F92" i="34"/>
  <c r="M80" i="34"/>
  <c r="Q80" i="34" s="1"/>
  <c r="E101" i="34"/>
  <c r="L89" i="34"/>
  <c r="F101" i="34"/>
  <c r="M89" i="34"/>
  <c r="K86" i="38"/>
  <c r="E98" i="38"/>
  <c r="E100" i="38"/>
  <c r="K88" i="38"/>
  <c r="L76" i="38"/>
  <c r="O76" i="38" s="1"/>
  <c r="F88" i="38"/>
  <c r="G10" i="17"/>
  <c r="I10" i="17" s="1"/>
  <c r="K10" i="17" s="1"/>
  <c r="L74" i="38"/>
  <c r="O74" i="38" s="1"/>
  <c r="F86" i="38"/>
  <c r="F87" i="38"/>
  <c r="L75" i="38"/>
  <c r="O75" i="38" s="1"/>
  <c r="E99" i="38"/>
  <c r="K87" i="38"/>
  <c r="F89" i="38"/>
  <c r="L77" i="38"/>
  <c r="O77" i="38" s="1"/>
  <c r="E101" i="38"/>
  <c r="K89" i="38"/>
  <c r="AI50" i="17" l="1"/>
  <c r="F5" i="74" s="1"/>
  <c r="F11" i="74" s="1"/>
  <c r="C22" i="57"/>
  <c r="D22" i="57" s="1"/>
  <c r="Q86" i="36"/>
  <c r="P8" i="24"/>
  <c r="P7" i="24"/>
  <c r="V51" i="17"/>
  <c r="G4" i="74"/>
  <c r="K51" i="17"/>
  <c r="AG51" i="17"/>
  <c r="D21" i="57"/>
  <c r="O104" i="77"/>
  <c r="N100" i="77"/>
  <c r="E112" i="77"/>
  <c r="F115" i="77"/>
  <c r="O103" i="77"/>
  <c r="E113" i="77"/>
  <c r="N101" i="77"/>
  <c r="AE52" i="17"/>
  <c r="O99" i="77"/>
  <c r="F111" i="77"/>
  <c r="O101" i="77"/>
  <c r="F113" i="77"/>
  <c r="O100" i="77"/>
  <c r="F112" i="77"/>
  <c r="N104" i="77"/>
  <c r="N102" i="77"/>
  <c r="E114" i="77"/>
  <c r="E115" i="77"/>
  <c r="N103" i="77"/>
  <c r="E111" i="77"/>
  <c r="N99" i="77"/>
  <c r="O102" i="77"/>
  <c r="F114" i="77"/>
  <c r="F110" i="77"/>
  <c r="O98" i="77"/>
  <c r="E110" i="77"/>
  <c r="N98" i="77"/>
  <c r="T52" i="17"/>
  <c r="H4" i="74" s="1"/>
  <c r="N105" i="76"/>
  <c r="N99" i="76"/>
  <c r="E111" i="76"/>
  <c r="N103" i="76"/>
  <c r="E115" i="76"/>
  <c r="O98" i="76"/>
  <c r="F110" i="76"/>
  <c r="E114" i="76"/>
  <c r="N102" i="76"/>
  <c r="N104" i="76"/>
  <c r="O103" i="76"/>
  <c r="F115" i="76"/>
  <c r="O104" i="76"/>
  <c r="N100" i="76"/>
  <c r="E112" i="76"/>
  <c r="N101" i="76"/>
  <c r="E113" i="76"/>
  <c r="N98" i="76"/>
  <c r="E110" i="76"/>
  <c r="O101" i="76"/>
  <c r="F113" i="76"/>
  <c r="O105" i="76"/>
  <c r="O102" i="76"/>
  <c r="F114" i="76"/>
  <c r="O99" i="76"/>
  <c r="F111" i="76"/>
  <c r="O100" i="76"/>
  <c r="F112" i="76"/>
  <c r="N96" i="75"/>
  <c r="N120" i="75"/>
  <c r="O104" i="75"/>
  <c r="O108" i="75"/>
  <c r="O106" i="75"/>
  <c r="O100" i="75"/>
  <c r="N87" i="75"/>
  <c r="O107" i="75"/>
  <c r="O98" i="75"/>
  <c r="O101" i="75"/>
  <c r="N95" i="75"/>
  <c r="N119" i="75"/>
  <c r="N121" i="75"/>
  <c r="N97" i="75"/>
  <c r="N117" i="75"/>
  <c r="N93" i="75"/>
  <c r="N90" i="75"/>
  <c r="O105" i="75"/>
  <c r="C9" i="57"/>
  <c r="D9" i="57" s="1"/>
  <c r="N116" i="75"/>
  <c r="N92" i="75"/>
  <c r="I52" i="17"/>
  <c r="H3" i="74" s="1"/>
  <c r="O109" i="75"/>
  <c r="O99" i="75"/>
  <c r="N88" i="75"/>
  <c r="N89" i="75"/>
  <c r="N86" i="75"/>
  <c r="O102" i="75"/>
  <c r="N118" i="75"/>
  <c r="N94" i="75"/>
  <c r="N91" i="75"/>
  <c r="O103" i="75"/>
  <c r="AC10" i="17"/>
  <c r="AE10" i="17" s="1"/>
  <c r="AG10" i="17" s="1"/>
  <c r="AI10" i="17" s="1"/>
  <c r="L98" i="36"/>
  <c r="M98" i="36"/>
  <c r="F105" i="34"/>
  <c r="F117" i="34" s="1"/>
  <c r="M117" i="34" s="1"/>
  <c r="Q117" i="34" s="1"/>
  <c r="M93" i="34"/>
  <c r="Q93" i="34" s="1"/>
  <c r="F109" i="34"/>
  <c r="F121" i="34" s="1"/>
  <c r="M121" i="34" s="1"/>
  <c r="Q121" i="34" s="1"/>
  <c r="M97" i="34"/>
  <c r="Q97" i="34" s="1"/>
  <c r="F106" i="34"/>
  <c r="F118" i="34" s="1"/>
  <c r="M118" i="34" s="1"/>
  <c r="Q118" i="34" s="1"/>
  <c r="M94" i="34"/>
  <c r="Q94" i="34" s="1"/>
  <c r="L105" i="34"/>
  <c r="L109" i="34"/>
  <c r="F108" i="34"/>
  <c r="F120" i="34" s="1"/>
  <c r="M120" i="34" s="1"/>
  <c r="Q120" i="34" s="1"/>
  <c r="M96" i="34"/>
  <c r="Q96" i="34" s="1"/>
  <c r="L108" i="34"/>
  <c r="F107" i="34"/>
  <c r="F119" i="34" s="1"/>
  <c r="M119" i="34" s="1"/>
  <c r="Q119" i="34" s="1"/>
  <c r="M95" i="34"/>
  <c r="Q95" i="34" s="1"/>
  <c r="L107" i="34"/>
  <c r="L106" i="34"/>
  <c r="R11" i="17"/>
  <c r="Q89" i="34"/>
  <c r="Q87" i="34"/>
  <c r="F102" i="34"/>
  <c r="M90" i="34"/>
  <c r="Q90" i="34" s="1"/>
  <c r="F104" i="34"/>
  <c r="F116" i="34" s="1"/>
  <c r="M116" i="34" s="1"/>
  <c r="Q116" i="34" s="1"/>
  <c r="M92" i="34"/>
  <c r="Q92" i="34" s="1"/>
  <c r="F112" i="34"/>
  <c r="M100" i="34"/>
  <c r="F110" i="34"/>
  <c r="M98" i="34"/>
  <c r="L104" i="34"/>
  <c r="F111" i="34"/>
  <c r="M99" i="34"/>
  <c r="E115" i="34"/>
  <c r="L103" i="34"/>
  <c r="Q86" i="34"/>
  <c r="Q88" i="34"/>
  <c r="E113" i="34"/>
  <c r="L101" i="34"/>
  <c r="E114" i="34"/>
  <c r="L102" i="34"/>
  <c r="E110" i="34"/>
  <c r="L98" i="34"/>
  <c r="E112" i="34"/>
  <c r="L100" i="34"/>
  <c r="E111" i="34"/>
  <c r="L99" i="34"/>
  <c r="F103" i="34"/>
  <c r="M91" i="34"/>
  <c r="Q91" i="34" s="1"/>
  <c r="F113" i="34"/>
  <c r="M101" i="34"/>
  <c r="G11" i="17"/>
  <c r="K101" i="38"/>
  <c r="E113" i="38"/>
  <c r="L89" i="38"/>
  <c r="O89" i="38" s="1"/>
  <c r="F101" i="38"/>
  <c r="E110" i="38"/>
  <c r="K98" i="38"/>
  <c r="L88" i="38"/>
  <c r="O88" i="38" s="1"/>
  <c r="F100" i="38"/>
  <c r="E111" i="38"/>
  <c r="K99" i="38"/>
  <c r="L87" i="38"/>
  <c r="O87" i="38" s="1"/>
  <c r="F99" i="38"/>
  <c r="F98" i="38"/>
  <c r="L86" i="38"/>
  <c r="O86" i="38" s="1"/>
  <c r="K100" i="38"/>
  <c r="E112" i="38"/>
  <c r="AI51" i="17" l="1"/>
  <c r="G5" i="74" s="1"/>
  <c r="H21" i="57"/>
  <c r="J21" i="57" s="1"/>
  <c r="F27" i="74" s="1"/>
  <c r="H22" i="57"/>
  <c r="J22" i="57" s="1"/>
  <c r="G27" i="74" s="1"/>
  <c r="C10" i="57"/>
  <c r="D10" i="57" s="1"/>
  <c r="Q98" i="36"/>
  <c r="K52" i="17"/>
  <c r="V52" i="17"/>
  <c r="N111" i="77"/>
  <c r="E123" i="77"/>
  <c r="N115" i="77"/>
  <c r="E127" i="77"/>
  <c r="N114" i="77"/>
  <c r="E126" i="77"/>
  <c r="E128" i="77"/>
  <c r="O111" i="77"/>
  <c r="F123" i="77"/>
  <c r="AG52" i="17"/>
  <c r="N113" i="77"/>
  <c r="E125" i="77"/>
  <c r="O115" i="77"/>
  <c r="F127" i="77"/>
  <c r="N112" i="77"/>
  <c r="E124" i="77"/>
  <c r="N110" i="77"/>
  <c r="E122" i="77"/>
  <c r="F128" i="77"/>
  <c r="O110" i="77"/>
  <c r="F122" i="77"/>
  <c r="O113" i="77"/>
  <c r="F125" i="77"/>
  <c r="O114" i="77"/>
  <c r="F126" i="77"/>
  <c r="O112" i="77"/>
  <c r="F124" i="77"/>
  <c r="O114" i="76"/>
  <c r="F126" i="76"/>
  <c r="F128" i="76"/>
  <c r="N115" i="76"/>
  <c r="E127" i="76"/>
  <c r="O110" i="76"/>
  <c r="F122" i="76"/>
  <c r="F129" i="76"/>
  <c r="O115" i="76"/>
  <c r="F127" i="76"/>
  <c r="N111" i="76"/>
  <c r="E123" i="76"/>
  <c r="O113" i="76"/>
  <c r="F125" i="76"/>
  <c r="E129" i="76"/>
  <c r="N113" i="76"/>
  <c r="E125" i="76"/>
  <c r="E128" i="76"/>
  <c r="N114" i="76"/>
  <c r="E126" i="76"/>
  <c r="O112" i="76"/>
  <c r="F124" i="76"/>
  <c r="N112" i="76"/>
  <c r="E124" i="76"/>
  <c r="N110" i="76"/>
  <c r="E122" i="76"/>
  <c r="O111" i="76"/>
  <c r="F123" i="76"/>
  <c r="N106" i="75"/>
  <c r="N98" i="75"/>
  <c r="O112" i="75"/>
  <c r="F124" i="75"/>
  <c r="I124" i="75" s="1"/>
  <c r="N109" i="75"/>
  <c r="F132" i="75"/>
  <c r="I132" i="75" s="1"/>
  <c r="O110" i="75"/>
  <c r="F122" i="75"/>
  <c r="I122" i="75" s="1"/>
  <c r="O114" i="75"/>
  <c r="F126" i="75"/>
  <c r="I126" i="75" s="1"/>
  <c r="N100" i="75"/>
  <c r="O111" i="75"/>
  <c r="F123" i="75"/>
  <c r="I123" i="75" s="1"/>
  <c r="N107" i="75"/>
  <c r="N99" i="75"/>
  <c r="F128" i="75"/>
  <c r="I128" i="75" s="1"/>
  <c r="F131" i="75"/>
  <c r="I131" i="75" s="1"/>
  <c r="O115" i="75"/>
  <c r="F127" i="75"/>
  <c r="I127" i="75" s="1"/>
  <c r="F133" i="75"/>
  <c r="I133" i="75" s="1"/>
  <c r="N101" i="75"/>
  <c r="AC11" i="17"/>
  <c r="N108" i="75"/>
  <c r="N104" i="75"/>
  <c r="F129" i="75"/>
  <c r="I129" i="75" s="1"/>
  <c r="N102" i="75"/>
  <c r="N105" i="75"/>
  <c r="F130" i="75"/>
  <c r="I130" i="75" s="1"/>
  <c r="N103" i="75"/>
  <c r="O113" i="75"/>
  <c r="F125" i="75"/>
  <c r="I125" i="75" s="1"/>
  <c r="C23" i="57"/>
  <c r="M110" i="36"/>
  <c r="L110" i="36"/>
  <c r="Q100" i="34"/>
  <c r="E129" i="34"/>
  <c r="M106" i="34"/>
  <c r="Q106" i="34" s="1"/>
  <c r="E131" i="34"/>
  <c r="E132" i="34"/>
  <c r="M108" i="34"/>
  <c r="Q108" i="34" s="1"/>
  <c r="M109" i="34"/>
  <c r="Q109" i="34" s="1"/>
  <c r="E133" i="34"/>
  <c r="M107" i="34"/>
  <c r="Q107" i="34" s="1"/>
  <c r="E130" i="34"/>
  <c r="M105" i="34"/>
  <c r="Q105" i="34" s="1"/>
  <c r="E122" i="34"/>
  <c r="L110" i="34"/>
  <c r="F115" i="34"/>
  <c r="M103" i="34"/>
  <c r="Q103" i="34" s="1"/>
  <c r="Q98" i="34"/>
  <c r="E126" i="34"/>
  <c r="L114" i="34"/>
  <c r="F124" i="34"/>
  <c r="M112" i="34"/>
  <c r="Q101" i="34"/>
  <c r="E127" i="34"/>
  <c r="L115" i="34"/>
  <c r="E125" i="34"/>
  <c r="L113" i="34"/>
  <c r="M104" i="34"/>
  <c r="Q104" i="34" s="1"/>
  <c r="F123" i="34"/>
  <c r="M111" i="34"/>
  <c r="E123" i="34"/>
  <c r="L111" i="34"/>
  <c r="Q99" i="34"/>
  <c r="E128" i="34"/>
  <c r="E124" i="34"/>
  <c r="L112" i="34"/>
  <c r="M110" i="34"/>
  <c r="F122" i="34"/>
  <c r="R12" i="17"/>
  <c r="F114" i="34"/>
  <c r="M102" i="34"/>
  <c r="Q102" i="34" s="1"/>
  <c r="M113" i="34"/>
  <c r="F125" i="34"/>
  <c r="K111" i="38"/>
  <c r="E123" i="38"/>
  <c r="F112" i="38"/>
  <c r="L100" i="38"/>
  <c r="O100" i="38" s="1"/>
  <c r="K110" i="38"/>
  <c r="E122" i="38"/>
  <c r="K112" i="38"/>
  <c r="E124" i="38"/>
  <c r="F113" i="38"/>
  <c r="L101" i="38"/>
  <c r="O101" i="38" s="1"/>
  <c r="K113" i="38"/>
  <c r="E125" i="38"/>
  <c r="F110" i="38"/>
  <c r="L98" i="38"/>
  <c r="O98" i="38" s="1"/>
  <c r="G12" i="17"/>
  <c r="F111" i="38"/>
  <c r="L99" i="38"/>
  <c r="O99" i="38" s="1"/>
  <c r="AI52" i="17" l="1"/>
  <c r="H5" i="74" s="1"/>
  <c r="H11" i="74" s="1"/>
  <c r="Q110" i="36"/>
  <c r="H11" i="25"/>
  <c r="O10" i="24"/>
  <c r="P131" i="75"/>
  <c r="P128" i="75"/>
  <c r="P125" i="75"/>
  <c r="P123" i="75"/>
  <c r="P130" i="75"/>
  <c r="P129" i="75"/>
  <c r="P126" i="75"/>
  <c r="P132" i="75"/>
  <c r="P133" i="75"/>
  <c r="P124" i="75"/>
  <c r="P127" i="75"/>
  <c r="O122" i="75"/>
  <c r="P122" i="75"/>
  <c r="S4" i="25"/>
  <c r="D23" i="57"/>
  <c r="F135" i="77"/>
  <c r="O123" i="77"/>
  <c r="N128" i="77"/>
  <c r="E140" i="77"/>
  <c r="N126" i="77"/>
  <c r="E138" i="77"/>
  <c r="N122" i="77"/>
  <c r="E134" i="77"/>
  <c r="O124" i="77"/>
  <c r="F136" i="77"/>
  <c r="N123" i="77"/>
  <c r="E135" i="77"/>
  <c r="O126" i="77"/>
  <c r="F138" i="77"/>
  <c r="O127" i="77"/>
  <c r="F139" i="77"/>
  <c r="E137" i="77"/>
  <c r="N125" i="77"/>
  <c r="E136" i="77"/>
  <c r="N124" i="77"/>
  <c r="F134" i="77"/>
  <c r="O122" i="77"/>
  <c r="F140" i="77"/>
  <c r="O128" i="77"/>
  <c r="N127" i="77"/>
  <c r="E139" i="77"/>
  <c r="F137" i="77"/>
  <c r="O125" i="77"/>
  <c r="F141" i="76"/>
  <c r="O141" i="76" s="1"/>
  <c r="O129" i="76"/>
  <c r="N129" i="76"/>
  <c r="E141" i="76"/>
  <c r="N141" i="76" s="1"/>
  <c r="F140" i="76"/>
  <c r="O140" i="76" s="1"/>
  <c r="O128" i="76"/>
  <c r="N126" i="76"/>
  <c r="E138" i="76"/>
  <c r="N138" i="76" s="1"/>
  <c r="E134" i="76"/>
  <c r="N134" i="76" s="1"/>
  <c r="N122" i="76"/>
  <c r="O127" i="76"/>
  <c r="F139" i="76"/>
  <c r="O139" i="76" s="1"/>
  <c r="N125" i="76"/>
  <c r="E137" i="76"/>
  <c r="N137" i="76" s="1"/>
  <c r="O126" i="76"/>
  <c r="F138" i="76"/>
  <c r="O138" i="76" s="1"/>
  <c r="E136" i="76"/>
  <c r="N136" i="76" s="1"/>
  <c r="N124" i="76"/>
  <c r="E135" i="76"/>
  <c r="N135" i="76" s="1"/>
  <c r="N123" i="76"/>
  <c r="F135" i="76"/>
  <c r="O135" i="76" s="1"/>
  <c r="O123" i="76"/>
  <c r="F137" i="76"/>
  <c r="O137" i="76" s="1"/>
  <c r="O125" i="76"/>
  <c r="O124" i="76"/>
  <c r="F136" i="76"/>
  <c r="O136" i="76" s="1"/>
  <c r="O122" i="76"/>
  <c r="F134" i="76"/>
  <c r="O134" i="76" s="1"/>
  <c r="E140" i="76"/>
  <c r="N140" i="76" s="1"/>
  <c r="N128" i="76"/>
  <c r="E139" i="76"/>
  <c r="N139" i="76" s="1"/>
  <c r="N127" i="76"/>
  <c r="O130" i="75"/>
  <c r="F142" i="75"/>
  <c r="I142" i="75" s="1"/>
  <c r="F143" i="75"/>
  <c r="I143" i="75" s="1"/>
  <c r="O131" i="75"/>
  <c r="F140" i="75"/>
  <c r="I140" i="75" s="1"/>
  <c r="O128" i="75"/>
  <c r="N111" i="75"/>
  <c r="E123" i="75"/>
  <c r="E132" i="75"/>
  <c r="E131" i="75"/>
  <c r="F136" i="75"/>
  <c r="I136" i="75" s="1"/>
  <c r="O124" i="75"/>
  <c r="F134" i="75"/>
  <c r="I134" i="75" s="1"/>
  <c r="F141" i="75"/>
  <c r="I141" i="75" s="1"/>
  <c r="O129" i="75"/>
  <c r="E133" i="75"/>
  <c r="F135" i="75"/>
  <c r="I135" i="75" s="1"/>
  <c r="O123" i="75"/>
  <c r="N114" i="75"/>
  <c r="E126" i="75"/>
  <c r="F137" i="75"/>
  <c r="I137" i="75" s="1"/>
  <c r="O125" i="75"/>
  <c r="N113" i="75"/>
  <c r="E125" i="75"/>
  <c r="N110" i="75"/>
  <c r="E122" i="75"/>
  <c r="O126" i="75"/>
  <c r="F138" i="75"/>
  <c r="I138" i="75" s="1"/>
  <c r="E129" i="75"/>
  <c r="N115" i="75"/>
  <c r="E127" i="75"/>
  <c r="O133" i="75"/>
  <c r="F145" i="75"/>
  <c r="I145" i="75" s="1"/>
  <c r="E130" i="75"/>
  <c r="F139" i="75"/>
  <c r="I139" i="75" s="1"/>
  <c r="O127" i="75"/>
  <c r="F144" i="75"/>
  <c r="I144" i="75" s="1"/>
  <c r="O132" i="75"/>
  <c r="E128" i="75"/>
  <c r="N112" i="75"/>
  <c r="E124" i="75"/>
  <c r="AC12" i="17"/>
  <c r="Q111" i="34"/>
  <c r="M122" i="36"/>
  <c r="L122" i="36"/>
  <c r="E145" i="34"/>
  <c r="L145" i="34" s="1"/>
  <c r="L133" i="34"/>
  <c r="F132" i="34"/>
  <c r="E143" i="34"/>
  <c r="L143" i="34" s="1"/>
  <c r="L131" i="34"/>
  <c r="F133" i="34"/>
  <c r="E142" i="34"/>
  <c r="L142" i="34" s="1"/>
  <c r="L130" i="34"/>
  <c r="F130" i="34"/>
  <c r="E144" i="34"/>
  <c r="L144" i="34" s="1"/>
  <c r="L132" i="34"/>
  <c r="F131" i="34"/>
  <c r="F129" i="34"/>
  <c r="E141" i="34"/>
  <c r="L141" i="34" s="1"/>
  <c r="L129" i="34"/>
  <c r="Q113" i="34"/>
  <c r="E137" i="34"/>
  <c r="L137" i="34" s="1"/>
  <c r="L125" i="34"/>
  <c r="E139" i="34"/>
  <c r="L139" i="34" s="1"/>
  <c r="L127" i="34"/>
  <c r="R13" i="17"/>
  <c r="E138" i="34"/>
  <c r="L138" i="34" s="1"/>
  <c r="L126" i="34"/>
  <c r="M122" i="34"/>
  <c r="F134" i="34"/>
  <c r="M134" i="34" s="1"/>
  <c r="F136" i="34"/>
  <c r="M136" i="34" s="1"/>
  <c r="M124" i="34"/>
  <c r="E140" i="34"/>
  <c r="L140" i="34" s="1"/>
  <c r="L128" i="34"/>
  <c r="E135" i="34"/>
  <c r="L135" i="34" s="1"/>
  <c r="L123" i="34"/>
  <c r="F127" i="34"/>
  <c r="M115" i="34"/>
  <c r="Q115" i="34" s="1"/>
  <c r="Q112" i="34"/>
  <c r="M123" i="34"/>
  <c r="F135" i="34"/>
  <c r="M135" i="34" s="1"/>
  <c r="M114" i="34"/>
  <c r="Q114" i="34" s="1"/>
  <c r="F126" i="34"/>
  <c r="F137" i="34"/>
  <c r="M137" i="34" s="1"/>
  <c r="M125" i="34"/>
  <c r="Q110" i="34"/>
  <c r="E136" i="34"/>
  <c r="L136" i="34" s="1"/>
  <c r="L124" i="34"/>
  <c r="F128" i="34"/>
  <c r="E134" i="34"/>
  <c r="L134" i="34" s="1"/>
  <c r="L122" i="34"/>
  <c r="G13" i="17"/>
  <c r="L112" i="38"/>
  <c r="O112" i="38" s="1"/>
  <c r="F124" i="38"/>
  <c r="G124" i="38" s="1"/>
  <c r="M124" i="38" s="1"/>
  <c r="E137" i="38"/>
  <c r="K125" i="38"/>
  <c r="E135" i="38"/>
  <c r="K123" i="38"/>
  <c r="L113" i="38"/>
  <c r="O113" i="38" s="1"/>
  <c r="F125" i="38"/>
  <c r="G125" i="38" s="1"/>
  <c r="M125" i="38" s="1"/>
  <c r="K122" i="38"/>
  <c r="E134" i="38"/>
  <c r="K124" i="38"/>
  <c r="E136" i="38"/>
  <c r="L111" i="38"/>
  <c r="O111" i="38" s="1"/>
  <c r="F123" i="38"/>
  <c r="G123" i="38" s="1"/>
  <c r="M123" i="38" s="1"/>
  <c r="L110" i="38"/>
  <c r="O110" i="38" s="1"/>
  <c r="F122" i="38"/>
  <c r="G122" i="38" s="1"/>
  <c r="M122" i="38" s="1"/>
  <c r="O137" i="77" l="1"/>
  <c r="O136" i="77"/>
  <c r="O140" i="77"/>
  <c r="O134" i="77"/>
  <c r="O135" i="77"/>
  <c r="O139" i="77"/>
  <c r="O138" i="77"/>
  <c r="N135" i="77"/>
  <c r="N139" i="77"/>
  <c r="N138" i="77"/>
  <c r="N140" i="77"/>
  <c r="N136" i="77"/>
  <c r="N137" i="77"/>
  <c r="N134" i="77"/>
  <c r="S127" i="77"/>
  <c r="S124" i="77"/>
  <c r="S126" i="77"/>
  <c r="S123" i="77"/>
  <c r="S122" i="77"/>
  <c r="S128" i="77"/>
  <c r="S125" i="77"/>
  <c r="Q122" i="36"/>
  <c r="O144" i="75"/>
  <c r="P144" i="75"/>
  <c r="O139" i="75"/>
  <c r="P139" i="75"/>
  <c r="O145" i="75"/>
  <c r="P145" i="75"/>
  <c r="O138" i="75"/>
  <c r="P138" i="75"/>
  <c r="O137" i="75"/>
  <c r="P137" i="75"/>
  <c r="O135" i="75"/>
  <c r="P135" i="75"/>
  <c r="O141" i="75"/>
  <c r="P141" i="75"/>
  <c r="O134" i="75"/>
  <c r="P134" i="75"/>
  <c r="O136" i="75"/>
  <c r="P136" i="75"/>
  <c r="O140" i="75"/>
  <c r="P140" i="75"/>
  <c r="O143" i="75"/>
  <c r="P143" i="75"/>
  <c r="O142" i="75"/>
  <c r="P142" i="75"/>
  <c r="N122" i="75"/>
  <c r="R122" i="75" s="1"/>
  <c r="K136" i="38"/>
  <c r="K134" i="38"/>
  <c r="K135" i="38"/>
  <c r="K137" i="38"/>
  <c r="T4" i="25"/>
  <c r="H23" i="57"/>
  <c r="J23" i="57" s="1"/>
  <c r="H27" i="74" s="1"/>
  <c r="R14" i="17"/>
  <c r="G14" i="17"/>
  <c r="S122" i="76"/>
  <c r="S138" i="76"/>
  <c r="S126" i="76"/>
  <c r="S134" i="76"/>
  <c r="S128" i="76"/>
  <c r="S141" i="76"/>
  <c r="S135" i="76"/>
  <c r="S125" i="76"/>
  <c r="S136" i="76"/>
  <c r="S129" i="76"/>
  <c r="S140" i="76"/>
  <c r="S137" i="76"/>
  <c r="S139" i="76"/>
  <c r="S127" i="76"/>
  <c r="S124" i="76"/>
  <c r="S123" i="76"/>
  <c r="N127" i="75"/>
  <c r="R127" i="75" s="1"/>
  <c r="E139" i="75"/>
  <c r="N139" i="75" s="1"/>
  <c r="E135" i="75"/>
  <c r="N135" i="75" s="1"/>
  <c r="N123" i="75"/>
  <c r="R123" i="75" s="1"/>
  <c r="E140" i="75"/>
  <c r="N140" i="75" s="1"/>
  <c r="N128" i="75"/>
  <c r="R128" i="75" s="1"/>
  <c r="E141" i="75"/>
  <c r="N141" i="75" s="1"/>
  <c r="N129" i="75"/>
  <c r="R129" i="75" s="1"/>
  <c r="N131" i="75"/>
  <c r="R131" i="75" s="1"/>
  <c r="E143" i="75"/>
  <c r="N143" i="75" s="1"/>
  <c r="N126" i="75"/>
  <c r="R126" i="75" s="1"/>
  <c r="E138" i="75"/>
  <c r="N138" i="75" s="1"/>
  <c r="N133" i="75"/>
  <c r="R133" i="75" s="1"/>
  <c r="E145" i="75"/>
  <c r="N145" i="75" s="1"/>
  <c r="E134" i="75"/>
  <c r="N134" i="75" s="1"/>
  <c r="E137" i="75"/>
  <c r="N137" i="75" s="1"/>
  <c r="N125" i="75"/>
  <c r="R125" i="75" s="1"/>
  <c r="E142" i="75"/>
  <c r="N142" i="75" s="1"/>
  <c r="N130" i="75"/>
  <c r="R130" i="75" s="1"/>
  <c r="N132" i="75"/>
  <c r="R132" i="75" s="1"/>
  <c r="E144" i="75"/>
  <c r="N144" i="75" s="1"/>
  <c r="N124" i="75"/>
  <c r="R124" i="75" s="1"/>
  <c r="E136" i="75"/>
  <c r="N136" i="75" s="1"/>
  <c r="Q124" i="34"/>
  <c r="Q136" i="34"/>
  <c r="AC13" i="17"/>
  <c r="L134" i="36"/>
  <c r="M134" i="36"/>
  <c r="F141" i="34"/>
  <c r="M141" i="34" s="1"/>
  <c r="Q141" i="34" s="1"/>
  <c r="M129" i="34"/>
  <c r="Q129" i="34" s="1"/>
  <c r="Q135" i="34"/>
  <c r="M132" i="34"/>
  <c r="Q132" i="34" s="1"/>
  <c r="F144" i="34"/>
  <c r="M144" i="34" s="1"/>
  <c r="Q144" i="34" s="1"/>
  <c r="M131" i="34"/>
  <c r="Q131" i="34" s="1"/>
  <c r="F143" i="34"/>
  <c r="M143" i="34" s="1"/>
  <c r="Q143" i="34" s="1"/>
  <c r="M130" i="34"/>
  <c r="Q130" i="34" s="1"/>
  <c r="F142" i="34"/>
  <c r="M142" i="34" s="1"/>
  <c r="Q142" i="34" s="1"/>
  <c r="M133" i="34"/>
  <c r="Q133" i="34" s="1"/>
  <c r="F145" i="34"/>
  <c r="M145" i="34" s="1"/>
  <c r="Q145" i="34" s="1"/>
  <c r="Q123" i="34"/>
  <c r="F138" i="34"/>
  <c r="M138" i="34" s="1"/>
  <c r="Q138" i="34" s="1"/>
  <c r="M126" i="34"/>
  <c r="Q126" i="34" s="1"/>
  <c r="F140" i="34"/>
  <c r="M140" i="34" s="1"/>
  <c r="Q140" i="34" s="1"/>
  <c r="M128" i="34"/>
  <c r="Q128" i="34" s="1"/>
  <c r="Q122" i="34"/>
  <c r="Q125" i="34"/>
  <c r="Q134" i="34"/>
  <c r="F139" i="34"/>
  <c r="M139" i="34" s="1"/>
  <c r="Q139" i="34" s="1"/>
  <c r="M127" i="34"/>
  <c r="Q127" i="34" s="1"/>
  <c r="Q137" i="34"/>
  <c r="F137" i="38"/>
  <c r="L125" i="38"/>
  <c r="O125" i="38" s="1"/>
  <c r="F134" i="38"/>
  <c r="L122" i="38"/>
  <c r="O122" i="38" s="1"/>
  <c r="L124" i="38"/>
  <c r="O124" i="38" s="1"/>
  <c r="F136" i="38"/>
  <c r="F135" i="38"/>
  <c r="L123" i="38"/>
  <c r="O123" i="38" s="1"/>
  <c r="S135" i="77" l="1"/>
  <c r="S138" i="77"/>
  <c r="S139" i="77"/>
  <c r="S134" i="77"/>
  <c r="S137" i="77"/>
  <c r="S140" i="77"/>
  <c r="S136" i="77"/>
  <c r="R144" i="75"/>
  <c r="R136" i="75"/>
  <c r="Q134" i="36"/>
  <c r="R140" i="75"/>
  <c r="R145" i="75"/>
  <c r="R143" i="75"/>
  <c r="R138" i="75"/>
  <c r="R141" i="75"/>
  <c r="R137" i="75"/>
  <c r="R142" i="75"/>
  <c r="R135" i="75"/>
  <c r="R139" i="75"/>
  <c r="R134" i="75"/>
  <c r="L135" i="38"/>
  <c r="G135" i="38"/>
  <c r="M135" i="38" s="1"/>
  <c r="L136" i="38"/>
  <c r="G136" i="38"/>
  <c r="M136" i="38" s="1"/>
  <c r="L134" i="38"/>
  <c r="G134" i="38"/>
  <c r="M134" i="38" s="1"/>
  <c r="L137" i="38"/>
  <c r="G137" i="38"/>
  <c r="M137" i="38" s="1"/>
  <c r="AC14" i="17"/>
  <c r="AC57" i="17"/>
  <c r="R58" i="17"/>
  <c r="R57" i="17"/>
  <c r="G57" i="17"/>
  <c r="R15" i="17"/>
  <c r="R16" i="17"/>
  <c r="G15" i="17"/>
  <c r="AC58" i="17" l="1"/>
  <c r="G58" i="17"/>
  <c r="O137" i="38"/>
  <c r="O136" i="38"/>
  <c r="O134" i="38"/>
  <c r="O135" i="38"/>
  <c r="U4" i="25"/>
  <c r="V4" i="25"/>
  <c r="AC16" i="17"/>
  <c r="AC15" i="17"/>
  <c r="G16" i="17" l="1"/>
  <c r="M18" i="69"/>
  <c r="M21" i="69" s="1"/>
  <c r="G143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N22" i="69" l="1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32" i="69"/>
  <c r="G141" i="69" s="1"/>
  <c r="M15" i="69"/>
  <c r="M20" i="69"/>
  <c r="V17" i="69"/>
  <c r="V20" i="69" s="1"/>
  <c r="G142" i="69"/>
  <c r="G131" i="69"/>
  <c r="G137" i="69" s="1"/>
  <c r="M26" i="69"/>
  <c r="G147" i="69" s="1"/>
  <c r="G133" i="69"/>
  <c r="G145" i="69" s="1"/>
  <c r="R12" i="69"/>
  <c r="L131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8" i="69"/>
  <c r="M16" i="69"/>
  <c r="U17" i="69"/>
  <c r="U20" i="69" s="1"/>
  <c r="N12" i="69"/>
  <c r="N13" i="69" s="1"/>
  <c r="O12" i="69"/>
  <c r="N32" i="69"/>
  <c r="G146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3" i="69" s="1"/>
  <c r="H145" i="69" s="1"/>
  <c r="R17" i="69"/>
  <c r="P22" i="69"/>
  <c r="V12" i="69"/>
  <c r="S22" i="69"/>
  <c r="S25" i="69" s="1"/>
  <c r="U12" i="69"/>
  <c r="S12" i="69"/>
  <c r="U22" i="69"/>
  <c r="U25" i="69" s="1"/>
  <c r="N18" i="69"/>
  <c r="M93" i="69" l="1"/>
  <c r="M100" i="69" s="1"/>
  <c r="M94" i="69"/>
  <c r="M101" i="69" s="1"/>
  <c r="G139" i="69"/>
  <c r="M90" i="69"/>
  <c r="M91" i="69"/>
  <c r="M92" i="69"/>
  <c r="H138" i="69"/>
  <c r="Z12" i="69"/>
  <c r="Z22" i="69"/>
  <c r="Z25" i="69" s="1"/>
  <c r="X17" i="69"/>
  <c r="X20" i="69" s="1"/>
  <c r="V46" i="69"/>
  <c r="V68" i="69" s="1"/>
  <c r="Z46" i="69"/>
  <c r="Z68" i="69" s="1"/>
  <c r="I132" i="69"/>
  <c r="I141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3" i="69"/>
  <c r="I145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30" i="69"/>
  <c r="O18" i="69"/>
  <c r="N21" i="69"/>
  <c r="K131" i="69"/>
  <c r="Q9" i="69"/>
  <c r="Q31" i="69" s="1"/>
  <c r="K129" i="69" s="1"/>
  <c r="Q15" i="69"/>
  <c r="U9" i="69"/>
  <c r="U31" i="69" s="1"/>
  <c r="U15" i="69"/>
  <c r="O50" i="69"/>
  <c r="N53" i="69"/>
  <c r="O13" i="69"/>
  <c r="N16" i="69"/>
  <c r="Q25" i="69"/>
  <c r="K133" i="69"/>
  <c r="Y52" i="69"/>
  <c r="Y46" i="69"/>
  <c r="Y68" i="69" s="1"/>
  <c r="O15" i="69"/>
  <c r="I131" i="69"/>
  <c r="O9" i="69"/>
  <c r="O31" i="69" s="1"/>
  <c r="V9" i="69"/>
  <c r="V31" i="69" s="1"/>
  <c r="V15" i="69"/>
  <c r="T52" i="69"/>
  <c r="T46" i="69"/>
  <c r="T68" i="69" s="1"/>
  <c r="L132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3" i="69"/>
  <c r="R25" i="69"/>
  <c r="P9" i="69"/>
  <c r="P31" i="69" s="1"/>
  <c r="P15" i="69"/>
  <c r="J131" i="69"/>
  <c r="P20" i="69"/>
  <c r="J132" i="69"/>
  <c r="N62" i="69"/>
  <c r="N60" i="69"/>
  <c r="U46" i="69"/>
  <c r="U68" i="69" s="1"/>
  <c r="U52" i="69"/>
  <c r="N55" i="69"/>
  <c r="N57" i="69"/>
  <c r="H132" i="69"/>
  <c r="H141" i="69" s="1"/>
  <c r="N20" i="69"/>
  <c r="Q20" i="69"/>
  <c r="K132" i="69"/>
  <c r="Z15" i="69"/>
  <c r="S9" i="69"/>
  <c r="S31" i="69" s="1"/>
  <c r="S15" i="69"/>
  <c r="N15" i="69"/>
  <c r="N9" i="69"/>
  <c r="H131" i="69"/>
  <c r="O52" i="69"/>
  <c r="O46" i="69"/>
  <c r="O68" i="69" s="1"/>
  <c r="J133" i="69"/>
  <c r="P25" i="69"/>
  <c r="X46" i="69"/>
  <c r="X68" i="69" s="1"/>
  <c r="Y17" i="69"/>
  <c r="Y20" i="69" s="1"/>
  <c r="Y22" i="69"/>
  <c r="Y25" i="69" s="1"/>
  <c r="M99" i="69" l="1"/>
  <c r="M102" i="69" s="1"/>
  <c r="M95" i="69"/>
  <c r="H139" i="69"/>
  <c r="H140" i="69" s="1"/>
  <c r="L130" i="69"/>
  <c r="J129" i="69"/>
  <c r="P23" i="69"/>
  <c r="P26" i="69" s="1"/>
  <c r="L129" i="69"/>
  <c r="Z9" i="69"/>
  <c r="Z31" i="69" s="1"/>
  <c r="N68" i="69"/>
  <c r="AA9" i="69"/>
  <c r="AA31" i="69" s="1"/>
  <c r="P13" i="69"/>
  <c r="I138" i="69"/>
  <c r="O16" i="69"/>
  <c r="O55" i="69"/>
  <c r="N58" i="69"/>
  <c r="H146" i="69"/>
  <c r="I129" i="69"/>
  <c r="I130" i="69"/>
  <c r="I137" i="69"/>
  <c r="H137" i="69"/>
  <c r="H130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7" i="69" s="1"/>
  <c r="O60" i="69"/>
  <c r="K130" i="69"/>
  <c r="J130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42" i="69"/>
  <c r="I157" i="69" l="1"/>
  <c r="I155" i="69" s="1"/>
  <c r="N94" i="69"/>
  <c r="N101" i="69" s="1"/>
  <c r="H20" i="71" s="1"/>
  <c r="N93" i="69"/>
  <c r="N100" i="69" s="1"/>
  <c r="H19" i="71" s="1"/>
  <c r="H148" i="69"/>
  <c r="K157" i="69" s="1"/>
  <c r="K154" i="69" s="1"/>
  <c r="H129" i="69"/>
  <c r="N90" i="69"/>
  <c r="N92" i="69"/>
  <c r="N99" i="69" s="1"/>
  <c r="I143" i="69"/>
  <c r="N91" i="69"/>
  <c r="O90" i="69"/>
  <c r="O91" i="69"/>
  <c r="O92" i="69"/>
  <c r="H143" i="69"/>
  <c r="H144" i="69" s="1"/>
  <c r="J157" i="69" s="1"/>
  <c r="J156" i="69" s="1"/>
  <c r="Q23" i="69"/>
  <c r="R23" i="69" s="1"/>
  <c r="I139" i="69"/>
  <c r="I140" i="69" s="1"/>
  <c r="L157" i="69" s="1"/>
  <c r="P60" i="69"/>
  <c r="O63" i="69"/>
  <c r="I147" i="69" s="1"/>
  <c r="P55" i="69"/>
  <c r="O58" i="69"/>
  <c r="I148" i="69" s="1"/>
  <c r="N157" i="69" s="1"/>
  <c r="I146" i="69"/>
  <c r="P53" i="69"/>
  <c r="Q50" i="69"/>
  <c r="I142" i="69"/>
  <c r="Q18" i="69"/>
  <c r="P21" i="69"/>
  <c r="K153" i="69"/>
  <c r="X10" i="69"/>
  <c r="Y10" i="69" s="1"/>
  <c r="Z10" i="69" s="1"/>
  <c r="AA10" i="69" s="1"/>
  <c r="Q13" i="69"/>
  <c r="P16" i="69"/>
  <c r="Q20" i="24" l="1"/>
  <c r="Q28" i="57"/>
  <c r="Z20" i="24"/>
  <c r="Z28" i="57"/>
  <c r="I154" i="69"/>
  <c r="I153" i="69"/>
  <c r="F162" i="69" s="1"/>
  <c r="I152" i="69"/>
  <c r="K152" i="69"/>
  <c r="I156" i="69"/>
  <c r="N155" i="69"/>
  <c r="N156" i="69"/>
  <c r="L155" i="69"/>
  <c r="L156" i="69"/>
  <c r="K155" i="69"/>
  <c r="K156" i="69"/>
  <c r="J152" i="69"/>
  <c r="F161" i="69" s="1"/>
  <c r="J155" i="69"/>
  <c r="O99" i="69"/>
  <c r="J153" i="69"/>
  <c r="N95" i="69"/>
  <c r="O93" i="69"/>
  <c r="O100" i="69" s="1"/>
  <c r="I19" i="71" s="1"/>
  <c r="J154" i="69"/>
  <c r="F163" i="69" s="1"/>
  <c r="O94" i="69"/>
  <c r="O101" i="69" s="1"/>
  <c r="I20" i="71" s="1"/>
  <c r="Q26" i="69"/>
  <c r="I144" i="69"/>
  <c r="M157" i="69" s="1"/>
  <c r="M156" i="69" s="1"/>
  <c r="P63" i="69"/>
  <c r="Q60" i="69"/>
  <c r="R50" i="69"/>
  <c r="Q53" i="69"/>
  <c r="Q21" i="69"/>
  <c r="R18" i="69"/>
  <c r="R13" i="69"/>
  <c r="Q16" i="69"/>
  <c r="N152" i="69"/>
  <c r="N154" i="69"/>
  <c r="N153" i="69"/>
  <c r="L153" i="69"/>
  <c r="L152" i="69"/>
  <c r="L154" i="69"/>
  <c r="S23" i="69"/>
  <c r="R26" i="69"/>
  <c r="Q55" i="69"/>
  <c r="P58" i="69"/>
  <c r="H9" i="71" l="1"/>
  <c r="H18" i="71"/>
  <c r="H21" i="71" s="1"/>
  <c r="F164" i="69"/>
  <c r="D7" i="71" s="1"/>
  <c r="D19" i="71" s="1"/>
  <c r="Q21" i="24"/>
  <c r="Q29" i="57"/>
  <c r="Z21" i="24"/>
  <c r="Z29" i="57"/>
  <c r="G165" i="69"/>
  <c r="F165" i="69"/>
  <c r="D8" i="71" s="1"/>
  <c r="E8" i="71"/>
  <c r="E20" i="71" s="1"/>
  <c r="O102" i="69"/>
  <c r="F174" i="69"/>
  <c r="F166" i="69"/>
  <c r="M153" i="69"/>
  <c r="G162" i="69" s="1"/>
  <c r="M155" i="69"/>
  <c r="G164" i="69" s="1"/>
  <c r="E7" i="71" s="1"/>
  <c r="E19" i="71" s="1"/>
  <c r="N102" i="69"/>
  <c r="M152" i="69"/>
  <c r="G161" i="69" s="1"/>
  <c r="M154" i="69"/>
  <c r="G163" i="69" s="1"/>
  <c r="E6" i="71" s="1"/>
  <c r="O95" i="69"/>
  <c r="D6" i="71"/>
  <c r="D18" i="71" s="1"/>
  <c r="Q58" i="69"/>
  <c r="R55" i="69"/>
  <c r="S50" i="69"/>
  <c r="R53" i="69"/>
  <c r="R21" i="69"/>
  <c r="S18" i="69"/>
  <c r="D5" i="71"/>
  <c r="D17" i="71" s="1"/>
  <c r="Q63" i="69"/>
  <c r="R60" i="69"/>
  <c r="T23" i="69"/>
  <c r="S26" i="69"/>
  <c r="S13" i="69"/>
  <c r="R16" i="69"/>
  <c r="G20" i="24" l="1"/>
  <c r="I9" i="71"/>
  <c r="I18" i="71"/>
  <c r="I21" i="71" s="1"/>
  <c r="E18" i="71"/>
  <c r="AF58" i="17" s="1"/>
  <c r="D20" i="71"/>
  <c r="BD15" i="17" s="1"/>
  <c r="BD57" i="17" s="1"/>
  <c r="AF15" i="17"/>
  <c r="AS15" i="17"/>
  <c r="AS57" i="17" s="1"/>
  <c r="G18" i="25"/>
  <c r="AS16" i="17"/>
  <c r="AS58" i="17" s="1"/>
  <c r="G19" i="25"/>
  <c r="BD16" i="17"/>
  <c r="BD58" i="17" s="1"/>
  <c r="G29" i="57"/>
  <c r="E4" i="71"/>
  <c r="G166" i="69"/>
  <c r="G28" i="57"/>
  <c r="E5" i="71"/>
  <c r="E17" i="71" s="1"/>
  <c r="S16" i="69"/>
  <c r="T13" i="69"/>
  <c r="S60" i="69"/>
  <c r="R63" i="69"/>
  <c r="S55" i="69"/>
  <c r="R58" i="69"/>
  <c r="T26" i="69"/>
  <c r="U23" i="69"/>
  <c r="U57" i="17"/>
  <c r="U15" i="17"/>
  <c r="S53" i="69"/>
  <c r="T50" i="69"/>
  <c r="AF57" i="17"/>
  <c r="D4" i="71"/>
  <c r="S21" i="69"/>
  <c r="T18" i="69"/>
  <c r="AF16" i="17" l="1"/>
  <c r="E9" i="71"/>
  <c r="E16" i="71"/>
  <c r="E21" i="71" s="1"/>
  <c r="D9" i="71"/>
  <c r="D16" i="71"/>
  <c r="D21" i="71" s="1"/>
  <c r="G17" i="25"/>
  <c r="G21" i="24"/>
  <c r="G174" i="69"/>
  <c r="S58" i="69"/>
  <c r="T55" i="69"/>
  <c r="V23" i="69"/>
  <c r="U26" i="69"/>
  <c r="U18" i="69"/>
  <c r="T21" i="69"/>
  <c r="T16" i="69"/>
  <c r="U13" i="69"/>
  <c r="U16" i="17"/>
  <c r="U58" i="17"/>
  <c r="G16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J58" i="17"/>
  <c r="G15" i="25"/>
  <c r="J16" i="17"/>
  <c r="J57" i="17"/>
  <c r="J15" i="17"/>
  <c r="U60" i="69"/>
  <c r="T63" i="69"/>
  <c r="W23" i="69"/>
  <c r="V26" i="69"/>
  <c r="G23" i="25" l="1"/>
  <c r="W18" i="69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U66" i="72" l="1"/>
  <c r="S23" i="72" l="1"/>
  <c r="U23" i="72"/>
  <c r="Q23" i="72"/>
  <c r="R23" i="72"/>
  <c r="T23" i="72"/>
  <c r="E66" i="72"/>
  <c r="P23" i="72"/>
  <c r="C66" i="72"/>
  <c r="D66" i="72"/>
  <c r="G66" i="72"/>
  <c r="F66" i="72"/>
  <c r="J66" i="72" l="1"/>
  <c r="Q84" i="72" s="1"/>
  <c r="O84" i="72" l="1"/>
  <c r="R84" i="72"/>
  <c r="S84" i="72"/>
  <c r="P84" i="72"/>
  <c r="U84" i="72" l="1"/>
  <c r="U67" i="72" l="1"/>
  <c r="K4" i="72" l="1"/>
  <c r="K8" i="72"/>
  <c r="U68" i="72"/>
  <c r="U65" i="72"/>
  <c r="U69" i="72"/>
  <c r="P8" i="72" l="1"/>
  <c r="P26" i="72" s="1"/>
  <c r="Q8" i="72"/>
  <c r="Q26" i="72" s="1"/>
  <c r="U8" i="72"/>
  <c r="T8" i="72"/>
  <c r="S8" i="72"/>
  <c r="R8" i="72"/>
  <c r="R26" i="72" s="1"/>
  <c r="T4" i="72"/>
  <c r="S4" i="72"/>
  <c r="S18" i="72" s="1"/>
  <c r="Q4" i="72"/>
  <c r="Q18" i="72" s="1"/>
  <c r="U4" i="72"/>
  <c r="U18" i="72" s="1"/>
  <c r="P4" i="72"/>
  <c r="P18" i="72" s="1"/>
  <c r="R4" i="72"/>
  <c r="R18" i="72" s="1"/>
  <c r="Q24" i="72"/>
  <c r="U24" i="72"/>
  <c r="R24" i="72"/>
  <c r="S24" i="72"/>
  <c r="T24" i="72"/>
  <c r="G67" i="72"/>
  <c r="D67" i="72"/>
  <c r="E67" i="72"/>
  <c r="F67" i="72"/>
  <c r="C67" i="72"/>
  <c r="P24" i="72"/>
  <c r="S26" i="72" l="1"/>
  <c r="U26" i="72"/>
  <c r="T26" i="72"/>
  <c r="T18" i="72"/>
  <c r="U25" i="72"/>
  <c r="S25" i="72"/>
  <c r="R25" i="72"/>
  <c r="T25" i="72"/>
  <c r="Q25" i="72"/>
  <c r="R22" i="72"/>
  <c r="Q22" i="72"/>
  <c r="S22" i="72"/>
  <c r="U22" i="72"/>
  <c r="T22" i="72"/>
  <c r="E69" i="72"/>
  <c r="G68" i="72"/>
  <c r="C68" i="72"/>
  <c r="P25" i="72"/>
  <c r="D68" i="72"/>
  <c r="J67" i="72"/>
  <c r="Q85" i="72" s="1"/>
  <c r="D65" i="72"/>
  <c r="E68" i="72"/>
  <c r="F68" i="72"/>
  <c r="C65" i="72"/>
  <c r="P22" i="72"/>
  <c r="E65" i="72"/>
  <c r="G65" i="72"/>
  <c r="F65" i="72"/>
  <c r="G69" i="72"/>
  <c r="C69" i="72"/>
  <c r="D69" i="72"/>
  <c r="F69" i="72"/>
  <c r="E80" i="72" l="1"/>
  <c r="U36" i="72"/>
  <c r="F80" i="72"/>
  <c r="Q36" i="72"/>
  <c r="S36" i="72"/>
  <c r="R36" i="72"/>
  <c r="O85" i="72"/>
  <c r="S85" i="72"/>
  <c r="P85" i="72"/>
  <c r="R85" i="72"/>
  <c r="J68" i="72"/>
  <c r="Q86" i="72" s="1"/>
  <c r="T36" i="72"/>
  <c r="J65" i="72"/>
  <c r="Q83" i="72" s="1"/>
  <c r="C80" i="72"/>
  <c r="J69" i="72"/>
  <c r="Q87" i="72" s="1"/>
  <c r="P36" i="72"/>
  <c r="G80" i="72"/>
  <c r="D80" i="72"/>
  <c r="J80" i="72" l="1"/>
  <c r="O86" i="72"/>
  <c r="S86" i="72"/>
  <c r="R86" i="72"/>
  <c r="P86" i="72"/>
  <c r="O87" i="72"/>
  <c r="S87" i="72"/>
  <c r="R87" i="72"/>
  <c r="P87" i="72"/>
  <c r="O83" i="72"/>
  <c r="P83" i="72"/>
  <c r="S83" i="72"/>
  <c r="R83" i="72"/>
  <c r="U85" i="72"/>
  <c r="U83" i="72" l="1"/>
  <c r="U87" i="72"/>
  <c r="U86" i="72"/>
  <c r="S6" i="25" l="1"/>
  <c r="S12" i="25" s="1"/>
  <c r="I11" i="25"/>
  <c r="O11" i="24"/>
  <c r="T6" i="25" l="1"/>
  <c r="T12" i="25" s="1"/>
  <c r="J11" i="25"/>
  <c r="O12" i="24"/>
  <c r="U6" i="25" l="1"/>
  <c r="U12" i="25" s="1"/>
  <c r="K11" i="25"/>
  <c r="P12" i="24"/>
  <c r="O13" i="24"/>
  <c r="V6" i="25" l="1"/>
  <c r="V12" i="25" s="1"/>
  <c r="L11" i="25"/>
  <c r="M25" i="24"/>
  <c r="O25" i="24" s="1"/>
  <c r="M24" i="24"/>
  <c r="O24" i="24" s="1"/>
  <c r="O14" i="24"/>
  <c r="P13" i="24"/>
  <c r="P14" i="24" l="1"/>
  <c r="S59" i="67" l="1"/>
  <c r="S60" i="67"/>
  <c r="AL9" i="17"/>
  <c r="EU60" i="4"/>
  <c r="EU59" i="4"/>
  <c r="G6" i="25" l="1"/>
  <c r="G11" i="25" s="1"/>
  <c r="M9" i="57"/>
  <c r="N9" i="57"/>
  <c r="O9" i="57" s="1"/>
  <c r="D59" i="151"/>
  <c r="P59" i="151" s="1"/>
  <c r="Q59" i="151" s="1"/>
  <c r="D59" i="155"/>
  <c r="P59" i="155" s="1"/>
  <c r="D60" i="155"/>
  <c r="P60" i="155" s="1"/>
  <c r="DS60" i="4"/>
  <c r="D60" i="151"/>
  <c r="P60" i="151" s="1"/>
  <c r="Q60" i="151" s="1"/>
  <c r="D60" i="152"/>
  <c r="DS59" i="4"/>
  <c r="D59" i="152"/>
  <c r="N9" i="24"/>
  <c r="AN9" i="17"/>
  <c r="M9" i="24"/>
  <c r="P9" i="57" l="1"/>
  <c r="P21" i="57"/>
  <c r="P25" i="57"/>
  <c r="P18" i="57"/>
  <c r="O18" i="57"/>
  <c r="P20" i="57"/>
  <c r="P24" i="57"/>
  <c r="P10" i="57"/>
  <c r="P22" i="57"/>
  <c r="P28" i="57"/>
  <c r="P29" i="57"/>
  <c r="P26" i="57"/>
  <c r="P11" i="57"/>
  <c r="P23" i="57"/>
  <c r="P19" i="57"/>
  <c r="P27" i="57"/>
  <c r="AP51" i="17"/>
  <c r="AR51" i="17" s="1"/>
  <c r="O9" i="24"/>
  <c r="G28" i="25"/>
  <c r="G32" i="25" s="1"/>
  <c r="O19" i="57" l="1"/>
  <c r="N18" i="57"/>
  <c r="AT51" i="17"/>
  <c r="G6" i="74"/>
  <c r="G11" i="74" s="1"/>
  <c r="P18" i="24"/>
  <c r="P21" i="24"/>
  <c r="P11" i="24"/>
  <c r="P10" i="24"/>
  <c r="P9" i="24"/>
  <c r="O18" i="24"/>
  <c r="P20" i="24"/>
  <c r="P19" i="24"/>
  <c r="R18" i="57" l="1"/>
  <c r="C28" i="74"/>
  <c r="C32" i="74" s="1"/>
  <c r="O20" i="57"/>
  <c r="N19" i="57"/>
  <c r="O19" i="24"/>
  <c r="R19" i="57" l="1"/>
  <c r="D28" i="74"/>
  <c r="D32" i="74" s="1"/>
  <c r="O21" i="57"/>
  <c r="N20" i="57"/>
  <c r="O20" i="24"/>
  <c r="R20" i="57" l="1"/>
  <c r="E28" i="74"/>
  <c r="E32" i="74" s="1"/>
  <c r="O22" i="57"/>
  <c r="N21" i="57"/>
  <c r="O21" i="24"/>
  <c r="O23" i="57" l="1"/>
  <c r="N22" i="57"/>
  <c r="R21" i="57"/>
  <c r="F28" i="74"/>
  <c r="F32" i="74" s="1"/>
  <c r="R22" i="57" l="1"/>
  <c r="G28" i="74"/>
  <c r="G32" i="74" s="1"/>
  <c r="O24" i="57"/>
  <c r="N23" i="57"/>
  <c r="R23" i="57" l="1"/>
  <c r="H28" i="74"/>
  <c r="H32" i="74" s="1"/>
  <c r="O25" i="57"/>
  <c r="O26" i="57" l="1"/>
  <c r="O27" i="57" l="1"/>
  <c r="O28" i="57" l="1"/>
  <c r="O29" i="57" l="1"/>
  <c r="M13" i="148" l="1"/>
  <c r="N13" i="148"/>
  <c r="O13" i="148"/>
  <c r="P13" i="148"/>
  <c r="Q13" i="148"/>
  <c r="U13" i="148"/>
  <c r="M14" i="148"/>
  <c r="N14" i="148"/>
  <c r="O14" i="148"/>
  <c r="P14" i="148"/>
  <c r="Q14" i="148"/>
  <c r="U14" i="148"/>
  <c r="M15" i="148"/>
  <c r="N15" i="148"/>
  <c r="O15" i="148"/>
  <c r="P15" i="148"/>
  <c r="Q15" i="148"/>
  <c r="U15" i="148"/>
  <c r="M16" i="148"/>
  <c r="N16" i="148"/>
  <c r="O16" i="148"/>
  <c r="P16" i="148"/>
  <c r="Q16" i="148"/>
  <c r="U16" i="148"/>
  <c r="M17" i="148"/>
  <c r="N17" i="148"/>
  <c r="O17" i="148"/>
  <c r="P17" i="148"/>
  <c r="Q17" i="148"/>
  <c r="U17" i="148"/>
  <c r="M18" i="148"/>
  <c r="N18" i="148"/>
  <c r="O18" i="148"/>
  <c r="P18" i="148"/>
  <c r="Q18" i="148"/>
  <c r="U18" i="148"/>
  <c r="M27" i="148"/>
  <c r="N27" i="148"/>
  <c r="O27" i="148"/>
  <c r="P27" i="148"/>
  <c r="Q27" i="148"/>
  <c r="U27" i="148"/>
  <c r="M28" i="148"/>
  <c r="N28" i="148"/>
  <c r="O28" i="148"/>
  <c r="P28" i="148"/>
  <c r="Q28" i="148"/>
  <c r="U28" i="148"/>
  <c r="M29" i="148"/>
  <c r="N29" i="148"/>
  <c r="O29" i="148"/>
  <c r="P29" i="148"/>
  <c r="Q29" i="148"/>
  <c r="U29" i="148"/>
  <c r="M43" i="148"/>
  <c r="N43" i="148"/>
  <c r="O43" i="148"/>
  <c r="P43" i="148"/>
  <c r="Q43" i="148"/>
  <c r="M44" i="148"/>
  <c r="N44" i="148"/>
  <c r="O44" i="148"/>
  <c r="P44" i="148"/>
  <c r="Q44" i="148"/>
  <c r="M45" i="148"/>
  <c r="N45" i="148"/>
  <c r="O45" i="148"/>
  <c r="P45" i="148"/>
  <c r="Q45" i="148"/>
  <c r="M46" i="148"/>
  <c r="N46" i="148"/>
  <c r="O46" i="148"/>
  <c r="P46" i="148"/>
  <c r="Q46" i="148"/>
  <c r="C68" i="148"/>
  <c r="D68" i="148"/>
  <c r="E68" i="148"/>
  <c r="F68" i="148"/>
  <c r="G68" i="148"/>
  <c r="K68" i="148"/>
  <c r="C69" i="148"/>
  <c r="D69" i="148"/>
  <c r="E69" i="148"/>
  <c r="F69" i="148"/>
  <c r="G69" i="148"/>
  <c r="K69" i="148"/>
  <c r="C70" i="148"/>
  <c r="D70" i="148"/>
  <c r="E70" i="148"/>
  <c r="F70" i="148"/>
  <c r="G70" i="148"/>
  <c r="K70" i="148"/>
  <c r="C71" i="148"/>
  <c r="D71" i="148"/>
  <c r="E71" i="148"/>
  <c r="F71" i="148"/>
  <c r="G71" i="148"/>
  <c r="K71" i="148"/>
  <c r="C72" i="148"/>
  <c r="D72" i="148"/>
  <c r="E72" i="148"/>
  <c r="F72" i="148"/>
  <c r="G72" i="148"/>
  <c r="K72" i="148"/>
  <c r="C73" i="148"/>
  <c r="D73" i="148"/>
  <c r="E73" i="148"/>
  <c r="F73" i="148"/>
  <c r="G73" i="148"/>
  <c r="K73" i="148"/>
  <c r="C75" i="148"/>
  <c r="D75" i="148"/>
  <c r="E75" i="148"/>
  <c r="F75" i="148"/>
  <c r="G75" i="148"/>
  <c r="K75" i="148"/>
  <c r="C76" i="148"/>
  <c r="D76" i="148"/>
  <c r="E76" i="148"/>
  <c r="F76" i="148"/>
  <c r="G76" i="148"/>
  <c r="K76" i="148"/>
  <c r="C77" i="148"/>
  <c r="D77" i="148"/>
  <c r="E77" i="148"/>
  <c r="F77" i="148"/>
  <c r="G77" i="148"/>
  <c r="K77" i="148"/>
  <c r="C78" i="148"/>
  <c r="D78" i="148"/>
  <c r="E78" i="148"/>
  <c r="F78" i="148"/>
  <c r="G78" i="148"/>
  <c r="K78" i="148"/>
  <c r="C79" i="148"/>
  <c r="D79" i="148"/>
  <c r="E79" i="148"/>
  <c r="F79" i="148"/>
  <c r="G79" i="148"/>
  <c r="K79" i="148"/>
  <c r="C81" i="148"/>
  <c r="D81" i="148"/>
  <c r="E81" i="148"/>
  <c r="F81" i="148"/>
  <c r="G81" i="148"/>
  <c r="K81" i="148"/>
  <c r="C82" i="148"/>
  <c r="D82" i="148"/>
  <c r="E82" i="148"/>
  <c r="F82" i="148"/>
  <c r="G82" i="148"/>
  <c r="K82" i="148"/>
  <c r="C83" i="148"/>
  <c r="D83" i="148"/>
  <c r="E83" i="148"/>
  <c r="F83" i="148"/>
  <c r="G83" i="148"/>
  <c r="K83" i="148"/>
  <c r="C84" i="148"/>
  <c r="D84" i="148"/>
  <c r="E84" i="148"/>
  <c r="F84" i="148"/>
  <c r="G84" i="148"/>
  <c r="K84" i="148"/>
  <c r="C86" i="148"/>
  <c r="D86" i="148"/>
  <c r="E86" i="148"/>
  <c r="F86" i="148"/>
  <c r="G86" i="148"/>
  <c r="K86" i="148"/>
  <c r="C87" i="148"/>
  <c r="D87" i="148"/>
  <c r="E87" i="148"/>
  <c r="F87" i="148"/>
  <c r="G87" i="148"/>
  <c r="K87" i="148"/>
  <c r="C88" i="148"/>
  <c r="D88" i="148"/>
  <c r="E88" i="148"/>
  <c r="F88" i="148"/>
  <c r="G88" i="148"/>
  <c r="K88" i="148"/>
  <c r="C90" i="148"/>
  <c r="D90" i="148"/>
  <c r="E90" i="148"/>
  <c r="F90" i="148"/>
  <c r="G90" i="148"/>
  <c r="K90" i="148"/>
  <c r="C91" i="148"/>
  <c r="D91" i="148"/>
  <c r="E91" i="148"/>
  <c r="F91" i="148"/>
  <c r="G91" i="148"/>
  <c r="K91" i="148"/>
  <c r="C93" i="148"/>
  <c r="D93" i="148"/>
  <c r="E93" i="148"/>
  <c r="F93" i="148"/>
  <c r="G93" i="148"/>
  <c r="K93" i="148"/>
  <c r="C7" i="73"/>
  <c r="E7" i="73"/>
  <c r="F7" i="73"/>
  <c r="H7" i="73"/>
  <c r="I7" i="73"/>
  <c r="K7" i="73"/>
  <c r="M7" i="73"/>
  <c r="N7" i="73"/>
  <c r="O7" i="73"/>
  <c r="C8" i="73"/>
  <c r="E8" i="73"/>
  <c r="F8" i="73"/>
  <c r="H8" i="73"/>
  <c r="I8" i="73"/>
  <c r="K8" i="73"/>
  <c r="M8" i="73"/>
  <c r="N8" i="73"/>
  <c r="O8" i="73"/>
  <c r="C9" i="73"/>
  <c r="E9" i="73"/>
  <c r="F9" i="73"/>
  <c r="H9" i="73"/>
  <c r="I9" i="73"/>
  <c r="K9" i="73"/>
  <c r="M9" i="73"/>
  <c r="N9" i="73"/>
  <c r="O9" i="73"/>
  <c r="C10" i="73"/>
  <c r="E10" i="73"/>
  <c r="F10" i="73"/>
  <c r="H10" i="73"/>
  <c r="I10" i="73"/>
  <c r="K10" i="73"/>
  <c r="M10" i="73"/>
  <c r="N10" i="73"/>
  <c r="O10" i="73"/>
  <c r="C11" i="73"/>
  <c r="E11" i="73"/>
  <c r="F11" i="73"/>
  <c r="H11" i="73"/>
  <c r="I11" i="73"/>
  <c r="K11" i="73"/>
  <c r="M11" i="73"/>
  <c r="N11" i="73"/>
  <c r="O11" i="73"/>
  <c r="C15" i="73"/>
  <c r="E15" i="73"/>
  <c r="F15" i="73"/>
  <c r="H15" i="73"/>
  <c r="I15" i="73"/>
  <c r="K15" i="73"/>
  <c r="C23" i="73"/>
  <c r="D23" i="73"/>
  <c r="E23" i="73"/>
  <c r="F23" i="73"/>
  <c r="G23" i="73"/>
  <c r="H23" i="73"/>
  <c r="I23" i="73"/>
  <c r="J23" i="73"/>
  <c r="K23" i="73"/>
  <c r="L23" i="73"/>
  <c r="N23" i="73"/>
  <c r="O23" i="73"/>
  <c r="C24" i="73"/>
  <c r="D24" i="73"/>
  <c r="E24" i="73"/>
  <c r="F24" i="73"/>
  <c r="G24" i="73"/>
  <c r="H24" i="73"/>
  <c r="I24" i="73"/>
  <c r="J24" i="73"/>
  <c r="K24" i="73"/>
  <c r="L24" i="73"/>
  <c r="N24" i="73"/>
  <c r="O24" i="73"/>
  <c r="C25" i="73"/>
  <c r="D25" i="73"/>
  <c r="E25" i="73"/>
  <c r="F25" i="73"/>
  <c r="G25" i="73"/>
  <c r="H25" i="73"/>
  <c r="I25" i="73"/>
  <c r="J25" i="73"/>
  <c r="K25" i="73"/>
  <c r="L25" i="73"/>
  <c r="N25" i="73"/>
  <c r="O25" i="73"/>
  <c r="C28" i="73"/>
  <c r="D28" i="73"/>
  <c r="E28" i="73"/>
  <c r="F28" i="73"/>
  <c r="G28" i="73"/>
  <c r="H28" i="73"/>
  <c r="I28" i="73"/>
  <c r="J28" i="73"/>
  <c r="K28" i="73"/>
  <c r="L28" i="73"/>
  <c r="P38" i="72"/>
  <c r="Q38" i="72"/>
  <c r="R38" i="72"/>
  <c r="S38" i="72"/>
  <c r="T38" i="72"/>
  <c r="U38" i="72"/>
  <c r="P39" i="72"/>
  <c r="Q39" i="72"/>
  <c r="R39" i="72"/>
  <c r="S39" i="72"/>
  <c r="T39" i="72"/>
  <c r="U39" i="72"/>
  <c r="P40" i="72"/>
  <c r="Q40" i="72"/>
  <c r="R40" i="72"/>
  <c r="S40" i="72"/>
  <c r="T40" i="72"/>
  <c r="U40" i="72"/>
  <c r="P41" i="72"/>
  <c r="Q41" i="72"/>
  <c r="R41" i="72"/>
  <c r="S41" i="72"/>
  <c r="T41" i="72"/>
  <c r="U41" i="72"/>
  <c r="P42" i="72"/>
  <c r="Q42" i="72"/>
  <c r="R42" i="72"/>
  <c r="S42" i="72"/>
  <c r="T42" i="72"/>
  <c r="U42" i="72"/>
  <c r="P43" i="72"/>
  <c r="Q43" i="72"/>
  <c r="R43" i="72"/>
  <c r="S43" i="72"/>
  <c r="T43" i="72"/>
  <c r="U43" i="72"/>
  <c r="P45" i="72"/>
  <c r="Q45" i="72"/>
  <c r="R45" i="72"/>
  <c r="S45" i="72"/>
  <c r="T45" i="72"/>
  <c r="U45" i="72"/>
  <c r="P46" i="72"/>
  <c r="Q46" i="72"/>
  <c r="R46" i="72"/>
  <c r="S46" i="72"/>
  <c r="T46" i="72"/>
  <c r="U46" i="72"/>
  <c r="P47" i="72"/>
  <c r="Q47" i="72"/>
  <c r="R47" i="72"/>
  <c r="S47" i="72"/>
  <c r="T47" i="72"/>
  <c r="U47" i="72"/>
  <c r="P48" i="72"/>
  <c r="Q48" i="72"/>
  <c r="R48" i="72"/>
  <c r="S48" i="72"/>
  <c r="T48" i="72"/>
  <c r="U48" i="72"/>
  <c r="P49" i="72"/>
  <c r="Q49" i="72"/>
  <c r="R49" i="72"/>
  <c r="S49" i="72"/>
  <c r="T49" i="72"/>
  <c r="U49" i="72"/>
  <c r="P50" i="72"/>
  <c r="Q50" i="72"/>
  <c r="R50" i="72"/>
  <c r="S50" i="72"/>
  <c r="T50" i="72"/>
  <c r="U50" i="72"/>
  <c r="O75" i="72"/>
  <c r="P75" i="72"/>
  <c r="Q75" i="72"/>
  <c r="R75" i="72"/>
  <c r="S75" i="72"/>
  <c r="U75" i="72"/>
  <c r="O93" i="72"/>
  <c r="P93" i="72"/>
  <c r="Q93" i="72"/>
  <c r="R93" i="72"/>
  <c r="S93" i="72"/>
  <c r="U93" i="72"/>
  <c r="O98" i="72"/>
  <c r="P98" i="72"/>
  <c r="Q98" i="72"/>
  <c r="R98" i="72"/>
  <c r="S98" i="72"/>
  <c r="U98" i="72"/>
  <c r="D74" i="155"/>
  <c r="P74" i="155"/>
  <c r="D75" i="155"/>
  <c r="P75" i="155"/>
  <c r="D76" i="155"/>
  <c r="P76" i="155"/>
  <c r="D77" i="155"/>
  <c r="P77" i="155"/>
  <c r="D78" i="155"/>
  <c r="P78" i="155"/>
  <c r="D79" i="155"/>
  <c r="P79" i="155"/>
  <c r="D80" i="155"/>
  <c r="P80" i="155"/>
  <c r="D81" i="155"/>
  <c r="P81" i="155"/>
  <c r="D82" i="155"/>
  <c r="P82" i="155"/>
  <c r="D83" i="155"/>
  <c r="P83" i="155"/>
  <c r="D84" i="155"/>
  <c r="P84" i="155"/>
  <c r="D85" i="155"/>
  <c r="P85" i="155"/>
  <c r="D86" i="155"/>
  <c r="P86" i="155"/>
  <c r="D87" i="155"/>
  <c r="P87" i="155"/>
  <c r="D88" i="155"/>
  <c r="P88" i="155"/>
  <c r="D89" i="155"/>
  <c r="P89" i="155"/>
  <c r="D90" i="155"/>
  <c r="P90" i="155"/>
  <c r="D91" i="155"/>
  <c r="P91" i="155"/>
  <c r="D92" i="155"/>
  <c r="P92" i="155"/>
  <c r="D93" i="155"/>
  <c r="P93" i="155"/>
  <c r="D94" i="155"/>
  <c r="P94" i="155"/>
  <c r="D95" i="155"/>
  <c r="P95" i="155"/>
  <c r="D96" i="155"/>
  <c r="P96" i="155"/>
  <c r="D97" i="155"/>
  <c r="P97" i="155"/>
  <c r="D98" i="155"/>
  <c r="P98" i="155"/>
  <c r="D99" i="155"/>
  <c r="P99" i="155"/>
  <c r="D100" i="155"/>
  <c r="P100" i="155"/>
  <c r="D101" i="155"/>
  <c r="P101" i="155"/>
  <c r="D102" i="155"/>
  <c r="P102" i="155"/>
  <c r="D103" i="155"/>
  <c r="P103" i="155"/>
  <c r="D104" i="155"/>
  <c r="P104" i="155"/>
  <c r="D105" i="155"/>
  <c r="P105" i="155"/>
  <c r="D106" i="155"/>
  <c r="P106" i="155"/>
  <c r="D107" i="155"/>
  <c r="P107" i="155"/>
  <c r="D108" i="155"/>
  <c r="P108" i="155"/>
  <c r="D109" i="155"/>
  <c r="P109" i="155"/>
  <c r="D110" i="155"/>
  <c r="P110" i="155"/>
  <c r="D111" i="155"/>
  <c r="P111" i="155"/>
  <c r="D112" i="155"/>
  <c r="P112" i="155"/>
  <c r="D113" i="155"/>
  <c r="P113" i="155"/>
  <c r="D114" i="155"/>
  <c r="P114" i="155"/>
  <c r="D115" i="155"/>
  <c r="P115" i="155"/>
  <c r="D116" i="155"/>
  <c r="P116" i="155"/>
  <c r="D117" i="155"/>
  <c r="P117" i="155"/>
  <c r="D118" i="155"/>
  <c r="P118" i="155"/>
  <c r="D119" i="155"/>
  <c r="P119" i="155"/>
  <c r="D120" i="155"/>
  <c r="P120" i="155"/>
  <c r="D121" i="155"/>
  <c r="P121" i="155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5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74" i="151"/>
  <c r="P74" i="151"/>
  <c r="Q74" i="151"/>
  <c r="D75" i="151"/>
  <c r="P75" i="151"/>
  <c r="Q75" i="151"/>
  <c r="D76" i="151"/>
  <c r="P76" i="151"/>
  <c r="Q76" i="151"/>
  <c r="D77" i="151"/>
  <c r="P77" i="151"/>
  <c r="Q77" i="151"/>
  <c r="D78" i="151"/>
  <c r="P78" i="151"/>
  <c r="Q78" i="151"/>
  <c r="D79" i="151"/>
  <c r="P79" i="151"/>
  <c r="Q79" i="151"/>
  <c r="D80" i="151"/>
  <c r="P80" i="151"/>
  <c r="Q80" i="151"/>
  <c r="D81" i="151"/>
  <c r="P81" i="151"/>
  <c r="Q81" i="151"/>
  <c r="D82" i="151"/>
  <c r="P82" i="151"/>
  <c r="Q82" i="151"/>
  <c r="D83" i="151"/>
  <c r="P83" i="151"/>
  <c r="Q83" i="151"/>
  <c r="D84" i="151"/>
  <c r="P84" i="151"/>
  <c r="Q84" i="151"/>
  <c r="D85" i="151"/>
  <c r="P85" i="151"/>
  <c r="Q85" i="151"/>
  <c r="D86" i="151"/>
  <c r="P86" i="151"/>
  <c r="Q86" i="151"/>
  <c r="D87" i="151"/>
  <c r="P87" i="151"/>
  <c r="Q87" i="151"/>
  <c r="D88" i="151"/>
  <c r="P88" i="151"/>
  <c r="Q88" i="151"/>
  <c r="D89" i="151"/>
  <c r="P89" i="151"/>
  <c r="Q89" i="151"/>
  <c r="D90" i="151"/>
  <c r="P90" i="151"/>
  <c r="Q90" i="151"/>
  <c r="D91" i="151"/>
  <c r="P91" i="151"/>
  <c r="Q91" i="151"/>
  <c r="D92" i="151"/>
  <c r="P92" i="151"/>
  <c r="Q92" i="151"/>
  <c r="D93" i="151"/>
  <c r="P93" i="151"/>
  <c r="Q93" i="151"/>
  <c r="D94" i="151"/>
  <c r="P94" i="151"/>
  <c r="Q94" i="151"/>
  <c r="D95" i="151"/>
  <c r="P95" i="151"/>
  <c r="Q95" i="151"/>
  <c r="D96" i="151"/>
  <c r="P96" i="151"/>
  <c r="Q96" i="151"/>
  <c r="D97" i="151"/>
  <c r="P97" i="151"/>
  <c r="Q97" i="151"/>
  <c r="D98" i="151"/>
  <c r="P98" i="151"/>
  <c r="Q98" i="151"/>
  <c r="D99" i="151"/>
  <c r="P99" i="151"/>
  <c r="Q99" i="151"/>
  <c r="D100" i="151"/>
  <c r="P100" i="151"/>
  <c r="Q100" i="151"/>
  <c r="D101" i="151"/>
  <c r="P101" i="151"/>
  <c r="Q101" i="151"/>
  <c r="D102" i="151"/>
  <c r="P102" i="151"/>
  <c r="Q102" i="151"/>
  <c r="D103" i="151"/>
  <c r="P103" i="151"/>
  <c r="Q103" i="151"/>
  <c r="D104" i="151"/>
  <c r="P104" i="151"/>
  <c r="Q104" i="151"/>
  <c r="D105" i="151"/>
  <c r="P105" i="151"/>
  <c r="Q105" i="151"/>
  <c r="D106" i="151"/>
  <c r="P106" i="151"/>
  <c r="Q106" i="151"/>
  <c r="D107" i="151"/>
  <c r="P107" i="151"/>
  <c r="Q107" i="151"/>
  <c r="D108" i="151"/>
  <c r="P108" i="151"/>
  <c r="Q108" i="151"/>
  <c r="D109" i="151"/>
  <c r="P109" i="151"/>
  <c r="Q109" i="151"/>
  <c r="D110" i="151"/>
  <c r="P110" i="151"/>
  <c r="Q110" i="151"/>
  <c r="D111" i="151"/>
  <c r="P111" i="151"/>
  <c r="Q111" i="151"/>
  <c r="D112" i="151"/>
  <c r="P112" i="151"/>
  <c r="Q112" i="151"/>
  <c r="D113" i="151"/>
  <c r="P113" i="151"/>
  <c r="Q113" i="151"/>
  <c r="D114" i="151"/>
  <c r="P114" i="151"/>
  <c r="Q114" i="151"/>
  <c r="D115" i="151"/>
  <c r="P115" i="151"/>
  <c r="Q115" i="151"/>
  <c r="D116" i="151"/>
  <c r="P116" i="151"/>
  <c r="Q116" i="151"/>
  <c r="D117" i="151"/>
  <c r="P117" i="151"/>
  <c r="Q117" i="151"/>
  <c r="D118" i="151"/>
  <c r="P118" i="151"/>
  <c r="Q118" i="151"/>
  <c r="D119" i="151"/>
  <c r="P119" i="151"/>
  <c r="Q119" i="151"/>
  <c r="D120" i="151"/>
  <c r="P120" i="151"/>
  <c r="Q120" i="151"/>
  <c r="D121" i="151"/>
  <c r="P121" i="151"/>
  <c r="Q121" i="151"/>
  <c r="Q122" i="151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74" i="32"/>
  <c r="R74" i="32"/>
  <c r="S74" i="32"/>
  <c r="D75" i="32"/>
  <c r="R75" i="32"/>
  <c r="S75" i="32"/>
  <c r="D76" i="32"/>
  <c r="R76" i="32"/>
  <c r="S76" i="32"/>
  <c r="D77" i="32"/>
  <c r="R77" i="32"/>
  <c r="S77" i="32"/>
  <c r="D78" i="32"/>
  <c r="R78" i="32"/>
  <c r="S78" i="32"/>
  <c r="D79" i="32"/>
  <c r="R79" i="32"/>
  <c r="S79" i="32"/>
  <c r="D80" i="32"/>
  <c r="R80" i="32"/>
  <c r="S80" i="32"/>
  <c r="D81" i="32"/>
  <c r="R81" i="32"/>
  <c r="S81" i="32"/>
  <c r="D82" i="32"/>
  <c r="R82" i="32"/>
  <c r="S82" i="32"/>
  <c r="D83" i="32"/>
  <c r="R83" i="32"/>
  <c r="S83" i="32"/>
  <c r="D84" i="32"/>
  <c r="R84" i="32"/>
  <c r="S84" i="32"/>
  <c r="D85" i="32"/>
  <c r="R85" i="32"/>
  <c r="S85" i="32"/>
  <c r="D86" i="32"/>
  <c r="R86" i="32"/>
  <c r="S86" i="32"/>
  <c r="D87" i="32"/>
  <c r="R87" i="32"/>
  <c r="S87" i="32"/>
  <c r="D88" i="32"/>
  <c r="R88" i="32"/>
  <c r="S88" i="32"/>
  <c r="D89" i="32"/>
  <c r="R89" i="32"/>
  <c r="S89" i="32"/>
  <c r="D90" i="32"/>
  <c r="R90" i="32"/>
  <c r="S90" i="32"/>
  <c r="D91" i="32"/>
  <c r="R91" i="32"/>
  <c r="S91" i="32"/>
  <c r="D92" i="32"/>
  <c r="R92" i="32"/>
  <c r="S92" i="32"/>
  <c r="D93" i="32"/>
  <c r="R93" i="32"/>
  <c r="S93" i="32"/>
  <c r="D94" i="32"/>
  <c r="R94" i="32"/>
  <c r="S94" i="32"/>
  <c r="D95" i="32"/>
  <c r="R95" i="32"/>
  <c r="S95" i="32"/>
  <c r="D96" i="32"/>
  <c r="R96" i="32"/>
  <c r="S96" i="32"/>
  <c r="D97" i="32"/>
  <c r="R97" i="32"/>
  <c r="S97" i="32"/>
  <c r="D98" i="32"/>
  <c r="R98" i="32"/>
  <c r="S98" i="32"/>
  <c r="D99" i="32"/>
  <c r="R99" i="32"/>
  <c r="S99" i="32"/>
  <c r="D100" i="32"/>
  <c r="R100" i="32"/>
  <c r="S100" i="32"/>
  <c r="D101" i="32"/>
  <c r="R101" i="32"/>
  <c r="S101" i="32"/>
  <c r="D102" i="32"/>
  <c r="R102" i="32"/>
  <c r="S102" i="32"/>
  <c r="D103" i="32"/>
  <c r="R103" i="32"/>
  <c r="S103" i="32"/>
  <c r="D104" i="32"/>
  <c r="R104" i="32"/>
  <c r="S104" i="32"/>
  <c r="D105" i="32"/>
  <c r="R105" i="32"/>
  <c r="S105" i="32"/>
  <c r="D106" i="32"/>
  <c r="R106" i="32"/>
  <c r="S106" i="32"/>
  <c r="D107" i="32"/>
  <c r="R107" i="32"/>
  <c r="S107" i="32"/>
  <c r="D108" i="32"/>
  <c r="R108" i="32"/>
  <c r="S108" i="32"/>
  <c r="D109" i="32"/>
  <c r="R109" i="32"/>
  <c r="S109" i="32"/>
  <c r="D110" i="32"/>
  <c r="R110" i="32"/>
  <c r="S110" i="32"/>
  <c r="D111" i="32"/>
  <c r="R111" i="32"/>
  <c r="S111" i="32"/>
  <c r="D112" i="32"/>
  <c r="R112" i="32"/>
  <c r="S112" i="32"/>
  <c r="D113" i="32"/>
  <c r="R113" i="32"/>
  <c r="S113" i="32"/>
  <c r="D114" i="32"/>
  <c r="R114" i="32"/>
  <c r="S114" i="32"/>
  <c r="D115" i="32"/>
  <c r="R115" i="32"/>
  <c r="S115" i="32"/>
  <c r="D116" i="32"/>
  <c r="R116" i="32"/>
  <c r="S116" i="32"/>
  <c r="D117" i="32"/>
  <c r="R117" i="32"/>
  <c r="S117" i="32"/>
  <c r="D118" i="32"/>
  <c r="R118" i="32"/>
  <c r="S118" i="32"/>
  <c r="D119" i="32"/>
  <c r="R119" i="32"/>
  <c r="S119" i="32"/>
  <c r="D120" i="32"/>
  <c r="R120" i="32"/>
  <c r="S120" i="32"/>
  <c r="D121" i="32"/>
  <c r="R121" i="32"/>
  <c r="S121" i="32"/>
  <c r="S122" i="32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74" i="76"/>
  <c r="S74" i="76"/>
  <c r="D75" i="76"/>
  <c r="S75" i="76"/>
  <c r="D76" i="76"/>
  <c r="S76" i="76"/>
  <c r="D77" i="76"/>
  <c r="S77" i="76"/>
  <c r="D78" i="76"/>
  <c r="S78" i="76"/>
  <c r="D79" i="76"/>
  <c r="S79" i="76"/>
  <c r="D80" i="76"/>
  <c r="S80" i="76"/>
  <c r="D81" i="76"/>
  <c r="S81" i="76"/>
  <c r="D82" i="76"/>
  <c r="S82" i="76"/>
  <c r="D83" i="76"/>
  <c r="S83" i="76"/>
  <c r="D84" i="76"/>
  <c r="S84" i="76"/>
  <c r="D85" i="76"/>
  <c r="S85" i="76"/>
  <c r="D86" i="76"/>
  <c r="S86" i="76"/>
  <c r="D87" i="76"/>
  <c r="S87" i="76"/>
  <c r="D88" i="76"/>
  <c r="S88" i="76"/>
  <c r="D89" i="76"/>
  <c r="S89" i="76"/>
  <c r="D90" i="76"/>
  <c r="S90" i="76"/>
  <c r="D91" i="76"/>
  <c r="S91" i="76"/>
  <c r="D92" i="76"/>
  <c r="S92" i="76"/>
  <c r="D93" i="76"/>
  <c r="S93" i="76"/>
  <c r="D94" i="76"/>
  <c r="S94" i="76"/>
  <c r="D95" i="76"/>
  <c r="S95" i="76"/>
  <c r="D96" i="76"/>
  <c r="S96" i="76"/>
  <c r="D97" i="76"/>
  <c r="S97" i="76"/>
  <c r="D98" i="76"/>
  <c r="S98" i="76"/>
  <c r="D99" i="76"/>
  <c r="S99" i="76"/>
  <c r="D100" i="76"/>
  <c r="S100" i="76"/>
  <c r="D101" i="76"/>
  <c r="S101" i="76"/>
  <c r="D102" i="76"/>
  <c r="S102" i="76"/>
  <c r="D103" i="76"/>
  <c r="S103" i="76"/>
  <c r="D104" i="76"/>
  <c r="S104" i="76"/>
  <c r="D105" i="76"/>
  <c r="S105" i="76"/>
  <c r="D106" i="76"/>
  <c r="S106" i="76"/>
  <c r="D107" i="76"/>
  <c r="S107" i="76"/>
  <c r="D108" i="76"/>
  <c r="S108" i="76"/>
  <c r="D109" i="76"/>
  <c r="S109" i="76"/>
  <c r="D110" i="76"/>
  <c r="S110" i="76"/>
  <c r="D111" i="76"/>
  <c r="S111" i="76"/>
  <c r="D112" i="76"/>
  <c r="S112" i="76"/>
  <c r="D113" i="76"/>
  <c r="S113" i="76"/>
  <c r="D114" i="76"/>
  <c r="S114" i="76"/>
  <c r="D115" i="76"/>
  <c r="S115" i="76"/>
  <c r="D116" i="76"/>
  <c r="S116" i="76"/>
  <c r="D117" i="76"/>
  <c r="S117" i="76"/>
  <c r="D118" i="76"/>
  <c r="S118" i="76"/>
  <c r="D119" i="76"/>
  <c r="S119" i="76"/>
  <c r="D120" i="76"/>
  <c r="S120" i="76"/>
  <c r="D121" i="76"/>
  <c r="S121" i="76"/>
  <c r="D74" i="30"/>
  <c r="R74" i="30"/>
  <c r="S74" i="30"/>
  <c r="D75" i="30"/>
  <c r="R75" i="30"/>
  <c r="S75" i="30"/>
  <c r="D76" i="30"/>
  <c r="R76" i="30"/>
  <c r="S76" i="30"/>
  <c r="D77" i="30"/>
  <c r="R77" i="30"/>
  <c r="S77" i="30"/>
  <c r="D78" i="30"/>
  <c r="R78" i="30"/>
  <c r="S78" i="30"/>
  <c r="D79" i="30"/>
  <c r="R79" i="30"/>
  <c r="S79" i="30"/>
  <c r="D80" i="30"/>
  <c r="R80" i="30"/>
  <c r="S80" i="30"/>
  <c r="D81" i="30"/>
  <c r="R81" i="30"/>
  <c r="S81" i="30"/>
  <c r="D82" i="30"/>
  <c r="R82" i="30"/>
  <c r="S82" i="30"/>
  <c r="D83" i="30"/>
  <c r="R83" i="30"/>
  <c r="S83" i="30"/>
  <c r="D84" i="30"/>
  <c r="R84" i="30"/>
  <c r="S84" i="30"/>
  <c r="D85" i="30"/>
  <c r="R85" i="30"/>
  <c r="S85" i="30"/>
  <c r="D86" i="30"/>
  <c r="R86" i="30"/>
  <c r="S86" i="30"/>
  <c r="D87" i="30"/>
  <c r="R87" i="30"/>
  <c r="S87" i="30"/>
  <c r="D88" i="30"/>
  <c r="R88" i="30"/>
  <c r="S88" i="30"/>
  <c r="D89" i="30"/>
  <c r="R89" i="30"/>
  <c r="S89" i="30"/>
  <c r="D90" i="30"/>
  <c r="R90" i="30"/>
  <c r="S90" i="30"/>
  <c r="D91" i="30"/>
  <c r="R91" i="30"/>
  <c r="S91" i="30"/>
  <c r="D92" i="30"/>
  <c r="R92" i="30"/>
  <c r="S92" i="30"/>
  <c r="D93" i="30"/>
  <c r="R93" i="30"/>
  <c r="S93" i="30"/>
  <c r="D94" i="30"/>
  <c r="R94" i="30"/>
  <c r="S94" i="30"/>
  <c r="D95" i="30"/>
  <c r="R95" i="30"/>
  <c r="S95" i="30"/>
  <c r="D96" i="30"/>
  <c r="R96" i="30"/>
  <c r="S96" i="30"/>
  <c r="D97" i="30"/>
  <c r="R97" i="30"/>
  <c r="S97" i="30"/>
  <c r="D98" i="30"/>
  <c r="R98" i="30"/>
  <c r="S98" i="30"/>
  <c r="D99" i="30"/>
  <c r="R99" i="30"/>
  <c r="S99" i="30"/>
  <c r="D100" i="30"/>
  <c r="R100" i="30"/>
  <c r="S100" i="30"/>
  <c r="D101" i="30"/>
  <c r="R101" i="30"/>
  <c r="S101" i="30"/>
  <c r="D102" i="30"/>
  <c r="R102" i="30"/>
  <c r="S102" i="30"/>
  <c r="D103" i="30"/>
  <c r="R103" i="30"/>
  <c r="S103" i="30"/>
  <c r="D104" i="30"/>
  <c r="R104" i="30"/>
  <c r="S104" i="30"/>
  <c r="D105" i="30"/>
  <c r="R105" i="30"/>
  <c r="S105" i="30"/>
  <c r="D106" i="30"/>
  <c r="R106" i="30"/>
  <c r="S106" i="30"/>
  <c r="D107" i="30"/>
  <c r="R107" i="30"/>
  <c r="S107" i="30"/>
  <c r="D108" i="30"/>
  <c r="R108" i="30"/>
  <c r="S108" i="30"/>
  <c r="D109" i="30"/>
  <c r="R109" i="30"/>
  <c r="S109" i="30"/>
  <c r="D110" i="30"/>
  <c r="R110" i="30"/>
  <c r="S110" i="30"/>
  <c r="D111" i="30"/>
  <c r="R111" i="30"/>
  <c r="S111" i="30"/>
  <c r="D112" i="30"/>
  <c r="R112" i="30"/>
  <c r="S112" i="30"/>
  <c r="D113" i="30"/>
  <c r="R113" i="30"/>
  <c r="S113" i="30"/>
  <c r="D114" i="30"/>
  <c r="R114" i="30"/>
  <c r="S114" i="30"/>
  <c r="D115" i="30"/>
  <c r="R115" i="30"/>
  <c r="S115" i="30"/>
  <c r="D116" i="30"/>
  <c r="R116" i="30"/>
  <c r="S116" i="30"/>
  <c r="D117" i="30"/>
  <c r="R117" i="30"/>
  <c r="S117" i="30"/>
  <c r="D118" i="30"/>
  <c r="R118" i="30"/>
  <c r="S118" i="30"/>
  <c r="D119" i="30"/>
  <c r="R119" i="30"/>
  <c r="S119" i="30"/>
  <c r="D120" i="30"/>
  <c r="R120" i="30"/>
  <c r="S120" i="30"/>
  <c r="D121" i="30"/>
  <c r="R121" i="30"/>
  <c r="S121" i="30"/>
  <c r="S122" i="30"/>
  <c r="D74" i="77"/>
  <c r="S74" i="77"/>
  <c r="D75" i="77"/>
  <c r="S75" i="77"/>
  <c r="D76" i="77"/>
  <c r="S76" i="77"/>
  <c r="D77" i="77"/>
  <c r="S77" i="77"/>
  <c r="D78" i="77"/>
  <c r="S78" i="77"/>
  <c r="D79" i="77"/>
  <c r="S79" i="77"/>
  <c r="D80" i="77"/>
  <c r="S80" i="77"/>
  <c r="D81" i="77"/>
  <c r="S81" i="77"/>
  <c r="D82" i="77"/>
  <c r="S82" i="77"/>
  <c r="D83" i="77"/>
  <c r="S83" i="77"/>
  <c r="D84" i="77"/>
  <c r="S84" i="77"/>
  <c r="D85" i="77"/>
  <c r="S85" i="77"/>
  <c r="D86" i="77"/>
  <c r="S86" i="77"/>
  <c r="D87" i="77"/>
  <c r="S87" i="77"/>
  <c r="D88" i="77"/>
  <c r="S88" i="77"/>
  <c r="D89" i="77"/>
  <c r="S89" i="77"/>
  <c r="D90" i="77"/>
  <c r="S90" i="77"/>
  <c r="D91" i="77"/>
  <c r="S91" i="77"/>
  <c r="D92" i="77"/>
  <c r="S92" i="77"/>
  <c r="D93" i="77"/>
  <c r="S93" i="77"/>
  <c r="D94" i="77"/>
  <c r="S94" i="77"/>
  <c r="D95" i="77"/>
  <c r="S95" i="77"/>
  <c r="D96" i="77"/>
  <c r="S96" i="77"/>
  <c r="D97" i="77"/>
  <c r="S97" i="77"/>
  <c r="D98" i="77"/>
  <c r="S98" i="77"/>
  <c r="D99" i="77"/>
  <c r="S99" i="77"/>
  <c r="D100" i="77"/>
  <c r="S100" i="77"/>
  <c r="D101" i="77"/>
  <c r="S101" i="77"/>
  <c r="D102" i="77"/>
  <c r="S102" i="77"/>
  <c r="D103" i="77"/>
  <c r="S103" i="77"/>
  <c r="D104" i="77"/>
  <c r="S104" i="77"/>
  <c r="D105" i="77"/>
  <c r="S105" i="77"/>
  <c r="D106" i="77"/>
  <c r="S106" i="77"/>
  <c r="D107" i="77"/>
  <c r="S107" i="77"/>
  <c r="D108" i="77"/>
  <c r="S108" i="77"/>
  <c r="D109" i="77"/>
  <c r="S109" i="77"/>
  <c r="D110" i="77"/>
  <c r="S110" i="77"/>
  <c r="D111" i="77"/>
  <c r="S111" i="77"/>
  <c r="D112" i="77"/>
  <c r="S112" i="77"/>
  <c r="D113" i="77"/>
  <c r="S113" i="77"/>
  <c r="D114" i="77"/>
  <c r="S114" i="77"/>
  <c r="D115" i="77"/>
  <c r="S115" i="77"/>
  <c r="D116" i="77"/>
  <c r="S116" i="77"/>
  <c r="D117" i="77"/>
  <c r="S117" i="77"/>
  <c r="D118" i="77"/>
  <c r="S118" i="77"/>
  <c r="D119" i="77"/>
  <c r="S119" i="77"/>
  <c r="D120" i="77"/>
  <c r="S120" i="77"/>
  <c r="D121" i="77"/>
  <c r="S121" i="77"/>
  <c r="C18" i="24"/>
  <c r="D18" i="24"/>
  <c r="H18" i="24"/>
  <c r="J18" i="24"/>
  <c r="M18" i="24"/>
  <c r="N18" i="24"/>
  <c r="R18" i="24"/>
  <c r="V18" i="24"/>
  <c r="W18" i="24"/>
  <c r="AA18" i="24"/>
  <c r="C19" i="24"/>
  <c r="D19" i="24"/>
  <c r="H19" i="24"/>
  <c r="J19" i="24"/>
  <c r="M19" i="24"/>
  <c r="N19" i="24"/>
  <c r="R19" i="24"/>
  <c r="V19" i="24"/>
  <c r="W19" i="24"/>
  <c r="AA19" i="24"/>
  <c r="C20" i="24"/>
  <c r="D20" i="24"/>
  <c r="H20" i="24"/>
  <c r="J20" i="24"/>
  <c r="M20" i="24"/>
  <c r="N20" i="24"/>
  <c r="R20" i="24"/>
  <c r="V20" i="24"/>
  <c r="W20" i="24"/>
  <c r="AA20" i="24"/>
  <c r="C21" i="24"/>
  <c r="D21" i="24"/>
  <c r="H21" i="24"/>
  <c r="J21" i="24"/>
  <c r="M21" i="24"/>
  <c r="N21" i="24"/>
  <c r="R21" i="24"/>
  <c r="V21" i="24"/>
  <c r="W21" i="24"/>
  <c r="AA21" i="24"/>
  <c r="C11" i="57"/>
  <c r="D11" i="57"/>
  <c r="C12" i="57"/>
  <c r="D12" i="57"/>
  <c r="C13" i="57"/>
  <c r="D13" i="57"/>
  <c r="C14" i="57"/>
  <c r="D14" i="57"/>
  <c r="C24" i="57"/>
  <c r="D24" i="57"/>
  <c r="H24" i="57"/>
  <c r="J24" i="57"/>
  <c r="M24" i="57"/>
  <c r="N24" i="57"/>
  <c r="R24" i="57"/>
  <c r="V24" i="57"/>
  <c r="W24" i="57"/>
  <c r="AA24" i="57"/>
  <c r="C25" i="57"/>
  <c r="D25" i="57"/>
  <c r="H25" i="57"/>
  <c r="J25" i="57"/>
  <c r="M25" i="57"/>
  <c r="N25" i="57"/>
  <c r="R25" i="57"/>
  <c r="V25" i="57"/>
  <c r="W25" i="57"/>
  <c r="AA25" i="57"/>
  <c r="C26" i="57"/>
  <c r="D26" i="57"/>
  <c r="H26" i="57"/>
  <c r="J26" i="57"/>
  <c r="M26" i="57"/>
  <c r="N26" i="57"/>
  <c r="R26" i="57"/>
  <c r="V26" i="57"/>
  <c r="W26" i="57"/>
  <c r="AA26" i="57"/>
  <c r="C27" i="57"/>
  <c r="D27" i="57"/>
  <c r="H27" i="57"/>
  <c r="J27" i="57"/>
  <c r="M27" i="57"/>
  <c r="N27" i="57"/>
  <c r="R27" i="57"/>
  <c r="V27" i="57"/>
  <c r="W27" i="57"/>
  <c r="AA27" i="57"/>
  <c r="C28" i="57"/>
  <c r="D28" i="57"/>
  <c r="H28" i="57"/>
  <c r="J28" i="57"/>
  <c r="M28" i="57"/>
  <c r="N28" i="57"/>
  <c r="R28" i="57"/>
  <c r="V28" i="57"/>
  <c r="W28" i="57"/>
  <c r="AA28" i="57"/>
  <c r="C29" i="57"/>
  <c r="D29" i="57"/>
  <c r="H29" i="57"/>
  <c r="J29" i="57"/>
  <c r="M29" i="57"/>
  <c r="N29" i="57"/>
  <c r="R29" i="57"/>
  <c r="V29" i="57"/>
  <c r="W29" i="57"/>
  <c r="AA29" i="57"/>
  <c r="C33" i="57"/>
  <c r="D33" i="57"/>
  <c r="E33" i="57"/>
  <c r="C34" i="57"/>
  <c r="D34" i="57"/>
  <c r="E34" i="57"/>
  <c r="D74" i="156"/>
  <c r="W74" i="156"/>
  <c r="D75" i="156"/>
  <c r="W75" i="156"/>
  <c r="D76" i="156"/>
  <c r="W76" i="156"/>
  <c r="D77" i="156"/>
  <c r="W77" i="156"/>
  <c r="D78" i="156"/>
  <c r="W78" i="156"/>
  <c r="D79" i="156"/>
  <c r="W79" i="156"/>
  <c r="D80" i="156"/>
  <c r="W80" i="156"/>
  <c r="D81" i="156"/>
  <c r="W81" i="156"/>
  <c r="D82" i="156"/>
  <c r="W82" i="156"/>
  <c r="D83" i="156"/>
  <c r="W83" i="156"/>
  <c r="D84" i="156"/>
  <c r="W84" i="156"/>
  <c r="D85" i="156"/>
  <c r="W85" i="156"/>
  <c r="D86" i="156"/>
  <c r="W86" i="156"/>
  <c r="D87" i="156"/>
  <c r="W87" i="156"/>
  <c r="D88" i="156"/>
  <c r="W88" i="156"/>
  <c r="D89" i="156"/>
  <c r="W89" i="156"/>
  <c r="D90" i="156"/>
  <c r="W90" i="156"/>
  <c r="D91" i="156"/>
  <c r="W91" i="156"/>
  <c r="D92" i="156"/>
  <c r="W92" i="156"/>
  <c r="D93" i="156"/>
  <c r="W93" i="156"/>
  <c r="D94" i="156"/>
  <c r="W94" i="156"/>
  <c r="D95" i="156"/>
  <c r="W95" i="156"/>
  <c r="D96" i="156"/>
  <c r="W96" i="156"/>
  <c r="D97" i="156"/>
  <c r="W97" i="156"/>
  <c r="D98" i="156"/>
  <c r="W98" i="156"/>
  <c r="D99" i="156"/>
  <c r="W99" i="156"/>
  <c r="D100" i="156"/>
  <c r="W100" i="156"/>
  <c r="D101" i="156"/>
  <c r="W101" i="156"/>
  <c r="D102" i="156"/>
  <c r="W102" i="156"/>
  <c r="D103" i="156"/>
  <c r="W103" i="156"/>
  <c r="D104" i="156"/>
  <c r="W104" i="156"/>
  <c r="D105" i="156"/>
  <c r="W105" i="156"/>
  <c r="D106" i="156"/>
  <c r="W106" i="156"/>
  <c r="D107" i="156"/>
  <c r="W107" i="156"/>
  <c r="D108" i="156"/>
  <c r="W108" i="156"/>
  <c r="D109" i="156"/>
  <c r="W109" i="156"/>
  <c r="D110" i="156"/>
  <c r="W110" i="156"/>
  <c r="D111" i="156"/>
  <c r="W111" i="156"/>
  <c r="D112" i="156"/>
  <c r="W112" i="156"/>
  <c r="D113" i="156"/>
  <c r="W113" i="156"/>
  <c r="D114" i="156"/>
  <c r="W114" i="156"/>
  <c r="D115" i="156"/>
  <c r="W115" i="156"/>
  <c r="D116" i="156"/>
  <c r="W116" i="156"/>
  <c r="D117" i="156"/>
  <c r="W117" i="156"/>
  <c r="D118" i="156"/>
  <c r="W118" i="156"/>
  <c r="D119" i="156"/>
  <c r="W119" i="156"/>
  <c r="D120" i="156"/>
  <c r="W120" i="156"/>
  <c r="D121" i="156"/>
  <c r="W121" i="156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D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74" i="153"/>
  <c r="V74" i="153"/>
  <c r="W74" i="153"/>
  <c r="D75" i="153"/>
  <c r="V75" i="153"/>
  <c r="W75" i="153"/>
  <c r="D76" i="153"/>
  <c r="V76" i="153"/>
  <c r="W76" i="153"/>
  <c r="D77" i="153"/>
  <c r="V77" i="153"/>
  <c r="W77" i="153"/>
  <c r="D78" i="153"/>
  <c r="V78" i="153"/>
  <c r="W78" i="153"/>
  <c r="D79" i="153"/>
  <c r="V79" i="153"/>
  <c r="W79" i="153"/>
  <c r="D80" i="153"/>
  <c r="V80" i="153"/>
  <c r="W80" i="153"/>
  <c r="D81" i="153"/>
  <c r="V81" i="153"/>
  <c r="W81" i="153"/>
  <c r="D82" i="153"/>
  <c r="V82" i="153"/>
  <c r="W82" i="153"/>
  <c r="D83" i="153"/>
  <c r="V83" i="153"/>
  <c r="W83" i="153"/>
  <c r="D84" i="153"/>
  <c r="V84" i="153"/>
  <c r="W84" i="153"/>
  <c r="D85" i="153"/>
  <c r="V85" i="153"/>
  <c r="W85" i="153"/>
  <c r="D86" i="153"/>
  <c r="V86" i="153"/>
  <c r="W86" i="153"/>
  <c r="D87" i="153"/>
  <c r="V87" i="153"/>
  <c r="W87" i="153"/>
  <c r="D88" i="153"/>
  <c r="V88" i="153"/>
  <c r="W88" i="153"/>
  <c r="D89" i="153"/>
  <c r="V89" i="153"/>
  <c r="W89" i="153"/>
  <c r="D90" i="153"/>
  <c r="V90" i="153"/>
  <c r="W90" i="153"/>
  <c r="D91" i="153"/>
  <c r="V91" i="153"/>
  <c r="W91" i="153"/>
  <c r="D92" i="153"/>
  <c r="V92" i="153"/>
  <c r="W92" i="153"/>
  <c r="D93" i="153"/>
  <c r="V93" i="153"/>
  <c r="W93" i="153"/>
  <c r="D94" i="153"/>
  <c r="V94" i="153"/>
  <c r="W94" i="153"/>
  <c r="D95" i="153"/>
  <c r="V95" i="153"/>
  <c r="W95" i="153"/>
  <c r="D96" i="153"/>
  <c r="V96" i="153"/>
  <c r="W96" i="153"/>
  <c r="D97" i="153"/>
  <c r="V97" i="153"/>
  <c r="W97" i="153"/>
  <c r="D98" i="153"/>
  <c r="V98" i="153"/>
  <c r="W98" i="153"/>
  <c r="D99" i="153"/>
  <c r="V99" i="153"/>
  <c r="W99" i="153"/>
  <c r="D100" i="153"/>
  <c r="V100" i="153"/>
  <c r="W100" i="153"/>
  <c r="D101" i="153"/>
  <c r="V101" i="153"/>
  <c r="W101" i="153"/>
  <c r="D102" i="153"/>
  <c r="V102" i="153"/>
  <c r="W102" i="153"/>
  <c r="D103" i="153"/>
  <c r="V103" i="153"/>
  <c r="W103" i="153"/>
  <c r="D104" i="153"/>
  <c r="V104" i="153"/>
  <c r="W104" i="153"/>
  <c r="D105" i="153"/>
  <c r="V105" i="153"/>
  <c r="W105" i="153"/>
  <c r="D106" i="153"/>
  <c r="V106" i="153"/>
  <c r="W106" i="153"/>
  <c r="D107" i="153"/>
  <c r="V107" i="153"/>
  <c r="W107" i="153"/>
  <c r="D108" i="153"/>
  <c r="V108" i="153"/>
  <c r="W108" i="153"/>
  <c r="D109" i="153"/>
  <c r="V109" i="153"/>
  <c r="W109" i="153"/>
  <c r="D110" i="153"/>
  <c r="V110" i="153"/>
  <c r="W110" i="153"/>
  <c r="D111" i="153"/>
  <c r="V111" i="153"/>
  <c r="W111" i="153"/>
  <c r="D112" i="153"/>
  <c r="V112" i="153"/>
  <c r="W112" i="153"/>
  <c r="D113" i="153"/>
  <c r="V113" i="153"/>
  <c r="W113" i="153"/>
  <c r="D114" i="153"/>
  <c r="V114" i="153"/>
  <c r="W114" i="153"/>
  <c r="D115" i="153"/>
  <c r="V115" i="153"/>
  <c r="W115" i="153"/>
  <c r="D116" i="153"/>
  <c r="V116" i="153"/>
  <c r="W116" i="153"/>
  <c r="D117" i="153"/>
  <c r="V117" i="153"/>
  <c r="W117" i="153"/>
  <c r="D118" i="153"/>
  <c r="V118" i="153"/>
  <c r="W118" i="153"/>
  <c r="D119" i="153"/>
  <c r="V119" i="153"/>
  <c r="W119" i="153"/>
  <c r="D120" i="153"/>
  <c r="V120" i="153"/>
  <c r="W120" i="153"/>
  <c r="D121" i="153"/>
  <c r="V121" i="153"/>
  <c r="W121" i="153"/>
  <c r="W122" i="153"/>
  <c r="C5" i="160"/>
  <c r="C6" i="160"/>
  <c r="C7" i="160"/>
  <c r="D7" i="160"/>
  <c r="C8" i="160"/>
  <c r="D8" i="160"/>
  <c r="C9" i="160"/>
  <c r="D9" i="160"/>
  <c r="C13" i="160"/>
  <c r="D13" i="160"/>
  <c r="C10" i="15"/>
  <c r="E10" i="15"/>
  <c r="I10" i="15"/>
  <c r="K10" i="15"/>
  <c r="O10" i="15"/>
  <c r="Q10" i="15"/>
  <c r="U10" i="15"/>
  <c r="W10" i="15"/>
  <c r="C11" i="15"/>
  <c r="E11" i="15"/>
  <c r="I11" i="15"/>
  <c r="K11" i="15"/>
  <c r="O11" i="15"/>
  <c r="Q11" i="15"/>
  <c r="U11" i="15"/>
  <c r="W11" i="15"/>
  <c r="C12" i="15"/>
  <c r="E12" i="15"/>
  <c r="I12" i="15"/>
  <c r="K12" i="15"/>
  <c r="O12" i="15"/>
  <c r="Q12" i="15"/>
  <c r="U12" i="15"/>
  <c r="W12" i="15"/>
  <c r="C13" i="15"/>
  <c r="E13" i="15"/>
  <c r="I13" i="15"/>
  <c r="K13" i="15"/>
  <c r="O13" i="15"/>
  <c r="Q13" i="15"/>
  <c r="U13" i="15"/>
  <c r="W13" i="15"/>
  <c r="E15" i="15"/>
  <c r="K15" i="15"/>
  <c r="Q15" i="15"/>
  <c r="W15" i="15"/>
  <c r="E16" i="15"/>
  <c r="K16" i="15"/>
  <c r="Q16" i="15"/>
  <c r="W16" i="15"/>
  <c r="E74" i="67"/>
  <c r="F74" i="67"/>
  <c r="I74" i="67"/>
  <c r="J74" i="67"/>
  <c r="M74" i="67"/>
  <c r="N74" i="67"/>
  <c r="R74" i="67"/>
  <c r="S74" i="67"/>
  <c r="W74" i="67"/>
  <c r="X74" i="67"/>
  <c r="E75" i="67"/>
  <c r="F75" i="67"/>
  <c r="I75" i="67"/>
  <c r="J75" i="67"/>
  <c r="M75" i="67"/>
  <c r="N75" i="67"/>
  <c r="R75" i="67"/>
  <c r="S75" i="67"/>
  <c r="W75" i="67"/>
  <c r="X75" i="67"/>
  <c r="E76" i="67"/>
  <c r="F76" i="67"/>
  <c r="I76" i="67"/>
  <c r="J76" i="67"/>
  <c r="M76" i="67"/>
  <c r="N76" i="67"/>
  <c r="R76" i="67"/>
  <c r="S76" i="67"/>
  <c r="W76" i="67"/>
  <c r="X76" i="67"/>
  <c r="E77" i="67"/>
  <c r="F77" i="67"/>
  <c r="I77" i="67"/>
  <c r="J77" i="67"/>
  <c r="M77" i="67"/>
  <c r="N77" i="67"/>
  <c r="R77" i="67"/>
  <c r="S77" i="67"/>
  <c r="W77" i="67"/>
  <c r="X77" i="67"/>
  <c r="E78" i="67"/>
  <c r="F78" i="67"/>
  <c r="I78" i="67"/>
  <c r="J78" i="67"/>
  <c r="M78" i="67"/>
  <c r="N78" i="67"/>
  <c r="R78" i="67"/>
  <c r="S78" i="67"/>
  <c r="W78" i="67"/>
  <c r="X78" i="67"/>
  <c r="E79" i="67"/>
  <c r="F79" i="67"/>
  <c r="I79" i="67"/>
  <c r="J79" i="67"/>
  <c r="M79" i="67"/>
  <c r="N79" i="67"/>
  <c r="R79" i="67"/>
  <c r="S79" i="67"/>
  <c r="W79" i="67"/>
  <c r="X79" i="67"/>
  <c r="E80" i="67"/>
  <c r="F80" i="67"/>
  <c r="I80" i="67"/>
  <c r="J80" i="67"/>
  <c r="M80" i="67"/>
  <c r="N80" i="67"/>
  <c r="R80" i="67"/>
  <c r="S80" i="67"/>
  <c r="W80" i="67"/>
  <c r="X80" i="67"/>
  <c r="E81" i="67"/>
  <c r="F81" i="67"/>
  <c r="I81" i="67"/>
  <c r="J81" i="67"/>
  <c r="M81" i="67"/>
  <c r="N81" i="67"/>
  <c r="R81" i="67"/>
  <c r="S81" i="67"/>
  <c r="W81" i="67"/>
  <c r="X81" i="67"/>
  <c r="E82" i="67"/>
  <c r="F82" i="67"/>
  <c r="I82" i="67"/>
  <c r="J82" i="67"/>
  <c r="M82" i="67"/>
  <c r="N82" i="67"/>
  <c r="R82" i="67"/>
  <c r="S82" i="67"/>
  <c r="W82" i="67"/>
  <c r="X82" i="67"/>
  <c r="E83" i="67"/>
  <c r="F83" i="67"/>
  <c r="I83" i="67"/>
  <c r="J83" i="67"/>
  <c r="M83" i="67"/>
  <c r="N83" i="67"/>
  <c r="R83" i="67"/>
  <c r="S83" i="67"/>
  <c r="W83" i="67"/>
  <c r="X83" i="67"/>
  <c r="E84" i="67"/>
  <c r="F84" i="67"/>
  <c r="I84" i="67"/>
  <c r="J84" i="67"/>
  <c r="M84" i="67"/>
  <c r="N84" i="67"/>
  <c r="R84" i="67"/>
  <c r="S84" i="67"/>
  <c r="W84" i="67"/>
  <c r="X84" i="67"/>
  <c r="E85" i="67"/>
  <c r="F85" i="67"/>
  <c r="I85" i="67"/>
  <c r="J85" i="67"/>
  <c r="M85" i="67"/>
  <c r="N85" i="67"/>
  <c r="R85" i="67"/>
  <c r="S85" i="67"/>
  <c r="W85" i="67"/>
  <c r="X85" i="67"/>
  <c r="E86" i="67"/>
  <c r="F86" i="67"/>
  <c r="I86" i="67"/>
  <c r="J86" i="67"/>
  <c r="M86" i="67"/>
  <c r="N86" i="67"/>
  <c r="R86" i="67"/>
  <c r="S86" i="67"/>
  <c r="W86" i="67"/>
  <c r="X86" i="67"/>
  <c r="E87" i="67"/>
  <c r="F87" i="67"/>
  <c r="I87" i="67"/>
  <c r="J87" i="67"/>
  <c r="M87" i="67"/>
  <c r="N87" i="67"/>
  <c r="R87" i="67"/>
  <c r="S87" i="67"/>
  <c r="W87" i="67"/>
  <c r="X87" i="67"/>
  <c r="E88" i="67"/>
  <c r="F88" i="67"/>
  <c r="I88" i="67"/>
  <c r="J88" i="67"/>
  <c r="M88" i="67"/>
  <c r="N88" i="67"/>
  <c r="R88" i="67"/>
  <c r="S88" i="67"/>
  <c r="W88" i="67"/>
  <c r="X88" i="67"/>
  <c r="E89" i="67"/>
  <c r="F89" i="67"/>
  <c r="I89" i="67"/>
  <c r="J89" i="67"/>
  <c r="M89" i="67"/>
  <c r="N89" i="67"/>
  <c r="R89" i="67"/>
  <c r="S89" i="67"/>
  <c r="W89" i="67"/>
  <c r="X89" i="67"/>
  <c r="E90" i="67"/>
  <c r="F90" i="67"/>
  <c r="I90" i="67"/>
  <c r="J90" i="67"/>
  <c r="M90" i="67"/>
  <c r="N90" i="67"/>
  <c r="R90" i="67"/>
  <c r="S90" i="67"/>
  <c r="W90" i="67"/>
  <c r="X90" i="67"/>
  <c r="E91" i="67"/>
  <c r="F91" i="67"/>
  <c r="I91" i="67"/>
  <c r="J91" i="67"/>
  <c r="M91" i="67"/>
  <c r="N91" i="67"/>
  <c r="R91" i="67"/>
  <c r="S91" i="67"/>
  <c r="W91" i="67"/>
  <c r="X91" i="67"/>
  <c r="E92" i="67"/>
  <c r="F92" i="67"/>
  <c r="I92" i="67"/>
  <c r="J92" i="67"/>
  <c r="M92" i="67"/>
  <c r="N92" i="67"/>
  <c r="R92" i="67"/>
  <c r="S92" i="67"/>
  <c r="W92" i="67"/>
  <c r="X92" i="67"/>
  <c r="E93" i="67"/>
  <c r="F93" i="67"/>
  <c r="I93" i="67"/>
  <c r="J93" i="67"/>
  <c r="M93" i="67"/>
  <c r="N93" i="67"/>
  <c r="R93" i="67"/>
  <c r="S93" i="67"/>
  <c r="W93" i="67"/>
  <c r="X93" i="67"/>
  <c r="E94" i="67"/>
  <c r="F94" i="67"/>
  <c r="I94" i="67"/>
  <c r="J94" i="67"/>
  <c r="M94" i="67"/>
  <c r="N94" i="67"/>
  <c r="R94" i="67"/>
  <c r="S94" i="67"/>
  <c r="W94" i="67"/>
  <c r="X94" i="67"/>
  <c r="E95" i="67"/>
  <c r="F95" i="67"/>
  <c r="I95" i="67"/>
  <c r="J95" i="67"/>
  <c r="M95" i="67"/>
  <c r="N95" i="67"/>
  <c r="R95" i="67"/>
  <c r="S95" i="67"/>
  <c r="W95" i="67"/>
  <c r="X95" i="67"/>
  <c r="E96" i="67"/>
  <c r="F96" i="67"/>
  <c r="I96" i="67"/>
  <c r="J96" i="67"/>
  <c r="M96" i="67"/>
  <c r="N96" i="67"/>
  <c r="R96" i="67"/>
  <c r="S96" i="67"/>
  <c r="W96" i="67"/>
  <c r="X96" i="67"/>
  <c r="E97" i="67"/>
  <c r="F97" i="67"/>
  <c r="I97" i="67"/>
  <c r="J97" i="67"/>
  <c r="M97" i="67"/>
  <c r="N97" i="67"/>
  <c r="R97" i="67"/>
  <c r="S97" i="67"/>
  <c r="W97" i="67"/>
  <c r="X97" i="67"/>
  <c r="E98" i="67"/>
  <c r="F98" i="67"/>
  <c r="I98" i="67"/>
  <c r="J98" i="67"/>
  <c r="M98" i="67"/>
  <c r="N98" i="67"/>
  <c r="R98" i="67"/>
  <c r="S98" i="67"/>
  <c r="W98" i="67"/>
  <c r="X98" i="67"/>
  <c r="E99" i="67"/>
  <c r="F99" i="67"/>
  <c r="I99" i="67"/>
  <c r="J99" i="67"/>
  <c r="M99" i="67"/>
  <c r="N99" i="67"/>
  <c r="R99" i="67"/>
  <c r="S99" i="67"/>
  <c r="W99" i="67"/>
  <c r="X99" i="67"/>
  <c r="E100" i="67"/>
  <c r="F100" i="67"/>
  <c r="I100" i="67"/>
  <c r="J100" i="67"/>
  <c r="M100" i="67"/>
  <c r="N100" i="67"/>
  <c r="R100" i="67"/>
  <c r="S100" i="67"/>
  <c r="W100" i="67"/>
  <c r="X100" i="67"/>
  <c r="E101" i="67"/>
  <c r="F101" i="67"/>
  <c r="I101" i="67"/>
  <c r="J101" i="67"/>
  <c r="M101" i="67"/>
  <c r="N101" i="67"/>
  <c r="R101" i="67"/>
  <c r="S101" i="67"/>
  <c r="W101" i="67"/>
  <c r="X101" i="67"/>
  <c r="E102" i="67"/>
  <c r="F102" i="67"/>
  <c r="I102" i="67"/>
  <c r="J102" i="67"/>
  <c r="M102" i="67"/>
  <c r="N102" i="67"/>
  <c r="R102" i="67"/>
  <c r="S102" i="67"/>
  <c r="W102" i="67"/>
  <c r="X102" i="67"/>
  <c r="E103" i="67"/>
  <c r="F103" i="67"/>
  <c r="I103" i="67"/>
  <c r="J103" i="67"/>
  <c r="M103" i="67"/>
  <c r="N103" i="67"/>
  <c r="R103" i="67"/>
  <c r="S103" i="67"/>
  <c r="W103" i="67"/>
  <c r="X103" i="67"/>
  <c r="E104" i="67"/>
  <c r="F104" i="67"/>
  <c r="I104" i="67"/>
  <c r="J104" i="67"/>
  <c r="M104" i="67"/>
  <c r="N104" i="67"/>
  <c r="R104" i="67"/>
  <c r="S104" i="67"/>
  <c r="W104" i="67"/>
  <c r="X104" i="67"/>
  <c r="E105" i="67"/>
  <c r="F105" i="67"/>
  <c r="I105" i="67"/>
  <c r="J105" i="67"/>
  <c r="M105" i="67"/>
  <c r="N105" i="67"/>
  <c r="R105" i="67"/>
  <c r="S105" i="67"/>
  <c r="W105" i="67"/>
  <c r="X105" i="67"/>
  <c r="E106" i="67"/>
  <c r="F106" i="67"/>
  <c r="I106" i="67"/>
  <c r="J106" i="67"/>
  <c r="M106" i="67"/>
  <c r="N106" i="67"/>
  <c r="R106" i="67"/>
  <c r="S106" i="67"/>
  <c r="W106" i="67"/>
  <c r="X106" i="67"/>
  <c r="E107" i="67"/>
  <c r="F107" i="67"/>
  <c r="I107" i="67"/>
  <c r="J107" i="67"/>
  <c r="M107" i="67"/>
  <c r="N107" i="67"/>
  <c r="R107" i="67"/>
  <c r="S107" i="67"/>
  <c r="W107" i="67"/>
  <c r="X107" i="67"/>
  <c r="E108" i="67"/>
  <c r="F108" i="67"/>
  <c r="I108" i="67"/>
  <c r="J108" i="67"/>
  <c r="M108" i="67"/>
  <c r="N108" i="67"/>
  <c r="R108" i="67"/>
  <c r="S108" i="67"/>
  <c r="W108" i="67"/>
  <c r="X108" i="67"/>
  <c r="E109" i="67"/>
  <c r="F109" i="67"/>
  <c r="I109" i="67"/>
  <c r="J109" i="67"/>
  <c r="M109" i="67"/>
  <c r="N109" i="67"/>
  <c r="R109" i="67"/>
  <c r="S109" i="67"/>
  <c r="W109" i="67"/>
  <c r="X109" i="67"/>
  <c r="E110" i="67"/>
  <c r="F110" i="67"/>
  <c r="I110" i="67"/>
  <c r="J110" i="67"/>
  <c r="M110" i="67"/>
  <c r="N110" i="67"/>
  <c r="R110" i="67"/>
  <c r="S110" i="67"/>
  <c r="W110" i="67"/>
  <c r="X110" i="67"/>
  <c r="E111" i="67"/>
  <c r="F111" i="67"/>
  <c r="I111" i="67"/>
  <c r="J111" i="67"/>
  <c r="M111" i="67"/>
  <c r="N111" i="67"/>
  <c r="R111" i="67"/>
  <c r="S111" i="67"/>
  <c r="W111" i="67"/>
  <c r="X111" i="67"/>
  <c r="E112" i="67"/>
  <c r="F112" i="67"/>
  <c r="I112" i="67"/>
  <c r="J112" i="67"/>
  <c r="M112" i="67"/>
  <c r="N112" i="67"/>
  <c r="R112" i="67"/>
  <c r="S112" i="67"/>
  <c r="W112" i="67"/>
  <c r="X112" i="67"/>
  <c r="E113" i="67"/>
  <c r="F113" i="67"/>
  <c r="I113" i="67"/>
  <c r="J113" i="67"/>
  <c r="M113" i="67"/>
  <c r="N113" i="67"/>
  <c r="R113" i="67"/>
  <c r="S113" i="67"/>
  <c r="W113" i="67"/>
  <c r="X113" i="67"/>
  <c r="E114" i="67"/>
  <c r="F114" i="67"/>
  <c r="I114" i="67"/>
  <c r="J114" i="67"/>
  <c r="M114" i="67"/>
  <c r="N114" i="67"/>
  <c r="R114" i="67"/>
  <c r="S114" i="67"/>
  <c r="W114" i="67"/>
  <c r="X114" i="67"/>
  <c r="E115" i="67"/>
  <c r="F115" i="67"/>
  <c r="I115" i="67"/>
  <c r="J115" i="67"/>
  <c r="M115" i="67"/>
  <c r="N115" i="67"/>
  <c r="R115" i="67"/>
  <c r="S115" i="67"/>
  <c r="W115" i="67"/>
  <c r="X115" i="67"/>
  <c r="E116" i="67"/>
  <c r="F116" i="67"/>
  <c r="I116" i="67"/>
  <c r="J116" i="67"/>
  <c r="M116" i="67"/>
  <c r="N116" i="67"/>
  <c r="R116" i="67"/>
  <c r="S116" i="67"/>
  <c r="W116" i="67"/>
  <c r="X116" i="67"/>
  <c r="E117" i="67"/>
  <c r="F117" i="67"/>
  <c r="I117" i="67"/>
  <c r="J117" i="67"/>
  <c r="M117" i="67"/>
  <c r="N117" i="67"/>
  <c r="R117" i="67"/>
  <c r="S117" i="67"/>
  <c r="W117" i="67"/>
  <c r="X117" i="67"/>
  <c r="E118" i="67"/>
  <c r="F118" i="67"/>
  <c r="I118" i="67"/>
  <c r="J118" i="67"/>
  <c r="M118" i="67"/>
  <c r="N118" i="67"/>
  <c r="R118" i="67"/>
  <c r="S118" i="67"/>
  <c r="W118" i="67"/>
  <c r="X118" i="67"/>
  <c r="E119" i="67"/>
  <c r="F119" i="67"/>
  <c r="I119" i="67"/>
  <c r="J119" i="67"/>
  <c r="M119" i="67"/>
  <c r="N119" i="67"/>
  <c r="R119" i="67"/>
  <c r="S119" i="67"/>
  <c r="W119" i="67"/>
  <c r="X119" i="67"/>
  <c r="E120" i="67"/>
  <c r="F120" i="67"/>
  <c r="I120" i="67"/>
  <c r="J120" i="67"/>
  <c r="M120" i="67"/>
  <c r="N120" i="67"/>
  <c r="R120" i="67"/>
  <c r="S120" i="67"/>
  <c r="W120" i="67"/>
  <c r="X120" i="67"/>
  <c r="E121" i="67"/>
  <c r="F121" i="67"/>
  <c r="I121" i="67"/>
  <c r="J121" i="67"/>
  <c r="M121" i="67"/>
  <c r="N121" i="67"/>
  <c r="R121" i="67"/>
  <c r="S121" i="67"/>
  <c r="W121" i="67"/>
  <c r="X121" i="67"/>
  <c r="D11" i="17"/>
  <c r="E11" i="17"/>
  <c r="H11" i="17"/>
  <c r="I11" i="17"/>
  <c r="K11" i="17"/>
  <c r="O11" i="17"/>
  <c r="P11" i="17"/>
  <c r="S11" i="17"/>
  <c r="T11" i="17"/>
  <c r="V11" i="17"/>
  <c r="Z11" i="17"/>
  <c r="AA11" i="17"/>
  <c r="AD11" i="17"/>
  <c r="AE11" i="17"/>
  <c r="AG11" i="17"/>
  <c r="AI11" i="17"/>
  <c r="AM11" i="17"/>
  <c r="AN11" i="17"/>
  <c r="AQ11" i="17"/>
  <c r="AR11" i="17"/>
  <c r="AT11" i="17"/>
  <c r="AX11" i="17"/>
  <c r="AY11" i="17"/>
  <c r="BB11" i="17"/>
  <c r="BC11" i="17"/>
  <c r="BE11" i="17"/>
  <c r="D12" i="17"/>
  <c r="E12" i="17"/>
  <c r="H12" i="17"/>
  <c r="I12" i="17"/>
  <c r="K12" i="17"/>
  <c r="O12" i="17"/>
  <c r="P12" i="17"/>
  <c r="S12" i="17"/>
  <c r="T12" i="17"/>
  <c r="V12" i="17"/>
  <c r="Z12" i="17"/>
  <c r="AA12" i="17"/>
  <c r="AD12" i="17"/>
  <c r="AE12" i="17"/>
  <c r="AG12" i="17"/>
  <c r="AI12" i="17"/>
  <c r="AM12" i="17"/>
  <c r="AN12" i="17"/>
  <c r="AQ12" i="17"/>
  <c r="AR12" i="17"/>
  <c r="AT12" i="17"/>
  <c r="AX12" i="17"/>
  <c r="AY12" i="17"/>
  <c r="BB12" i="17"/>
  <c r="BC12" i="17"/>
  <c r="BE12" i="17"/>
  <c r="D13" i="17"/>
  <c r="E13" i="17"/>
  <c r="H13" i="17"/>
  <c r="I13" i="17"/>
  <c r="K13" i="17"/>
  <c r="O13" i="17"/>
  <c r="P13" i="17"/>
  <c r="S13" i="17"/>
  <c r="T13" i="17"/>
  <c r="V13" i="17"/>
  <c r="Z13" i="17"/>
  <c r="AA13" i="17"/>
  <c r="AD13" i="17"/>
  <c r="AE13" i="17"/>
  <c r="AG13" i="17"/>
  <c r="AI13" i="17"/>
  <c r="AM13" i="17"/>
  <c r="AN13" i="17"/>
  <c r="AQ13" i="17"/>
  <c r="AR13" i="17"/>
  <c r="AT13" i="17"/>
  <c r="AX13" i="17"/>
  <c r="AY13" i="17"/>
  <c r="BB13" i="17"/>
  <c r="BC13" i="17"/>
  <c r="BE13" i="17"/>
  <c r="D14" i="17"/>
  <c r="E14" i="17"/>
  <c r="H14" i="17"/>
  <c r="I14" i="17"/>
  <c r="K14" i="17"/>
  <c r="O14" i="17"/>
  <c r="P14" i="17"/>
  <c r="S14" i="17"/>
  <c r="T14" i="17"/>
  <c r="V14" i="17"/>
  <c r="Z14" i="17"/>
  <c r="AA14" i="17"/>
  <c r="AD14" i="17"/>
  <c r="AE14" i="17"/>
  <c r="AG14" i="17"/>
  <c r="AI14" i="17"/>
  <c r="AM14" i="17"/>
  <c r="AN14" i="17"/>
  <c r="AQ14" i="17"/>
  <c r="AR14" i="17"/>
  <c r="AT14" i="17"/>
  <c r="AX14" i="17"/>
  <c r="AY14" i="17"/>
  <c r="BB14" i="17"/>
  <c r="BC14" i="17"/>
  <c r="BE14" i="17"/>
  <c r="H15" i="17"/>
  <c r="I15" i="17"/>
  <c r="K15" i="17"/>
  <c r="S15" i="17"/>
  <c r="T15" i="17"/>
  <c r="V15" i="17"/>
  <c r="AD15" i="17"/>
  <c r="AE15" i="17"/>
  <c r="AG15" i="17"/>
  <c r="AI15" i="17"/>
  <c r="AQ15" i="17"/>
  <c r="AR15" i="17"/>
  <c r="AT15" i="17"/>
  <c r="BB15" i="17"/>
  <c r="BC15" i="17"/>
  <c r="BE15" i="17"/>
  <c r="H16" i="17"/>
  <c r="I16" i="17"/>
  <c r="K16" i="17"/>
  <c r="S16" i="17"/>
  <c r="T16" i="17"/>
  <c r="V16" i="17"/>
  <c r="AD16" i="17"/>
  <c r="AE16" i="17"/>
  <c r="AG16" i="17"/>
  <c r="AI16" i="17"/>
  <c r="AQ16" i="17"/>
  <c r="AR16" i="17"/>
  <c r="AT16" i="17"/>
  <c r="BB16" i="17"/>
  <c r="BC16" i="17"/>
  <c r="BE16" i="17"/>
  <c r="D53" i="17"/>
  <c r="E53" i="17"/>
  <c r="G53" i="17"/>
  <c r="H53" i="17"/>
  <c r="I53" i="17"/>
  <c r="K53" i="17"/>
  <c r="O53" i="17"/>
  <c r="P53" i="17"/>
  <c r="R53" i="17"/>
  <c r="S53" i="17"/>
  <c r="T53" i="17"/>
  <c r="V53" i="17"/>
  <c r="Z53" i="17"/>
  <c r="AA53" i="17"/>
  <c r="AC53" i="17"/>
  <c r="AD53" i="17"/>
  <c r="AE53" i="17"/>
  <c r="AG53" i="17"/>
  <c r="AI53" i="17"/>
  <c r="AM53" i="17"/>
  <c r="AN53" i="17"/>
  <c r="AP53" i="17"/>
  <c r="AQ53" i="17"/>
  <c r="AR53" i="17"/>
  <c r="AT53" i="17"/>
  <c r="AX53" i="17"/>
  <c r="AY53" i="17"/>
  <c r="BA53" i="17"/>
  <c r="BB53" i="17"/>
  <c r="BC53" i="17"/>
  <c r="BE53" i="17"/>
  <c r="D54" i="17"/>
  <c r="E54" i="17"/>
  <c r="G54" i="17"/>
  <c r="H54" i="17"/>
  <c r="I54" i="17"/>
  <c r="K54" i="17"/>
  <c r="O54" i="17"/>
  <c r="P54" i="17"/>
  <c r="R54" i="17"/>
  <c r="S54" i="17"/>
  <c r="T54" i="17"/>
  <c r="V54" i="17"/>
  <c r="Z54" i="17"/>
  <c r="AA54" i="17"/>
  <c r="AC54" i="17"/>
  <c r="AD54" i="17"/>
  <c r="AE54" i="17"/>
  <c r="AG54" i="17"/>
  <c r="AI54" i="17"/>
  <c r="AM54" i="17"/>
  <c r="AN54" i="17"/>
  <c r="AP54" i="17"/>
  <c r="AQ54" i="17"/>
  <c r="AR54" i="17"/>
  <c r="AT54" i="17"/>
  <c r="AX54" i="17"/>
  <c r="AY54" i="17"/>
  <c r="BA54" i="17"/>
  <c r="BB54" i="17"/>
  <c r="BC54" i="17"/>
  <c r="BE54" i="17"/>
  <c r="D55" i="17"/>
  <c r="E55" i="17"/>
  <c r="G55" i="17"/>
  <c r="H55" i="17"/>
  <c r="I55" i="17"/>
  <c r="K55" i="17"/>
  <c r="O55" i="17"/>
  <c r="P55" i="17"/>
  <c r="R55" i="17"/>
  <c r="S55" i="17"/>
  <c r="T55" i="17"/>
  <c r="V55" i="17"/>
  <c r="Z55" i="17"/>
  <c r="AA55" i="17"/>
  <c r="AC55" i="17"/>
  <c r="AD55" i="17"/>
  <c r="AE55" i="17"/>
  <c r="AG55" i="17"/>
  <c r="AI55" i="17"/>
  <c r="AM55" i="17"/>
  <c r="AN55" i="17"/>
  <c r="AP55" i="17"/>
  <c r="AQ55" i="17"/>
  <c r="AR55" i="17"/>
  <c r="AT55" i="17"/>
  <c r="AX55" i="17"/>
  <c r="AY55" i="17"/>
  <c r="BA55" i="17"/>
  <c r="BB55" i="17"/>
  <c r="BC55" i="17"/>
  <c r="BE55" i="17"/>
  <c r="D56" i="17"/>
  <c r="E56" i="17"/>
  <c r="G56" i="17"/>
  <c r="H56" i="17"/>
  <c r="I56" i="17"/>
  <c r="K56" i="17"/>
  <c r="O56" i="17"/>
  <c r="P56" i="17"/>
  <c r="R56" i="17"/>
  <c r="S56" i="17"/>
  <c r="T56" i="17"/>
  <c r="V56" i="17"/>
  <c r="Z56" i="17"/>
  <c r="AA56" i="17"/>
  <c r="AC56" i="17"/>
  <c r="AD56" i="17"/>
  <c r="AE56" i="17"/>
  <c r="AG56" i="17"/>
  <c r="AI56" i="17"/>
  <c r="AM56" i="17"/>
  <c r="AN56" i="17"/>
  <c r="AP56" i="17"/>
  <c r="AQ56" i="17"/>
  <c r="AR56" i="17"/>
  <c r="AT56" i="17"/>
  <c r="AX56" i="17"/>
  <c r="AY56" i="17"/>
  <c r="BA56" i="17"/>
  <c r="BB56" i="17"/>
  <c r="BC56" i="17"/>
  <c r="BE56" i="17"/>
  <c r="H57" i="17"/>
  <c r="I57" i="17"/>
  <c r="K57" i="17"/>
  <c r="S57" i="17"/>
  <c r="T57" i="17"/>
  <c r="V57" i="17"/>
  <c r="AD57" i="17"/>
  <c r="AE57" i="17"/>
  <c r="AG57" i="17"/>
  <c r="AI57" i="17"/>
  <c r="AQ57" i="17"/>
  <c r="AR57" i="17"/>
  <c r="AT57" i="17"/>
  <c r="BB57" i="17"/>
  <c r="BC57" i="17"/>
  <c r="BE57" i="17"/>
  <c r="H58" i="17"/>
  <c r="I58" i="17"/>
  <c r="K58" i="17"/>
  <c r="S58" i="17"/>
  <c r="T58" i="17"/>
  <c r="V58" i="17"/>
  <c r="AD58" i="17"/>
  <c r="AE58" i="17"/>
  <c r="AG58" i="17"/>
  <c r="AI58" i="17"/>
  <c r="AQ58" i="17"/>
  <c r="AR58" i="17"/>
  <c r="AT58" i="17"/>
  <c r="BB58" i="17"/>
  <c r="BC58" i="17"/>
  <c r="BE58" i="17"/>
  <c r="D74" i="38"/>
  <c r="D75" i="38"/>
  <c r="D76" i="38"/>
  <c r="D77" i="38"/>
  <c r="D78" i="38"/>
  <c r="D79" i="38"/>
  <c r="D80" i="38"/>
  <c r="D81" i="38"/>
  <c r="D82" i="38"/>
  <c r="D83" i="38"/>
  <c r="D84" i="38"/>
  <c r="D85" i="38"/>
  <c r="D86" i="38"/>
  <c r="D87" i="38"/>
  <c r="D88" i="38"/>
  <c r="D89" i="38"/>
  <c r="D90" i="38"/>
  <c r="D91" i="38"/>
  <c r="D92" i="38"/>
  <c r="D93" i="38"/>
  <c r="D94" i="38"/>
  <c r="D95" i="38"/>
  <c r="D96" i="38"/>
  <c r="D97" i="38"/>
  <c r="D98" i="38"/>
  <c r="D99" i="38"/>
  <c r="D100" i="38"/>
  <c r="D101" i="38"/>
  <c r="D102" i="38"/>
  <c r="D103" i="38"/>
  <c r="D104" i="38"/>
  <c r="D105" i="38"/>
  <c r="D106" i="38"/>
  <c r="D107" i="38"/>
  <c r="D108" i="38"/>
  <c r="D109" i="38"/>
  <c r="D110" i="38"/>
  <c r="D111" i="38"/>
  <c r="D112" i="38"/>
  <c r="D113" i="38"/>
  <c r="D114" i="38"/>
  <c r="D115" i="38"/>
  <c r="D116" i="38"/>
  <c r="D117" i="38"/>
  <c r="D118" i="38"/>
  <c r="D119" i="38"/>
  <c r="D120" i="38"/>
  <c r="D121" i="38"/>
  <c r="D74" i="75"/>
  <c r="R74" i="75"/>
  <c r="D75" i="75"/>
  <c r="R75" i="75"/>
  <c r="D76" i="75"/>
  <c r="R76" i="75"/>
  <c r="D77" i="75"/>
  <c r="R77" i="75"/>
  <c r="D78" i="75"/>
  <c r="R78" i="75"/>
  <c r="D79" i="75"/>
  <c r="R79" i="75"/>
  <c r="D80" i="75"/>
  <c r="R80" i="75"/>
  <c r="D81" i="75"/>
  <c r="R81" i="75"/>
  <c r="D82" i="75"/>
  <c r="R82" i="75"/>
  <c r="D83" i="75"/>
  <c r="R83" i="75"/>
  <c r="D84" i="75"/>
  <c r="R84" i="75"/>
  <c r="D85" i="75"/>
  <c r="R85" i="75"/>
  <c r="D86" i="75"/>
  <c r="R86" i="75"/>
  <c r="D87" i="75"/>
  <c r="R87" i="75"/>
  <c r="D88" i="75"/>
  <c r="R88" i="75"/>
  <c r="D89" i="75"/>
  <c r="R89" i="75"/>
  <c r="D90" i="75"/>
  <c r="R90" i="75"/>
  <c r="D91" i="75"/>
  <c r="R91" i="75"/>
  <c r="D92" i="75"/>
  <c r="R92" i="75"/>
  <c r="D93" i="75"/>
  <c r="R93" i="75"/>
  <c r="D94" i="75"/>
  <c r="R94" i="75"/>
  <c r="D95" i="75"/>
  <c r="R95" i="75"/>
  <c r="D96" i="75"/>
  <c r="R96" i="75"/>
  <c r="D97" i="75"/>
  <c r="R97" i="75"/>
  <c r="D98" i="75"/>
  <c r="R98" i="75"/>
  <c r="D99" i="75"/>
  <c r="R99" i="75"/>
  <c r="D100" i="75"/>
  <c r="R100" i="75"/>
  <c r="D101" i="75"/>
  <c r="R101" i="75"/>
  <c r="D102" i="75"/>
  <c r="R102" i="75"/>
  <c r="D103" i="75"/>
  <c r="R103" i="75"/>
  <c r="D104" i="75"/>
  <c r="R104" i="75"/>
  <c r="D105" i="75"/>
  <c r="R105" i="75"/>
  <c r="D106" i="75"/>
  <c r="R106" i="75"/>
  <c r="D107" i="75"/>
  <c r="R107" i="75"/>
  <c r="D108" i="75"/>
  <c r="R108" i="75"/>
  <c r="D109" i="75"/>
  <c r="R109" i="75"/>
  <c r="D110" i="75"/>
  <c r="R110" i="75"/>
  <c r="D111" i="75"/>
  <c r="R111" i="75"/>
  <c r="D112" i="75"/>
  <c r="R112" i="75"/>
  <c r="D113" i="75"/>
  <c r="R113" i="75"/>
  <c r="D114" i="75"/>
  <c r="R114" i="75"/>
  <c r="D115" i="75"/>
  <c r="R115" i="75"/>
  <c r="D116" i="75"/>
  <c r="R116" i="75"/>
  <c r="D117" i="75"/>
  <c r="R117" i="75"/>
  <c r="D118" i="75"/>
  <c r="R118" i="75"/>
  <c r="D119" i="75"/>
  <c r="R119" i="75"/>
  <c r="D120" i="75"/>
  <c r="R120" i="75"/>
  <c r="D121" i="75"/>
  <c r="R121" i="75"/>
  <c r="D74" i="28"/>
  <c r="P74" i="28"/>
  <c r="Q74" i="28"/>
  <c r="D75" i="28"/>
  <c r="P75" i="28"/>
  <c r="Q75" i="28"/>
  <c r="D76" i="28"/>
  <c r="P76" i="28"/>
  <c r="Q76" i="28"/>
  <c r="D77" i="28"/>
  <c r="P77" i="28"/>
  <c r="Q77" i="28"/>
  <c r="D78" i="28"/>
  <c r="P78" i="28"/>
  <c r="Q78" i="28"/>
  <c r="D79" i="28"/>
  <c r="P79" i="28"/>
  <c r="Q79" i="28"/>
  <c r="D80" i="28"/>
  <c r="P80" i="28"/>
  <c r="Q80" i="28"/>
  <c r="D81" i="28"/>
  <c r="P81" i="28"/>
  <c r="Q81" i="28"/>
  <c r="D82" i="28"/>
  <c r="P82" i="28"/>
  <c r="Q82" i="28"/>
  <c r="D83" i="28"/>
  <c r="P83" i="28"/>
  <c r="Q83" i="28"/>
  <c r="D84" i="28"/>
  <c r="P84" i="28"/>
  <c r="Q84" i="28"/>
  <c r="D85" i="28"/>
  <c r="P85" i="28"/>
  <c r="Q85" i="28"/>
  <c r="D86" i="28"/>
  <c r="P86" i="28"/>
  <c r="Q86" i="28"/>
  <c r="D87" i="28"/>
  <c r="P87" i="28"/>
  <c r="Q87" i="28"/>
  <c r="D88" i="28"/>
  <c r="P88" i="28"/>
  <c r="Q88" i="28"/>
  <c r="D89" i="28"/>
  <c r="P89" i="28"/>
  <c r="Q89" i="28"/>
  <c r="D90" i="28"/>
  <c r="P90" i="28"/>
  <c r="Q90" i="28"/>
  <c r="D91" i="28"/>
  <c r="P91" i="28"/>
  <c r="Q91" i="28"/>
  <c r="D92" i="28"/>
  <c r="P92" i="28"/>
  <c r="Q92" i="28"/>
  <c r="D93" i="28"/>
  <c r="P93" i="28"/>
  <c r="Q93" i="28"/>
  <c r="D94" i="28"/>
  <c r="P94" i="28"/>
  <c r="Q94" i="28"/>
  <c r="D95" i="28"/>
  <c r="P95" i="28"/>
  <c r="Q95" i="28"/>
  <c r="D96" i="28"/>
  <c r="P96" i="28"/>
  <c r="Q96" i="28"/>
  <c r="D97" i="28"/>
  <c r="P97" i="28"/>
  <c r="Q97" i="28"/>
  <c r="D98" i="28"/>
  <c r="P98" i="28"/>
  <c r="Q98" i="28"/>
  <c r="D99" i="28"/>
  <c r="P99" i="28"/>
  <c r="Q99" i="28"/>
  <c r="D100" i="28"/>
  <c r="P100" i="28"/>
  <c r="Q100" i="28"/>
  <c r="D101" i="28"/>
  <c r="P101" i="28"/>
  <c r="Q101" i="28"/>
  <c r="D102" i="28"/>
  <c r="P102" i="28"/>
  <c r="Q102" i="28"/>
  <c r="D103" i="28"/>
  <c r="P103" i="28"/>
  <c r="Q103" i="28"/>
  <c r="D104" i="28"/>
  <c r="P104" i="28"/>
  <c r="Q104" i="28"/>
  <c r="D105" i="28"/>
  <c r="P105" i="28"/>
  <c r="Q105" i="28"/>
  <c r="D106" i="28"/>
  <c r="P106" i="28"/>
  <c r="Q106" i="28"/>
  <c r="D107" i="28"/>
  <c r="P107" i="28"/>
  <c r="Q107" i="28"/>
  <c r="D108" i="28"/>
  <c r="P108" i="28"/>
  <c r="Q108" i="28"/>
  <c r="D109" i="28"/>
  <c r="P109" i="28"/>
  <c r="Q109" i="28"/>
  <c r="D110" i="28"/>
  <c r="P110" i="28"/>
  <c r="Q110" i="28"/>
  <c r="D111" i="28"/>
  <c r="P111" i="28"/>
  <c r="Q111" i="28"/>
  <c r="D112" i="28"/>
  <c r="P112" i="28"/>
  <c r="Q112" i="28"/>
  <c r="D113" i="28"/>
  <c r="P113" i="28"/>
  <c r="Q113" i="28"/>
  <c r="D114" i="28"/>
  <c r="P114" i="28"/>
  <c r="Q114" i="28"/>
  <c r="D115" i="28"/>
  <c r="P115" i="28"/>
  <c r="Q115" i="28"/>
  <c r="D116" i="28"/>
  <c r="P116" i="28"/>
  <c r="Q116" i="28"/>
  <c r="D117" i="28"/>
  <c r="P117" i="28"/>
  <c r="Q117" i="28"/>
  <c r="D118" i="28"/>
  <c r="P118" i="28"/>
  <c r="Q118" i="28"/>
  <c r="D119" i="28"/>
  <c r="P119" i="28"/>
  <c r="Q119" i="28"/>
  <c r="D120" i="28"/>
  <c r="P120" i="28"/>
  <c r="Q120" i="28"/>
  <c r="D121" i="28"/>
  <c r="P121" i="28"/>
  <c r="Q121" i="28"/>
  <c r="Q122" i="28"/>
  <c r="M3" i="25"/>
  <c r="N3" i="25"/>
  <c r="O3" i="25"/>
  <c r="M4" i="25"/>
  <c r="N4" i="25"/>
  <c r="O4" i="25"/>
  <c r="W4" i="25"/>
  <c r="X4" i="25"/>
  <c r="M5" i="25"/>
  <c r="N5" i="25"/>
  <c r="O5" i="25"/>
  <c r="W5" i="25"/>
  <c r="X5" i="25"/>
  <c r="M6" i="25"/>
  <c r="N6" i="25"/>
  <c r="O6" i="25"/>
  <c r="W6" i="25"/>
  <c r="X6" i="25"/>
  <c r="M7" i="25"/>
  <c r="N7" i="25"/>
  <c r="O7" i="25"/>
  <c r="W7" i="25"/>
  <c r="X7" i="25"/>
  <c r="W8" i="25"/>
  <c r="X8" i="25"/>
  <c r="M11" i="25"/>
  <c r="N11" i="25"/>
  <c r="O11" i="25"/>
  <c r="W12" i="25"/>
  <c r="X12" i="25"/>
  <c r="C15" i="25"/>
  <c r="D15" i="25"/>
  <c r="E15" i="25"/>
  <c r="H15" i="25"/>
  <c r="C16" i="25"/>
  <c r="D16" i="25"/>
  <c r="E16" i="25"/>
  <c r="H16" i="25"/>
  <c r="C17" i="25"/>
  <c r="D17" i="25"/>
  <c r="E17" i="25"/>
  <c r="H17" i="25"/>
  <c r="C18" i="25"/>
  <c r="D18" i="25"/>
  <c r="E18" i="25"/>
  <c r="H18" i="25"/>
  <c r="C19" i="25"/>
  <c r="D19" i="25"/>
  <c r="E19" i="25"/>
  <c r="H19" i="25"/>
  <c r="C23" i="25"/>
  <c r="D23" i="25"/>
  <c r="E23" i="25"/>
  <c r="H23" i="25"/>
  <c r="M27" i="25"/>
  <c r="N27" i="25"/>
  <c r="O27" i="25"/>
  <c r="M28" i="25"/>
  <c r="N28" i="25"/>
  <c r="O28" i="25"/>
  <c r="M29" i="25"/>
  <c r="N29" i="25"/>
  <c r="O29" i="25"/>
  <c r="M32" i="25"/>
  <c r="N32" i="25"/>
  <c r="O32" i="25"/>
  <c r="C36" i="25"/>
  <c r="D36" i="25"/>
  <c r="E36" i="25"/>
  <c r="C37" i="25"/>
  <c r="D37" i="25"/>
  <c r="E37" i="25"/>
  <c r="C38" i="25"/>
  <c r="D38" i="25"/>
  <c r="E38" i="25"/>
  <c r="C41" i="25"/>
  <c r="D41" i="25"/>
  <c r="E41" i="25"/>
  <c r="C57" i="25"/>
  <c r="C58" i="25"/>
  <c r="C59" i="25"/>
  <c r="D59" i="25"/>
  <c r="C60" i="25"/>
  <c r="D60" i="25"/>
  <c r="C61" i="25"/>
  <c r="D61" i="25"/>
  <c r="C65" i="25"/>
  <c r="D65" i="25"/>
  <c r="I3" i="74"/>
  <c r="J3" i="74"/>
  <c r="K3" i="74"/>
  <c r="L3" i="74"/>
  <c r="M3" i="74"/>
  <c r="N3" i="74"/>
  <c r="I4" i="74"/>
  <c r="J4" i="74"/>
  <c r="K4" i="74"/>
  <c r="L4" i="74"/>
  <c r="M4" i="74"/>
  <c r="N4" i="74"/>
  <c r="I5" i="74"/>
  <c r="J5" i="74"/>
  <c r="K5" i="74"/>
  <c r="L5" i="74"/>
  <c r="M5" i="74"/>
  <c r="N5" i="74"/>
  <c r="I6" i="74"/>
  <c r="J6" i="74"/>
  <c r="K6" i="74"/>
  <c r="L6" i="74"/>
  <c r="M6" i="74"/>
  <c r="N6" i="74"/>
  <c r="I7" i="74"/>
  <c r="J7" i="74"/>
  <c r="K7" i="74"/>
  <c r="L7" i="74"/>
  <c r="M7" i="74"/>
  <c r="N7" i="74"/>
  <c r="I11" i="74"/>
  <c r="J11" i="74"/>
  <c r="K11" i="74"/>
  <c r="L11" i="74"/>
  <c r="M11" i="74"/>
  <c r="N11" i="74"/>
  <c r="C15" i="74"/>
  <c r="D15" i="74"/>
  <c r="E15" i="74"/>
  <c r="C16" i="74"/>
  <c r="D16" i="74"/>
  <c r="E16" i="74"/>
  <c r="C17" i="74"/>
  <c r="D17" i="74"/>
  <c r="E17" i="74"/>
  <c r="C18" i="74"/>
  <c r="D18" i="74"/>
  <c r="E18" i="74"/>
  <c r="C19" i="74"/>
  <c r="D19" i="74"/>
  <c r="E19" i="74"/>
  <c r="C23" i="74"/>
  <c r="D23" i="74"/>
  <c r="E23" i="74"/>
  <c r="I27" i="74"/>
  <c r="J27" i="74"/>
  <c r="K27" i="74"/>
  <c r="L27" i="74"/>
  <c r="M27" i="74"/>
  <c r="N27" i="74"/>
  <c r="I28" i="74"/>
  <c r="J28" i="74"/>
  <c r="K28" i="74"/>
  <c r="L28" i="74"/>
  <c r="M28" i="74"/>
  <c r="N28" i="74"/>
  <c r="I29" i="74"/>
  <c r="J29" i="74"/>
  <c r="K29" i="74"/>
  <c r="L29" i="74"/>
  <c r="M29" i="74"/>
  <c r="N29" i="74"/>
  <c r="I32" i="74"/>
  <c r="J32" i="74"/>
  <c r="K32" i="74"/>
  <c r="L32" i="74"/>
  <c r="M32" i="74"/>
  <c r="N32" i="74"/>
  <c r="C36" i="74"/>
  <c r="D36" i="74"/>
  <c r="E36" i="74"/>
  <c r="C37" i="74"/>
  <c r="D37" i="74"/>
  <c r="E37" i="74"/>
  <c r="C38" i="74"/>
  <c r="D38" i="74"/>
  <c r="E38" i="74"/>
  <c r="C41" i="74"/>
  <c r="D41" i="74"/>
  <c r="E41" i="74"/>
  <c r="C57" i="74"/>
  <c r="C58" i="74"/>
  <c r="C59" i="74"/>
  <c r="D59" i="74"/>
  <c r="C60" i="74"/>
  <c r="D60" i="74"/>
  <c r="C61" i="74"/>
  <c r="D61" i="74"/>
  <c r="C65" i="74"/>
  <c r="D65" i="74"/>
  <c r="DP74" i="4"/>
  <c r="DQ74" i="4"/>
  <c r="DR74" i="4"/>
  <c r="DS74" i="4"/>
  <c r="ER74" i="4"/>
  <c r="ES74" i="4"/>
  <c r="ET74" i="4"/>
  <c r="DP75" i="4"/>
  <c r="DQ75" i="4"/>
  <c r="DR75" i="4"/>
  <c r="DS75" i="4"/>
  <c r="ER75" i="4"/>
  <c r="ES75" i="4"/>
  <c r="ET75" i="4"/>
  <c r="DP76" i="4"/>
  <c r="DQ76" i="4"/>
  <c r="DR76" i="4"/>
  <c r="DS76" i="4"/>
  <c r="ER76" i="4"/>
  <c r="ES76" i="4"/>
  <c r="ET76" i="4"/>
  <c r="DP77" i="4"/>
  <c r="DQ77" i="4"/>
  <c r="DR77" i="4"/>
  <c r="DS77" i="4"/>
  <c r="ER77" i="4"/>
  <c r="ES77" i="4"/>
  <c r="ET77" i="4"/>
  <c r="DP78" i="4"/>
  <c r="DQ78" i="4"/>
  <c r="DR78" i="4"/>
  <c r="DS78" i="4"/>
  <c r="ER78" i="4"/>
  <c r="ES78" i="4"/>
  <c r="ET78" i="4"/>
  <c r="DP79" i="4"/>
  <c r="DQ79" i="4"/>
  <c r="DR79" i="4"/>
  <c r="DS79" i="4"/>
  <c r="ER79" i="4"/>
  <c r="ES79" i="4"/>
  <c r="ET79" i="4"/>
  <c r="DP80" i="4"/>
  <c r="DQ80" i="4"/>
  <c r="DR80" i="4"/>
  <c r="DS80" i="4"/>
  <c r="ER80" i="4"/>
  <c r="ES80" i="4"/>
  <c r="ET80" i="4"/>
  <c r="DP81" i="4"/>
  <c r="DQ81" i="4"/>
  <c r="DR81" i="4"/>
  <c r="DS81" i="4"/>
  <c r="ER81" i="4"/>
  <c r="ES81" i="4"/>
  <c r="ET81" i="4"/>
  <c r="DP82" i="4"/>
  <c r="DQ82" i="4"/>
  <c r="DR82" i="4"/>
  <c r="DS82" i="4"/>
  <c r="ER82" i="4"/>
  <c r="ES82" i="4"/>
  <c r="ET82" i="4"/>
  <c r="DP83" i="4"/>
  <c r="DQ83" i="4"/>
  <c r="DR83" i="4"/>
  <c r="DS83" i="4"/>
  <c r="ER83" i="4"/>
  <c r="ES83" i="4"/>
  <c r="ET83" i="4"/>
  <c r="DP84" i="4"/>
  <c r="DQ84" i="4"/>
  <c r="DR84" i="4"/>
  <c r="DS84" i="4"/>
  <c r="ER84" i="4"/>
  <c r="ES84" i="4"/>
  <c r="ET84" i="4"/>
  <c r="DP85" i="4"/>
  <c r="DQ85" i="4"/>
  <c r="DR85" i="4"/>
  <c r="DS85" i="4"/>
  <c r="ER85" i="4"/>
  <c r="ES85" i="4"/>
  <c r="ET85" i="4"/>
  <c r="DP86" i="4"/>
  <c r="DQ86" i="4"/>
  <c r="DR86" i="4"/>
  <c r="DS86" i="4"/>
  <c r="ER86" i="4"/>
  <c r="ES86" i="4"/>
  <c r="ET86" i="4"/>
  <c r="DP87" i="4"/>
  <c r="DQ87" i="4"/>
  <c r="DR87" i="4"/>
  <c r="DS87" i="4"/>
  <c r="ER87" i="4"/>
  <c r="ES87" i="4"/>
  <c r="ET87" i="4"/>
  <c r="DP88" i="4"/>
  <c r="DQ88" i="4"/>
  <c r="DR88" i="4"/>
  <c r="DS88" i="4"/>
  <c r="ER88" i="4"/>
  <c r="ES88" i="4"/>
  <c r="ET88" i="4"/>
  <c r="DP89" i="4"/>
  <c r="DQ89" i="4"/>
  <c r="DR89" i="4"/>
  <c r="DS89" i="4"/>
  <c r="ER89" i="4"/>
  <c r="ES89" i="4"/>
  <c r="ET89" i="4"/>
  <c r="DP90" i="4"/>
  <c r="DQ90" i="4"/>
  <c r="DR90" i="4"/>
  <c r="DS90" i="4"/>
  <c r="ER90" i="4"/>
  <c r="ES90" i="4"/>
  <c r="ET90" i="4"/>
  <c r="DP91" i="4"/>
  <c r="DQ91" i="4"/>
  <c r="DR91" i="4"/>
  <c r="DS91" i="4"/>
  <c r="ER91" i="4"/>
  <c r="ES91" i="4"/>
  <c r="ET91" i="4"/>
  <c r="DP92" i="4"/>
  <c r="DQ92" i="4"/>
  <c r="DR92" i="4"/>
  <c r="DS92" i="4"/>
  <c r="ER92" i="4"/>
  <c r="ES92" i="4"/>
  <c r="ET92" i="4"/>
  <c r="DP93" i="4"/>
  <c r="DQ93" i="4"/>
  <c r="DR93" i="4"/>
  <c r="DS93" i="4"/>
  <c r="ER93" i="4"/>
  <c r="ES93" i="4"/>
  <c r="ET93" i="4"/>
  <c r="DP94" i="4"/>
  <c r="DQ94" i="4"/>
  <c r="DR94" i="4"/>
  <c r="DS94" i="4"/>
  <c r="ER94" i="4"/>
  <c r="ES94" i="4"/>
  <c r="ET94" i="4"/>
  <c r="DP95" i="4"/>
  <c r="DQ95" i="4"/>
  <c r="DR95" i="4"/>
  <c r="DS95" i="4"/>
  <c r="ER95" i="4"/>
  <c r="ES95" i="4"/>
  <c r="ET95" i="4"/>
  <c r="DP96" i="4"/>
  <c r="DQ96" i="4"/>
  <c r="DR96" i="4"/>
  <c r="DS96" i="4"/>
  <c r="ER96" i="4"/>
  <c r="ES96" i="4"/>
  <c r="ET96" i="4"/>
  <c r="DP97" i="4"/>
  <c r="DQ97" i="4"/>
  <c r="DR97" i="4"/>
  <c r="DS97" i="4"/>
  <c r="ER97" i="4"/>
  <c r="ES97" i="4"/>
  <c r="ET97" i="4"/>
  <c r="DP98" i="4"/>
  <c r="DQ98" i="4"/>
  <c r="DR98" i="4"/>
  <c r="DS98" i="4"/>
  <c r="ER98" i="4"/>
  <c r="ES98" i="4"/>
  <c r="ET98" i="4"/>
  <c r="DP99" i="4"/>
  <c r="DQ99" i="4"/>
  <c r="DR99" i="4"/>
  <c r="DS99" i="4"/>
  <c r="ER99" i="4"/>
  <c r="ES99" i="4"/>
  <c r="ET99" i="4"/>
  <c r="DP100" i="4"/>
  <c r="DQ100" i="4"/>
  <c r="DR100" i="4"/>
  <c r="DS100" i="4"/>
  <c r="ER100" i="4"/>
  <c r="ES100" i="4"/>
  <c r="ET100" i="4"/>
  <c r="DP101" i="4"/>
  <c r="DQ101" i="4"/>
  <c r="DR101" i="4"/>
  <c r="DS101" i="4"/>
  <c r="ER101" i="4"/>
  <c r="ES101" i="4"/>
  <c r="ET101" i="4"/>
  <c r="DP102" i="4"/>
  <c r="DQ102" i="4"/>
  <c r="DR102" i="4"/>
  <c r="DS102" i="4"/>
  <c r="ER102" i="4"/>
  <c r="ES102" i="4"/>
  <c r="ET102" i="4"/>
  <c r="DP103" i="4"/>
  <c r="DQ103" i="4"/>
  <c r="DR103" i="4"/>
  <c r="DS103" i="4"/>
  <c r="ER103" i="4"/>
  <c r="ES103" i="4"/>
  <c r="ET103" i="4"/>
  <c r="DP104" i="4"/>
  <c r="DQ104" i="4"/>
  <c r="DR104" i="4"/>
  <c r="DS104" i="4"/>
  <c r="ER104" i="4"/>
  <c r="ES104" i="4"/>
  <c r="ET104" i="4"/>
  <c r="DP105" i="4"/>
  <c r="DQ105" i="4"/>
  <c r="DR105" i="4"/>
  <c r="DS105" i="4"/>
  <c r="ER105" i="4"/>
  <c r="ES105" i="4"/>
  <c r="ET105" i="4"/>
  <c r="DP106" i="4"/>
  <c r="DQ106" i="4"/>
  <c r="DR106" i="4"/>
  <c r="DS106" i="4"/>
  <c r="ER106" i="4"/>
  <c r="ES106" i="4"/>
  <c r="ET106" i="4"/>
  <c r="DP107" i="4"/>
  <c r="DQ107" i="4"/>
  <c r="DR107" i="4"/>
  <c r="DS107" i="4"/>
  <c r="ER107" i="4"/>
  <c r="ES107" i="4"/>
  <c r="ET107" i="4"/>
  <c r="DP108" i="4"/>
  <c r="DQ108" i="4"/>
  <c r="DR108" i="4"/>
  <c r="DS108" i="4"/>
  <c r="ER108" i="4"/>
  <c r="ES108" i="4"/>
  <c r="ET108" i="4"/>
  <c r="DP109" i="4"/>
  <c r="DQ109" i="4"/>
  <c r="DR109" i="4"/>
  <c r="DS109" i="4"/>
  <c r="ER109" i="4"/>
  <c r="ES109" i="4"/>
  <c r="ET109" i="4"/>
  <c r="DP110" i="4"/>
  <c r="DQ110" i="4"/>
  <c r="DR110" i="4"/>
  <c r="DS110" i="4"/>
  <c r="ER110" i="4"/>
  <c r="ES110" i="4"/>
  <c r="ET110" i="4"/>
  <c r="DP111" i="4"/>
  <c r="DQ111" i="4"/>
  <c r="DR111" i="4"/>
  <c r="DS111" i="4"/>
  <c r="ER111" i="4"/>
  <c r="ES111" i="4"/>
  <c r="ET111" i="4"/>
  <c r="DP112" i="4"/>
  <c r="DQ112" i="4"/>
  <c r="DR112" i="4"/>
  <c r="DS112" i="4"/>
  <c r="ER112" i="4"/>
  <c r="ES112" i="4"/>
  <c r="ET112" i="4"/>
  <c r="DP113" i="4"/>
  <c r="DQ113" i="4"/>
  <c r="DR113" i="4"/>
  <c r="DS113" i="4"/>
  <c r="ER113" i="4"/>
  <c r="ES113" i="4"/>
  <c r="ET113" i="4"/>
  <c r="DP114" i="4"/>
  <c r="DQ114" i="4"/>
  <c r="DR114" i="4"/>
  <c r="DS114" i="4"/>
  <c r="ER114" i="4"/>
  <c r="ES114" i="4"/>
  <c r="ET114" i="4"/>
  <c r="DP115" i="4"/>
  <c r="DQ115" i="4"/>
  <c r="DR115" i="4"/>
  <c r="DS115" i="4"/>
  <c r="ER115" i="4"/>
  <c r="ES115" i="4"/>
  <c r="ET115" i="4"/>
  <c r="DP116" i="4"/>
  <c r="DQ116" i="4"/>
  <c r="DR116" i="4"/>
  <c r="DS116" i="4"/>
  <c r="ER116" i="4"/>
  <c r="ES116" i="4"/>
  <c r="ET116" i="4"/>
  <c r="DP117" i="4"/>
  <c r="DQ117" i="4"/>
  <c r="DR117" i="4"/>
  <c r="DS117" i="4"/>
  <c r="ER117" i="4"/>
  <c r="ES117" i="4"/>
  <c r="ET117" i="4"/>
  <c r="DP118" i="4"/>
  <c r="DQ118" i="4"/>
  <c r="DR118" i="4"/>
  <c r="DS118" i="4"/>
  <c r="ER118" i="4"/>
  <c r="ES118" i="4"/>
  <c r="ET118" i="4"/>
  <c r="DP119" i="4"/>
  <c r="DQ119" i="4"/>
  <c r="DR119" i="4"/>
  <c r="DS119" i="4"/>
  <c r="ER119" i="4"/>
  <c r="ES119" i="4"/>
  <c r="ET119" i="4"/>
  <c r="DP120" i="4"/>
  <c r="DQ120" i="4"/>
  <c r="DR120" i="4"/>
  <c r="DS120" i="4"/>
  <c r="ER120" i="4"/>
  <c r="ES120" i="4"/>
  <c r="ET120" i="4"/>
  <c r="DP121" i="4"/>
  <c r="DQ121" i="4"/>
  <c r="DR121" i="4"/>
  <c r="DS121" i="4"/>
  <c r="ER121" i="4"/>
  <c r="ES121" i="4"/>
  <c r="ET121" i="4"/>
</calcChain>
</file>

<file path=xl/sharedStrings.xml><?xml version="1.0" encoding="utf-8"?>
<sst xmlns="http://schemas.openxmlformats.org/spreadsheetml/2006/main" count="2289" uniqueCount="583">
  <si>
    <t>Date</t>
  </si>
  <si>
    <t>Year</t>
  </si>
  <si>
    <t>Month</t>
  </si>
  <si>
    <t>Residential_kWh</t>
  </si>
  <si>
    <t>Res_CDM</t>
  </si>
  <si>
    <t>Res_NoCDM</t>
  </si>
  <si>
    <t>Residential_Customers</t>
  </si>
  <si>
    <t>GS_lt_50_kWh</t>
  </si>
  <si>
    <t>GS_lt_50_CDM</t>
  </si>
  <si>
    <t>GS_lt_50_NoCDM</t>
  </si>
  <si>
    <t>GS_lt_50_Customers</t>
  </si>
  <si>
    <t>GS_50_999_kWh</t>
  </si>
  <si>
    <t>GS_50_999_CDM</t>
  </si>
  <si>
    <t>GS_50_999_NoCDM</t>
  </si>
  <si>
    <t>GS_50_999_kW</t>
  </si>
  <si>
    <t>GS_50_999_Customers</t>
  </si>
  <si>
    <t>GS_1000_4999_kWh</t>
  </si>
  <si>
    <t>GS_1000_4999_CDM</t>
  </si>
  <si>
    <t>GS_1000_4999_NoCDM</t>
  </si>
  <si>
    <t>GS_1000_4999_kW</t>
  </si>
  <si>
    <t>GS_1000_4999_Customers</t>
  </si>
  <si>
    <t>GS_LU_kWh</t>
  </si>
  <si>
    <t>GS_LU_CDM</t>
  </si>
  <si>
    <t>GS_LU_NoCDM</t>
  </si>
  <si>
    <t>GS_LU_kW</t>
  </si>
  <si>
    <t>GS_LU_Customers</t>
  </si>
  <si>
    <t>Streetlights_kWh</t>
  </si>
  <si>
    <t>Streetlights_kW</t>
  </si>
  <si>
    <t>Streetlights_Connections</t>
  </si>
  <si>
    <t>SentinelLights_kWh</t>
  </si>
  <si>
    <t>SentinelLights_kW</t>
  </si>
  <si>
    <t>SentinelLights_Connections</t>
  </si>
  <si>
    <t>USL_kWh</t>
  </si>
  <si>
    <t>USL Connections</t>
  </si>
  <si>
    <t>ON GDP</t>
  </si>
  <si>
    <t>ON Services GDP</t>
  </si>
  <si>
    <t>ON Prof Services GDP</t>
  </si>
  <si>
    <t>OEA_GDP</t>
  </si>
  <si>
    <t>OEA_Services</t>
  </si>
  <si>
    <t>OEA_Transport&amp;WH</t>
  </si>
  <si>
    <t>Ont_FTEAdj</t>
  </si>
  <si>
    <t>Ont_FTE</t>
  </si>
  <si>
    <t>Osh_FTEAdj</t>
  </si>
  <si>
    <t>Osh_FTE</t>
  </si>
  <si>
    <t>Ont_FTEAdjChange</t>
  </si>
  <si>
    <t>Ont_FTEChange</t>
  </si>
  <si>
    <t>Osh_FTEAdjChange</t>
  </si>
  <si>
    <t>Osh_FTEChange</t>
  </si>
  <si>
    <t>ON GDPChange</t>
  </si>
  <si>
    <t>OEA_GDPChange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</si>
  <si>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</si>
  <si>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</si>
  <si>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</si>
  <si>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</si>
  <si>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</si>
  <si>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</si>
  <si>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</si>
  <si>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</si>
  <si>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</si>
  <si>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</si>
  <si>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</si>
  <si>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</si>
  <si>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</si>
  <si>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</si>
  <si>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</si>
  <si>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</si>
  <si>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</si>
  <si>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</si>
  <si>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</si>
  <si>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</si>
  <si>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</si>
  <si>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</si>
  <si>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</si>
  <si>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</si>
  <si>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</si>
  <si>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</si>
  <si>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</si>
  <si>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</si>
  <si>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</si>
  <si>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</si>
  <si>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</si>
  <si>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</si>
  <si>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</si>
  <si>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COVID</t>
  </si>
  <si>
    <t>COVID_AM</t>
  </si>
  <si>
    <t>COVID_WFH</t>
  </si>
  <si>
    <t>COVID2020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</si>
  <si>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</si>
  <si>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</si>
  <si>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</si>
  <si>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</si>
  <si>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</si>
  <si>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</si>
  <si>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</si>
  <si>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</si>
  <si>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</si>
  <si>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</si>
  <si>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</si>
  <si>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</si>
  <si>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</si>
  <si>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</si>
  <si>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</si>
  <si>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</si>
  <si>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</si>
  <si>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</si>
  <si>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</si>
  <si>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</si>
  <si>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</si>
  <si>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</si>
  <si>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</si>
  <si>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</si>
  <si>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</si>
  <si>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</si>
  <si>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</si>
  <si>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</si>
  <si>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Large Use</t>
  </si>
  <si>
    <t>Street Lighting</t>
  </si>
  <si>
    <t>Sentinel Lights</t>
  </si>
  <si>
    <t>StatsCan 14-10-0380-01</t>
  </si>
  <si>
    <t>StatsCan 36-10-0402-01</t>
  </si>
  <si>
    <t>Ontario Economic Accounts Table 15</t>
  </si>
  <si>
    <t>Change</t>
  </si>
  <si>
    <t>Q1</t>
  </si>
  <si>
    <t>Latest Figures as of Mar. 6, 2025</t>
  </si>
  <si>
    <t>Other</t>
  </si>
  <si>
    <t>Q2</t>
  </si>
  <si>
    <t>BMO</t>
  </si>
  <si>
    <t>RBC</t>
  </si>
  <si>
    <t>Scotia</t>
  </si>
  <si>
    <t>TD</t>
  </si>
  <si>
    <t>ON Budget</t>
  </si>
  <si>
    <t>Average Used</t>
  </si>
  <si>
    <t>Q3</t>
  </si>
  <si>
    <t>GDP</t>
  </si>
  <si>
    <t>Q4</t>
  </si>
  <si>
    <t>FTE</t>
  </si>
  <si>
    <t>https://economics.bmo.com/media/filer_public/be/26/be2604e3-f895-46d7-b550-dac9aab2558e/outlookprovincial.pdf</t>
  </si>
  <si>
    <t>https://thoughtleadership.rbc.com/wp-content/uploads/Provincial-Forecast-Tables-Q1-2025.pdf</t>
  </si>
  <si>
    <t>https://www.scotiabank.com/ca/en/about/economics/economics-publications/post.other-publications.global-outlook-and-forecast-tables.scotiabank%27s-forecast-tables.2025.march-18--2025.html</t>
  </si>
  <si>
    <t>https://economics.td.com/provincial-economic-forecast#on</t>
  </si>
  <si>
    <t>https://budget.ontario.ca/2024/chapter-2.html#:~:text=Private%2Dsector%20forecasters%2C%20on%20average,forecast%20since%20the%202023%20Budget.</t>
  </si>
  <si>
    <t>GDP Avg. of Conference Board of Canada, Quantitative Economic Decisions, Stokes Economics, TD Bank Group, and University of Toronto</t>
  </si>
  <si>
    <t>June</t>
  </si>
  <si>
    <t>July</t>
  </si>
  <si>
    <t>August</t>
  </si>
  <si>
    <t>Model 7: Prais-Winsten, using observations 2015:01-2024:11 (T = 119)</t>
  </si>
  <si>
    <t>Dependent variable: Res_NoCDM</t>
  </si>
  <si>
    <t>rho = 0.267261</t>
  </si>
  <si>
    <t>coefficient</t>
  </si>
  <si>
    <t>std. error</t>
  </si>
  <si>
    <t>t-ratio</t>
  </si>
  <si>
    <t>p-value</t>
  </si>
  <si>
    <t>const</t>
  </si>
  <si>
    <t>Statistics based on the rho-differenced data</t>
  </si>
  <si>
    <t>Sum squared resid</t>
  </si>
  <si>
    <t>S.E. of regression</t>
  </si>
  <si>
    <t>R-squared</t>
  </si>
  <si>
    <t>Adjusted R-squared</t>
  </si>
  <si>
    <t>F(2, 116)</t>
  </si>
  <si>
    <t>P-value(F)</t>
  </si>
  <si>
    <t>rho</t>
  </si>
  <si>
    <t>Durbin-Watson</t>
  </si>
  <si>
    <t>Statistics based on the original data</t>
  </si>
  <si>
    <t>Mean dependent var</t>
  </si>
  <si>
    <t>S.D. dependent var</t>
  </si>
  <si>
    <t>10 Year Average</t>
  </si>
  <si>
    <t>Model 13: Prais-Winsten, using observations 2015:01-2024:11 (T = 119)</t>
  </si>
  <si>
    <t>Dependent variable: GS_lt_50_NoCDM</t>
  </si>
  <si>
    <t>Oshawa</t>
  </si>
  <si>
    <t>January</t>
  </si>
  <si>
    <t>rho = 0.527422</t>
  </si>
  <si>
    <t>February</t>
  </si>
  <si>
    <t>March</t>
  </si>
  <si>
    <t>April</t>
  </si>
  <si>
    <t>September</t>
  </si>
  <si>
    <t>October</t>
  </si>
  <si>
    <t>November</t>
  </si>
  <si>
    <t>December</t>
  </si>
  <si>
    <t>Model 18: Prais-Winsten, using observations 2015:01-2024:11 (T = 119)</t>
  </si>
  <si>
    <t>Dependent variable: GS_50_999_NoCDM</t>
  </si>
  <si>
    <t>rho = -0.411061</t>
  </si>
  <si>
    <t>Model 23: Prais-Winsten, using observations 2015:01-2024:11 (T = 119)</t>
  </si>
  <si>
    <t>Dependent variable: GS_1000_4999_NoCDM</t>
  </si>
  <si>
    <t>rho = 0.364061</t>
  </si>
  <si>
    <t>Model 28: Prais-Winsten, using observations 2015:01-2024:11 (T = 119)</t>
  </si>
  <si>
    <t>Dependent variable: GS_LU_NoCDM</t>
  </si>
  <si>
    <t>rho = 0.794319</t>
  </si>
  <si>
    <t>Implementation Year</t>
  </si>
  <si>
    <t>Savings Year</t>
  </si>
  <si>
    <t>Residential</t>
  </si>
  <si>
    <t>GS&lt;50 kW</t>
  </si>
  <si>
    <t>GS 50 to 999 kW (I1 &amp; I4)</t>
  </si>
  <si>
    <t>GS 1,000 to 4,999 kW (I2)</t>
  </si>
  <si>
    <t>Large Use (I3)</t>
  </si>
  <si>
    <t>USL</t>
  </si>
  <si>
    <t>Incremental CDM (accounting for lost persistence)</t>
  </si>
  <si>
    <t>Predicted</t>
  </si>
  <si>
    <t>Difference</t>
  </si>
  <si>
    <t>Model 2: Prais-Winsten, using observations 2015:01-2024:12 (T = 120)</t>
  </si>
  <si>
    <t>F(4, 115)</t>
  </si>
  <si>
    <t>Model 1: Prais-Winsten, using observations 2015:01-2024:12 (T = 120)</t>
  </si>
  <si>
    <t>MonthDays</t>
  </si>
  <si>
    <t>F(5, 114)</t>
  </si>
  <si>
    <t>F(7, 112)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</si>
  <si>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</si>
  <si>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</si>
  <si>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</si>
  <si>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</si>
  <si>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</si>
  <si>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</si>
  <si>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</si>
  <si>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</si>
  <si>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</si>
  <si>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</si>
  <si>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</si>
  <si>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All zero-emission vehicles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</si>
  <si>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</si>
  <si>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</si>
  <si>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</si>
  <si>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</si>
  <si>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</si>
  <si>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</si>
  <si>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Q1 2017</t>
  </si>
  <si>
    <t>Reference period</t>
  </si>
  <si>
    <t>Q2 2017</t>
  </si>
  <si>
    <t>Units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</si>
  <si>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</si>
  <si>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</si>
  <si>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</si>
  <si>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</si>
  <si>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</si>
  <si>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</si>
  <si>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</si>
  <si>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</si>
  <si>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</si>
  <si>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</si>
  <si>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</si>
  <si>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</si>
  <si>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</si>
  <si>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</si>
  <si>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</si>
  <si>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</si>
  <si>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</si>
  <si>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</si>
  <si>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</si>
  <si>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</si>
  <si>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</si>
  <si>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</si>
  <si>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</si>
  <si>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</si>
  <si>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</si>
  <si>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</si>
  <si>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</si>
  <si>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</si>
  <si>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</si>
  <si>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</si>
  <si>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</si>
  <si>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</si>
  <si>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</si>
  <si>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</si>
  <si>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</si>
  <si>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</si>
  <si>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</si>
  <si>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</si>
  <si>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</si>
  <si>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Battery EVs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</si>
  <si>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</si>
  <si>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</si>
  <si>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</si>
  <si>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</si>
  <si>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</si>
  <si>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</si>
  <si>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</si>
  <si>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</si>
  <si>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Oshawa % of ON New EVs</t>
  </si>
  <si>
    <t>ON EVs as % of All New Vehicles</t>
  </si>
  <si>
    <t>EVs</t>
  </si>
  <si>
    <t>Passenger EV</t>
  </si>
  <si>
    <t>Multi-purpose vehicles (SUV) EV</t>
  </si>
  <si>
    <t>Van EV</t>
  </si>
  <si>
    <t>Pick-Up Truck EV</t>
  </si>
  <si>
    <t>Passenger EV as % of EV</t>
  </si>
  <si>
    <t>Multi-Purpose EV as % of EV</t>
  </si>
  <si>
    <t>Van EV as % of EV</t>
  </si>
  <si>
    <t>Pickup Truck EV as % of EV</t>
  </si>
  <si>
    <t>Plug-in hybrid EVs</t>
  </si>
  <si>
    <t>Federal EV Target</t>
  </si>
  <si>
    <t>Actual/Forecast % EVs</t>
  </si>
  <si>
    <t>All Vehicles</t>
  </si>
  <si>
    <t>All Passenger</t>
  </si>
  <si>
    <t>All Multi-purpose vehicles (SUV)</t>
  </si>
  <si>
    <t>All Van</t>
  </si>
  <si>
    <t>All Pick-Up Truck</t>
  </si>
  <si>
    <t>New Incremental kWh</t>
  </si>
  <si>
    <t>Passenger/SUV</t>
  </si>
  <si>
    <t>Pick-up Truck</t>
  </si>
  <si>
    <t>EV kWh by Class</t>
  </si>
  <si>
    <t>GS&lt;50</t>
  </si>
  <si>
    <t>GS 50-999</t>
  </si>
  <si>
    <t>GS 1,000-4,999</t>
  </si>
  <si>
    <t>New Incremental kW</t>
  </si>
  <si>
    <t>Load Factor</t>
  </si>
  <si>
    <t>OPUCN EVs</t>
  </si>
  <si>
    <t>A</t>
  </si>
  <si>
    <t>ON EVs</t>
  </si>
  <si>
    <t>B</t>
  </si>
  <si>
    <t>OPUCN % of ON EVs</t>
  </si>
  <si>
    <t>C = A / B</t>
  </si>
  <si>
    <t>ON Passenger EVs</t>
  </si>
  <si>
    <t>D</t>
  </si>
  <si>
    <t>ON Multi-Purpose Vehicles EVs</t>
  </si>
  <si>
    <t>E</t>
  </si>
  <si>
    <t>ON Vans EVs</t>
  </si>
  <si>
    <t>F</t>
  </si>
  <si>
    <t>ON Pickup Truck EVs</t>
  </si>
  <si>
    <t xml:space="preserve">G </t>
  </si>
  <si>
    <t>H = D / B</t>
  </si>
  <si>
    <t>I = E / B</t>
  </si>
  <si>
    <t>J = F / B</t>
  </si>
  <si>
    <t>K = G / B</t>
  </si>
  <si>
    <t>New Vehicles in OPUCN</t>
  </si>
  <si>
    <t>Total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</si>
  <si>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</si>
  <si>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</si>
  <si>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</si>
  <si>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</si>
  <si>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</si>
  <si>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</si>
  <si>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</si>
  <si>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</si>
  <si>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</si>
  <si>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Average 2017-2023</t>
  </si>
  <si>
    <t>New EV Target</t>
  </si>
  <si>
    <t>Q</t>
  </si>
  <si>
    <t>Trajectory to 2026 Target</t>
  </si>
  <si>
    <t>R</t>
  </si>
  <si>
    <t>Trajectory to OPUCN share of population in 2026</t>
  </si>
  <si>
    <t>Total New Bur. EVs</t>
  </si>
  <si>
    <t>S = P * Q * R</t>
  </si>
  <si>
    <t>Total vehicles times share of EVs times OPUCN share of EVs</t>
  </si>
  <si>
    <t>T = S * (H + I)</t>
  </si>
  <si>
    <t>Total OPUCN EVs times 2023 share of vehicle type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</si>
  <si>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</si>
  <si>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</si>
  <si>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</si>
  <si>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</si>
  <si>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</si>
  <si>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</si>
  <si>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</si>
  <si>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</si>
  <si>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</si>
  <si>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</si>
  <si>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</si>
  <si>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</si>
  <si>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</si>
  <si>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</si>
  <si>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</si>
  <si>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</si>
  <si>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 xml:space="preserve"> </t>
  </si>
  <si>
    <t>2025 Cumulative</t>
  </si>
  <si>
    <t>2026 Cumulative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</si>
  <si>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</si>
  <si>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</si>
  <si>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</si>
  <si>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</si>
  <si>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</si>
  <si>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</si>
  <si>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</si>
  <si>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</si>
  <si>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</si>
  <si>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</si>
  <si>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</si>
  <si>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</si>
  <si>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</si>
  <si>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</si>
  <si>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</si>
  <si>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</si>
  <si>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</si>
  <si>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</si>
  <si>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</si>
  <si>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</si>
  <si>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</si>
  <si>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</si>
  <si>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</si>
  <si>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</si>
  <si>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</si>
  <si>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</si>
  <si>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</si>
  <si>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</si>
  <si>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>Residential kWh</t>
  </si>
  <si>
    <t xml:space="preserve">  Winter</t>
  </si>
  <si>
    <t xml:space="preserve">  Summer</t>
  </si>
  <si>
    <t>Seasonally Adjusted kWh</t>
  </si>
  <si>
    <t>GS &lt; 50 kWh</t>
  </si>
  <si>
    <t>2027 Incremental</t>
  </si>
  <si>
    <t>GS &lt; 50</t>
  </si>
  <si>
    <t>kWh</t>
  </si>
  <si>
    <t>kW</t>
  </si>
  <si>
    <t>Additional</t>
  </si>
  <si>
    <t>Heating</t>
  </si>
  <si>
    <t>Loads are incremental to loads forecasted based on 10-year consumption</t>
  </si>
  <si>
    <t>Figures are added in 'Normalized Annual Summary' and 'kW Forecast'</t>
  </si>
  <si>
    <t>Res kWh</t>
  </si>
  <si>
    <t>Absolute</t>
  </si>
  <si>
    <t>GS &gt; 50 kWh</t>
  </si>
  <si>
    <t>CDM Added Back</t>
  </si>
  <si>
    <t>Error (%)</t>
  </si>
  <si>
    <t>Mean Absolute Percentage Error (Annual)</t>
  </si>
  <si>
    <t>Mean Absolute Percentage Error (Monthly)</t>
  </si>
  <si>
    <t>WN Predicted</t>
  </si>
  <si>
    <t>GS&lt;50 kWh</t>
  </si>
  <si>
    <t>GS 50-999 kW kWh</t>
  </si>
  <si>
    <t>GS 1,000-4,999 kW kWh</t>
  </si>
  <si>
    <t>Large Use kWh</t>
  </si>
  <si>
    <t>Street Light</t>
  </si>
  <si>
    <t>Sentinel Light</t>
  </si>
  <si>
    <t>Actual</t>
  </si>
  <si>
    <t>Cumulative Persisting CDM</t>
  </si>
  <si>
    <t>Actual No CDM</t>
  </si>
  <si>
    <t>Normal Predicted 
No CDM</t>
  </si>
  <si>
    <t>Normalized</t>
  </si>
  <si>
    <t>Additional Loads</t>
  </si>
  <si>
    <t>Normalized with Additional Loads</t>
  </si>
  <si>
    <t>Normal 
No CDM</t>
  </si>
  <si>
    <t>Additional / Lost Loads</t>
  </si>
  <si>
    <t>Normal Forecast</t>
  </si>
  <si>
    <t>C = A + B</t>
  </si>
  <si>
    <t>E = B</t>
  </si>
  <si>
    <t>F = D - E</t>
  </si>
  <si>
    <t>G</t>
  </si>
  <si>
    <t>H = F + G</t>
  </si>
  <si>
    <t>D = B * C</t>
  </si>
  <si>
    <t>GS&gt;50 kWh</t>
  </si>
  <si>
    <t>Percent of Prior Year</t>
  </si>
  <si>
    <t>GS 50-999 kW</t>
  </si>
  <si>
    <t>St. Lights</t>
  </si>
  <si>
    <t>Customers</t>
  </si>
  <si>
    <t>(Check)</t>
  </si>
  <si>
    <t>Sep</t>
  </si>
  <si>
    <t>Street Lights</t>
  </si>
  <si>
    <t>Ratio</t>
  </si>
  <si>
    <t>3-Yr MA</t>
  </si>
  <si>
    <t>C = B / A</t>
  </si>
  <si>
    <t>kWh Normalized</t>
  </si>
  <si>
    <t>kW Normalized</t>
  </si>
  <si>
    <t>Avg.</t>
  </si>
  <si>
    <t xml:space="preserve">Trend Ratio </t>
  </si>
  <si>
    <t>Total Forecast</t>
  </si>
  <si>
    <t>Trend Ratio (3-Yr. MA)</t>
  </si>
  <si>
    <t>E = D * G</t>
  </si>
  <si>
    <t>H</t>
  </si>
  <si>
    <t>I = E + H</t>
  </si>
  <si>
    <t>E = D * F</t>
  </si>
  <si>
    <t>Divergence</t>
  </si>
  <si>
    <t>5-year change</t>
  </si>
  <si>
    <t>10-year change</t>
  </si>
  <si>
    <t>10-year average used</t>
  </si>
  <si>
    <t>5-year average used</t>
  </si>
  <si>
    <t>GS &gt; 50</t>
  </si>
  <si>
    <t>Ratio Trend</t>
  </si>
  <si>
    <t>In year energy savings (GWh)</t>
  </si>
  <si>
    <t>In year energy savings (kWh)</t>
  </si>
  <si>
    <t>OPUCN Share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</si>
  <si>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</si>
  <si>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</si>
  <si>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</si>
  <si>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</si>
  <si>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</si>
  <si>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</si>
  <si>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</si>
  <si>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</si>
  <si>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</si>
  <si>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</si>
  <si>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</si>
  <si>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</si>
  <si>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</si>
  <si>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 2022-12-15</t>
  </si>
  <si>
    <t>5-Year Avg.</t>
  </si>
  <si>
    <t>Province</t>
  </si>
  <si>
    <t>Cummulative</t>
  </si>
  <si>
    <t>w/ 1/2 Year Adj.</t>
  </si>
  <si>
    <t>Oshawa % Share</t>
  </si>
  <si>
    <t>OEB Open Data (RRR): Section 2.1.5.4 Demand and Revenue</t>
  </si>
  <si>
    <t>2021 Used</t>
  </si>
  <si>
    <t>Burlington %</t>
  </si>
  <si>
    <t>Number of families in low income</t>
  </si>
  <si>
    <t>Census Family Low Income Measure (CFLIM-AT) Table 11-10-0020-01</t>
  </si>
  <si>
    <t>Total CDM</t>
  </si>
  <si>
    <t>CDM</t>
  </si>
  <si>
    <t>*Allocations based on LRAMVA allocations in 2015-2019 period</t>
  </si>
  <si>
    <t>2024-2026 Forecasted kWh Savings by Rate Class</t>
  </si>
  <si>
    <t>Rate Class</t>
  </si>
  <si>
    <t>CDM Adj Weight</t>
  </si>
  <si>
    <t>Amount</t>
  </si>
  <si>
    <t>F = D * E</t>
  </si>
  <si>
    <t>I = G * H</t>
  </si>
  <si>
    <t>K</t>
  </si>
  <si>
    <t>L = J * K</t>
  </si>
  <si>
    <t>Sentinel</t>
  </si>
  <si>
    <t>TOTAL</t>
  </si>
  <si>
    <t>2025-2026 kW Forcasted Savings by Rate Class</t>
  </si>
  <si>
    <t>2025 Forecast</t>
  </si>
  <si>
    <t>2026 Forecast</t>
  </si>
  <si>
    <t>Weather-Normal Forecast</t>
  </si>
  <si>
    <t>% Savings</t>
  </si>
  <si>
    <t>H = G / F</t>
  </si>
  <si>
    <t>J = H * I</t>
  </si>
  <si>
    <t>L</t>
  </si>
  <si>
    <t>M = L / K</t>
  </si>
  <si>
    <t>N</t>
  </si>
  <si>
    <t>O = M * N</t>
  </si>
  <si>
    <t>2015 Actual</t>
  </si>
  <si>
    <t>2016 Actual</t>
  </si>
  <si>
    <t>2017 Actual</t>
  </si>
  <si>
    <t>2018 Actual</t>
  </si>
  <si>
    <t>2019 Actual</t>
  </si>
  <si>
    <t>2020 Actual</t>
  </si>
  <si>
    <t>2021 Actual</t>
  </si>
  <si>
    <t>2022 Actual</t>
  </si>
  <si>
    <t>2023 Actual</t>
  </si>
  <si>
    <t>2024 Actual</t>
  </si>
  <si>
    <t>2024 Normal</t>
  </si>
  <si>
    <t>CDM Adjusted</t>
  </si>
  <si>
    <t>2026 Weather Normal Forecast</t>
  </si>
  <si>
    <t>CDM Adjustment</t>
  </si>
  <si>
    <t>2026 CDM Adjusted Forecast</t>
  </si>
  <si>
    <t>Additional EV &amp; Heating Loads</t>
  </si>
  <si>
    <t>2026 Forecast Excluding Additional Loads</t>
  </si>
  <si>
    <t>Summary</t>
  </si>
  <si>
    <t>2015 Normal</t>
  </si>
  <si>
    <t>2016 Normal</t>
  </si>
  <si>
    <t>2017 Normal</t>
  </si>
  <si>
    <t>2018 Normal</t>
  </si>
  <si>
    <t>2019 Normal</t>
  </si>
  <si>
    <t>2020 Normal</t>
  </si>
  <si>
    <t>2021 Normal</t>
  </si>
  <si>
    <t>2022 Normal</t>
  </si>
  <si>
    <t>2023 Normal</t>
  </si>
  <si>
    <t>Customers / Connections</t>
  </si>
  <si>
    <t>Average per Connection</t>
  </si>
  <si>
    <t>Connections</t>
  </si>
  <si>
    <t>Oshawa Power 2026 Test Year Summary</t>
  </si>
  <si>
    <t>WMP</t>
  </si>
  <si>
    <t>Wholesale Market Participant</t>
  </si>
  <si>
    <t>J - H + I</t>
  </si>
  <si>
    <t>Normalized with Additional Loads and WMP</t>
  </si>
  <si>
    <t>K = I + J</t>
  </si>
  <si>
    <t>Total Forecast before WMP</t>
  </si>
  <si>
    <t>Total Forecast with WMP</t>
  </si>
  <si>
    <t>Wholesale</t>
  </si>
  <si>
    <t xml:space="preserve">Market </t>
  </si>
  <si>
    <t>Participant</t>
  </si>
  <si>
    <t>WMP_kWh</t>
  </si>
  <si>
    <t>WMP_kW</t>
  </si>
  <si>
    <t>Energy Efficiency in Ontario:  2023 Conservation and Demand Management Results</t>
  </si>
  <si>
    <t>Target</t>
  </si>
  <si>
    <t>Actual 2021</t>
  </si>
  <si>
    <t>Actual 2021-22</t>
  </si>
  <si>
    <t>Actual 2021-23</t>
  </si>
  <si>
    <t>Forecast</t>
  </si>
  <si>
    <t>Progress to Target</t>
  </si>
  <si>
    <t>New Construction</t>
  </si>
  <si>
    <t>Home Renovation Savings</t>
  </si>
  <si>
    <t>Commercial HVAC DR</t>
  </si>
  <si>
    <t>Existing Building Commissioning program</t>
  </si>
  <si>
    <t>https://www.ieso.ca/en/Sector-Participants/Energy-Efficiency/2021-2024-Conservation-and-Demand-Management-Framework</t>
  </si>
  <si>
    <t>Report Ref:</t>
  </si>
  <si>
    <t>Page 11</t>
  </si>
  <si>
    <t>Page 18</t>
  </si>
  <si>
    <t>Page 22/23</t>
  </si>
  <si>
    <t>2021-2023 Results of 2021-2024 Framework</t>
  </si>
  <si>
    <t>2021-2024 Framework</t>
  </si>
  <si>
    <t>eDSM</t>
  </si>
  <si>
    <t>https://ieso.ca/Sector-Participants/Energy-Efficiency/2025-2036-Electricity-Demand-Side-Management-Framework</t>
  </si>
  <si>
    <t>Peak Perks</t>
  </si>
  <si>
    <t>rho = 0.0585434</t>
  </si>
  <si>
    <t>rho = 0.627489</t>
  </si>
  <si>
    <t>Model 4: Prais-Winsten, using observations 2015:01-2024:12 (T = 120)</t>
  </si>
  <si>
    <t>rho = 0.179997</t>
  </si>
  <si>
    <t>Model 5: Prais-Winsten, using observations 2015:01-2024:12 (T = 120)</t>
  </si>
  <si>
    <t>rho = 0.427428</t>
  </si>
  <si>
    <t>Model 6: Prais-Winsten, using observations 2015:01-2024:12 (T = 120)</t>
  </si>
  <si>
    <t>rho = 0.827206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</si>
</sst>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\-mmm\-yyyy"/>
    <numFmt numFmtId="168" formatCode="0.0%"/>
    <numFmt numFmtId="169" formatCode="0.0"/>
    <numFmt numFmtId="170" formatCode="_(* #,##0_);_(* \(#,##0\);_(* &quot;-&quot;??_);_(@_)"/>
    <numFmt numFmtId="171" formatCode="0.000000"/>
    <numFmt numFmtId="172" formatCode="_(* #,##0.0_);_(* \(#,##0.0\);_(* &quot;-&quot;??_);_(@_)"/>
    <numFmt numFmtId="173" formatCode="_-* #,##0_-;\-* #,##0_-;_-* &quot;-&quot;??_-;_-@_-"/>
    <numFmt numFmtId="174" formatCode="_-* #,##0.000000_-;\-* #,##0.000000_-;_-* &quot;-&quot;??_-;_-@_-"/>
    <numFmt numFmtId="175" formatCode="0_);\(0\)"/>
    <numFmt numFmtId="176" formatCode="#,##0.0"/>
    <numFmt numFmtId="177" formatCode="0\-0"/>
    <numFmt numFmtId="178" formatCode="##\-#"/>
    <numFmt numFmtId="179" formatCode="&quot;£ &quot;#,##0.00;[Red]\-&quot;£ &quot;#,##0.00"/>
    <numFmt numFmtId="180" formatCode="0.0000000%"/>
    <numFmt numFmtId="181" formatCode="0.000%"/>
    <numFmt numFmtId="182" formatCode="#,##0.000"/>
    <numFmt numFmtId="183" formatCode="_(* #,##0_);_(* \(#,##0\);_(* &quot;-&quot;?_);_(@_)"/>
    <numFmt numFmtId="184" formatCode="_(* #,##0.0_);_(* \(#,##0.0\);_(* &quot;-&quot;?_);_(@_)"/>
    <numFmt numFmtId="185" formatCode="_(* #,##0.000_);_(* \(#,##0.000\);_(* &quot;-&quot;??_);_(@_)"/>
    <numFmt numFmtId="186" formatCode="0.000"/>
    <numFmt numFmtId="187" formatCode="_(* #,##0.0000_);_(* \(#,##0.0000\);_(* &quot;-&quot;??_);_(@_)"/>
    <numFmt numFmtId="193" formatCode="0.00000"/>
    <numFmt numFmtId="194" formatCode="0.0000"/>
  </numFmts>
  <fonts count="60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FF000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0"/>
      <color rgb="FFC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C00000"/>
      <name val="Arial"/>
      <family val="2"/>
    </font>
    <font>
      <sz val="14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3">
    <xf numFmtId="0" fontId="0" fillId="0" borderId="0"/>
    <xf numFmtId="166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6" fillId="0" borderId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72" fontId="9" fillId="0" borderId="0"/>
    <xf numFmtId="176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4" fontId="9" fillId="0" borderId="0"/>
    <xf numFmtId="177" fontId="9" fillId="0" borderId="0"/>
    <xf numFmtId="14" fontId="9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9" fillId="7" borderId="0" applyNumberFormat="0" applyBorder="0" applyAlignment="0" applyProtection="0"/>
    <xf numFmtId="0" fontId="22" fillId="10" borderId="29" applyNumberFormat="0" applyAlignment="0" applyProtection="0"/>
    <xf numFmtId="0" fontId="24" fillId="11" borderId="32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8" fillId="6" borderId="0" applyNumberFormat="0" applyBorder="0" applyAlignment="0" applyProtection="0"/>
    <xf numFmtId="38" fontId="32" fillId="37" borderId="0" applyNumberFormat="0" applyBorder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0" fontId="32" fillId="38" borderId="2" applyNumberFormat="0" applyBorder="0" applyAlignment="0" applyProtection="0"/>
    <xf numFmtId="0" fontId="20" fillId="9" borderId="29" applyNumberFormat="0" applyAlignment="0" applyProtection="0"/>
    <xf numFmtId="0" fontId="23" fillId="0" borderId="31" applyNumberFormat="0" applyFill="0" applyAlignment="0" applyProtection="0"/>
    <xf numFmtId="178" fontId="9" fillId="0" borderId="0"/>
    <xf numFmtId="17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28" fillId="8" borderId="0" applyNumberFormat="0" applyBorder="0" applyAlignment="0" applyProtection="0"/>
    <xf numFmtId="179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21" fillId="10" borderId="30" applyNumberFormat="0" applyAlignment="0" applyProtection="0"/>
    <xf numFmtId="10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34" applyNumberFormat="0" applyFill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589">
    <xf numFmtId="0" fontId="0" fillId="0" borderId="0" xfId="0"/>
    <xf numFmtId="0" fontId="9" fillId="0" borderId="0" xfId="0" applyFont="1"/>
    <xf numFmtId="166" fontId="9" fillId="0" borderId="0" xfId="1" applyFont="1"/>
    <xf numFmtId="14" fontId="9" fillId="0" borderId="0" xfId="0" applyNumberFormat="1" applyFont="1"/>
    <xf numFmtId="3" fontId="9" fillId="0" borderId="0" xfId="0" applyNumberFormat="1" applyFont="1"/>
    <xf numFmtId="0" fontId="9" fillId="4" borderId="0" xfId="0" applyFont="1" applyFill="1"/>
    <xf numFmtId="0" fontId="9" fillId="5" borderId="0" xfId="0" applyFont="1" applyFill="1"/>
    <xf numFmtId="1" fontId="9" fillId="5" borderId="0" xfId="0" applyNumberFormat="1" applyFont="1" applyFill="1"/>
    <xf numFmtId="3" fontId="13" fillId="3" borderId="0" xfId="4" applyNumberFormat="1" applyFont="1" applyFill="1"/>
    <xf numFmtId="0" fontId="13" fillId="3" borderId="0" xfId="4" applyFont="1" applyFill="1"/>
    <xf numFmtId="0" fontId="13" fillId="0" borderId="0" xfId="4" applyFont="1"/>
    <xf numFmtId="3" fontId="13" fillId="0" borderId="0" xfId="4" applyNumberFormat="1" applyFont="1"/>
    <xf numFmtId="10" fontId="13" fillId="0" borderId="0" xfId="7" applyNumberFormat="1" applyFont="1"/>
    <xf numFmtId="0" fontId="12" fillId="0" borderId="0" xfId="4" applyFont="1" applyAlignment="1">
      <alignment horizontal="center"/>
    </xf>
    <xf numFmtId="171" fontId="12" fillId="0" borderId="0" xfId="4" applyNumberFormat="1" applyFont="1" applyAlignment="1">
      <alignment horizontal="center"/>
    </xf>
    <xf numFmtId="173" fontId="12" fillId="0" borderId="0" xfId="8" applyNumberFormat="1" applyFont="1" applyAlignment="1">
      <alignment horizontal="center"/>
    </xf>
    <xf numFmtId="170" fontId="13" fillId="0" borderId="0" xfId="1" applyNumberFormat="1" applyFont="1"/>
    <xf numFmtId="174" fontId="13" fillId="0" borderId="0" xfId="8" applyNumberFormat="1" applyFont="1"/>
    <xf numFmtId="170" fontId="9" fillId="0" borderId="0" xfId="1" applyNumberFormat="1" applyFont="1"/>
    <xf numFmtId="0" fontId="14" fillId="3" borderId="0" xfId="4" applyFont="1" applyFill="1"/>
    <xf numFmtId="0" fontId="12" fillId="3" borderId="6" xfId="4" applyFont="1" applyFill="1" applyBorder="1" applyAlignment="1">
      <alignment horizontal="center"/>
    </xf>
    <xf numFmtId="0" fontId="12" fillId="3" borderId="8" xfId="4" applyFont="1" applyFill="1" applyBorder="1" applyAlignment="1">
      <alignment horizontal="center"/>
    </xf>
    <xf numFmtId="170" fontId="9" fillId="0" borderId="0" xfId="1" applyNumberFormat="1" applyFont="1" applyAlignment="1">
      <alignment horizontal="center"/>
    </xf>
    <xf numFmtId="9" fontId="9" fillId="0" borderId="0" xfId="235" applyFont="1"/>
    <xf numFmtId="170" fontId="9" fillId="0" borderId="0" xfId="0" applyNumberFormat="1" applyFont="1"/>
    <xf numFmtId="172" fontId="9" fillId="0" borderId="0" xfId="0" applyNumberFormat="1" applyFont="1"/>
    <xf numFmtId="174" fontId="35" fillId="0" borderId="0" xfId="8" applyNumberFormat="1" applyFont="1"/>
    <xf numFmtId="174" fontId="35" fillId="0" borderId="0" xfId="8" applyNumberFormat="1" applyFont="1" applyFill="1"/>
    <xf numFmtId="170" fontId="9" fillId="4" borderId="0" xfId="1" applyNumberFormat="1" applyFont="1" applyFill="1"/>
    <xf numFmtId="182" fontId="37" fillId="0" borderId="0" xfId="4" applyNumberFormat="1" applyFont="1" applyAlignment="1">
      <alignment horizontal="center"/>
    </xf>
    <xf numFmtId="0" fontId="31" fillId="3" borderId="0" xfId="288" applyFont="1" applyFill="1"/>
    <xf numFmtId="0" fontId="31" fillId="3" borderId="35" xfId="288" applyFont="1" applyFill="1" applyBorder="1"/>
    <xf numFmtId="0" fontId="31" fillId="3" borderId="36" xfId="288" applyFont="1" applyFill="1" applyBorder="1"/>
    <xf numFmtId="170" fontId="31" fillId="3" borderId="35" xfId="291" applyNumberFormat="1" applyFont="1" applyFill="1" applyBorder="1"/>
    <xf numFmtId="170" fontId="31" fillId="3" borderId="37" xfId="291" applyNumberFormat="1" applyFont="1" applyFill="1" applyBorder="1"/>
    <xf numFmtId="170" fontId="31" fillId="3" borderId="0" xfId="291" applyNumberFormat="1" applyFont="1" applyFill="1" applyBorder="1"/>
    <xf numFmtId="0" fontId="31" fillId="3" borderId="38" xfId="288" applyFont="1" applyFill="1" applyBorder="1"/>
    <xf numFmtId="170" fontId="31" fillId="3" borderId="38" xfId="291" applyNumberFormat="1" applyFont="1" applyFill="1" applyBorder="1"/>
    <xf numFmtId="170" fontId="31" fillId="3" borderId="39" xfId="291" applyNumberFormat="1" applyFont="1" applyFill="1" applyBorder="1"/>
    <xf numFmtId="0" fontId="31" fillId="3" borderId="40" xfId="288" applyFont="1" applyFill="1" applyBorder="1"/>
    <xf numFmtId="0" fontId="40" fillId="3" borderId="1" xfId="288" applyFont="1" applyFill="1" applyBorder="1"/>
    <xf numFmtId="170" fontId="40" fillId="3" borderId="40" xfId="288" applyNumberFormat="1" applyFont="1" applyFill="1" applyBorder="1"/>
    <xf numFmtId="170" fontId="40" fillId="3" borderId="41" xfId="288" applyNumberFormat="1" applyFont="1" applyFill="1" applyBorder="1"/>
    <xf numFmtId="170" fontId="40" fillId="3" borderId="0" xfId="288" applyNumberFormat="1" applyFont="1" applyFill="1"/>
    <xf numFmtId="0" fontId="40" fillId="3" borderId="38" xfId="288" applyFont="1" applyFill="1" applyBorder="1"/>
    <xf numFmtId="0" fontId="39" fillId="40" borderId="40" xfId="4" applyFont="1" applyFill="1" applyBorder="1" applyAlignment="1">
      <alignment horizontal="center" vertical="center"/>
    </xf>
    <xf numFmtId="0" fontId="39" fillId="40" borderId="41" xfId="4" applyFont="1" applyFill="1" applyBorder="1" applyAlignment="1">
      <alignment horizontal="center" vertical="center"/>
    </xf>
    <xf numFmtId="0" fontId="31" fillId="0" borderId="0" xfId="288" applyFont="1"/>
    <xf numFmtId="0" fontId="41" fillId="0" borderId="0" xfId="288" applyFont="1"/>
    <xf numFmtId="0" fontId="9" fillId="0" borderId="0" xfId="288" applyFont="1"/>
    <xf numFmtId="0" fontId="42" fillId="0" borderId="0" xfId="288" applyFont="1"/>
    <xf numFmtId="0" fontId="42" fillId="0" borderId="0" xfId="288" applyFont="1" applyAlignment="1">
      <alignment horizontal="center"/>
    </xf>
    <xf numFmtId="1" fontId="31" fillId="0" borderId="0" xfId="288" applyNumberFormat="1" applyFont="1"/>
    <xf numFmtId="10" fontId="9" fillId="0" borderId="0" xfId="288" applyNumberFormat="1" applyFont="1" applyAlignment="1">
      <alignment horizontal="center"/>
    </xf>
    <xf numFmtId="10" fontId="31" fillId="0" borderId="0" xfId="288" applyNumberFormat="1" applyFont="1"/>
    <xf numFmtId="10" fontId="9" fillId="0" borderId="0" xfId="288" applyNumberFormat="1" applyFont="1"/>
    <xf numFmtId="0" fontId="12" fillId="0" borderId="0" xfId="288" applyFont="1"/>
    <xf numFmtId="172" fontId="12" fillId="0" borderId="0" xfId="291" applyNumberFormat="1" applyFont="1"/>
    <xf numFmtId="170" fontId="12" fillId="0" borderId="0" xfId="288" applyNumberFormat="1" applyFont="1"/>
    <xf numFmtId="185" fontId="12" fillId="0" borderId="0" xfId="291" applyNumberFormat="1" applyFont="1"/>
    <xf numFmtId="0" fontId="9" fillId="0" borderId="35" xfId="288" applyFont="1" applyBorder="1"/>
    <xf numFmtId="0" fontId="9" fillId="0" borderId="36" xfId="288" applyFont="1" applyBorder="1"/>
    <xf numFmtId="0" fontId="9" fillId="0" borderId="37" xfId="288" applyFont="1" applyBorder="1"/>
    <xf numFmtId="0" fontId="31" fillId="0" borderId="35" xfId="288" applyFont="1" applyBorder="1"/>
    <xf numFmtId="0" fontId="31" fillId="0" borderId="36" xfId="288" applyFont="1" applyBorder="1"/>
    <xf numFmtId="170" fontId="31" fillId="0" borderId="36" xfId="292" applyNumberFormat="1" applyFont="1" applyBorder="1"/>
    <xf numFmtId="170" fontId="31" fillId="0" borderId="37" xfId="292" applyNumberFormat="1" applyFont="1" applyBorder="1"/>
    <xf numFmtId="0" fontId="31" fillId="0" borderId="38" xfId="288" applyFont="1" applyBorder="1"/>
    <xf numFmtId="170" fontId="31" fillId="0" borderId="0" xfId="292" applyNumberFormat="1" applyFont="1" applyBorder="1"/>
    <xf numFmtId="170" fontId="31" fillId="0" borderId="39" xfId="292" applyNumberFormat="1" applyFont="1" applyBorder="1"/>
    <xf numFmtId="0" fontId="12" fillId="0" borderId="38" xfId="288" applyFont="1" applyBorder="1"/>
    <xf numFmtId="0" fontId="12" fillId="0" borderId="0" xfId="292" applyNumberFormat="1" applyFont="1" applyBorder="1"/>
    <xf numFmtId="0" fontId="12" fillId="0" borderId="39" xfId="288" applyFont="1" applyBorder="1" applyAlignment="1">
      <alignment horizontal="center"/>
    </xf>
    <xf numFmtId="0" fontId="9" fillId="0" borderId="0" xfId="288" applyFont="1" applyAlignment="1">
      <alignment horizontal="center"/>
    </xf>
    <xf numFmtId="0" fontId="9" fillId="0" borderId="38" xfId="288" applyFont="1" applyBorder="1"/>
    <xf numFmtId="170" fontId="9" fillId="0" borderId="0" xfId="292" applyNumberFormat="1" applyFont="1" applyBorder="1" applyAlignment="1">
      <alignment vertical="top" wrapText="1"/>
    </xf>
    <xf numFmtId="170" fontId="12" fillId="0" borderId="39" xfId="288" applyNumberFormat="1" applyFont="1" applyBorder="1"/>
    <xf numFmtId="0" fontId="9" fillId="0" borderId="38" xfId="288" applyFont="1" applyBorder="1" applyAlignment="1">
      <alignment horizontal="right"/>
    </xf>
    <xf numFmtId="170" fontId="43" fillId="0" borderId="0" xfId="292" applyNumberFormat="1" applyFont="1" applyBorder="1"/>
    <xf numFmtId="0" fontId="31" fillId="0" borderId="38" xfId="288" applyFont="1" applyBorder="1" applyAlignment="1">
      <alignment horizontal="right"/>
    </xf>
    <xf numFmtId="10" fontId="9" fillId="0" borderId="0" xfId="293" applyNumberFormat="1" applyFont="1" applyBorder="1"/>
    <xf numFmtId="10" fontId="12" fillId="0" borderId="39" xfId="293" applyNumberFormat="1" applyFont="1" applyBorder="1"/>
    <xf numFmtId="10" fontId="12" fillId="0" borderId="0" xfId="293" applyNumberFormat="1" applyFont="1"/>
    <xf numFmtId="0" fontId="12" fillId="0" borderId="39" xfId="288" applyFont="1" applyBorder="1"/>
    <xf numFmtId="0" fontId="9" fillId="0" borderId="39" xfId="288" applyFont="1" applyBorder="1"/>
    <xf numFmtId="0" fontId="9" fillId="0" borderId="38" xfId="288" applyFont="1" applyBorder="1" applyAlignment="1">
      <alignment horizontal="center"/>
    </xf>
    <xf numFmtId="0" fontId="31" fillId="0" borderId="39" xfId="288" applyFont="1" applyBorder="1"/>
    <xf numFmtId="168" fontId="31" fillId="0" borderId="0" xfId="290" applyNumberFormat="1" applyFont="1"/>
    <xf numFmtId="10" fontId="31" fillId="0" borderId="0" xfId="290" applyNumberFormat="1" applyFont="1"/>
    <xf numFmtId="10" fontId="9" fillId="0" borderId="0" xfId="290" applyNumberFormat="1" applyFont="1"/>
    <xf numFmtId="170" fontId="12" fillId="0" borderId="38" xfId="288" applyNumberFormat="1" applyFont="1" applyBorder="1"/>
    <xf numFmtId="10" fontId="12" fillId="0" borderId="38" xfId="293" applyNumberFormat="1" applyFont="1" applyBorder="1"/>
    <xf numFmtId="170" fontId="31" fillId="0" borderId="0" xfId="288" applyNumberFormat="1" applyFont="1"/>
    <xf numFmtId="170" fontId="31" fillId="0" borderId="39" xfId="288" applyNumberFormat="1" applyFont="1" applyBorder="1"/>
    <xf numFmtId="170" fontId="9" fillId="0" borderId="0" xfId="291" applyNumberFormat="1" applyFont="1" applyBorder="1"/>
    <xf numFmtId="10" fontId="12" fillId="0" borderId="0" xfId="293" applyNumberFormat="1" applyFont="1" applyFill="1" applyBorder="1"/>
    <xf numFmtId="0" fontId="31" fillId="0" borderId="40" xfId="288" applyFont="1" applyBorder="1"/>
    <xf numFmtId="0" fontId="12" fillId="0" borderId="1" xfId="288" applyFont="1" applyBorder="1"/>
    <xf numFmtId="0" fontId="9" fillId="0" borderId="40" xfId="288" applyFont="1" applyBorder="1"/>
    <xf numFmtId="0" fontId="9" fillId="0" borderId="1" xfId="288" applyFont="1" applyBorder="1"/>
    <xf numFmtId="0" fontId="9" fillId="0" borderId="41" xfId="288" applyFont="1" applyBorder="1"/>
    <xf numFmtId="0" fontId="31" fillId="0" borderId="37" xfId="288" applyFont="1" applyBorder="1"/>
    <xf numFmtId="0" fontId="42" fillId="0" borderId="36" xfId="288" applyFont="1" applyBorder="1"/>
    <xf numFmtId="168" fontId="31" fillId="0" borderId="0" xfId="290" applyNumberFormat="1" applyFont="1" applyFill="1" applyBorder="1"/>
    <xf numFmtId="9" fontId="31" fillId="0" borderId="39" xfId="293" applyFont="1" applyBorder="1"/>
    <xf numFmtId="169" fontId="43" fillId="0" borderId="0" xfId="288" applyNumberFormat="1" applyFont="1" applyAlignment="1">
      <alignment horizontal="center"/>
    </xf>
    <xf numFmtId="170" fontId="9" fillId="0" borderId="0" xfId="292" applyNumberFormat="1" applyFont="1" applyBorder="1"/>
    <xf numFmtId="0" fontId="9" fillId="41" borderId="38" xfId="288" applyFont="1" applyFill="1" applyBorder="1"/>
    <xf numFmtId="170" fontId="9" fillId="41" borderId="0" xfId="292" applyNumberFormat="1" applyFont="1" applyFill="1" applyBorder="1"/>
    <xf numFmtId="9" fontId="31" fillId="0" borderId="0" xfId="288" applyNumberFormat="1" applyFont="1"/>
    <xf numFmtId="0" fontId="31" fillId="0" borderId="1" xfId="288" applyFont="1" applyBorder="1"/>
    <xf numFmtId="0" fontId="31" fillId="0" borderId="41" xfId="288" applyFont="1" applyBorder="1"/>
    <xf numFmtId="170" fontId="31" fillId="0" borderId="1" xfId="288" applyNumberFormat="1" applyFont="1" applyBorder="1"/>
    <xf numFmtId="3" fontId="31" fillId="0" borderId="0" xfId="288" applyNumberFormat="1" applyFont="1"/>
    <xf numFmtId="170" fontId="31" fillId="0" borderId="0" xfId="291" applyNumberFormat="1" applyFont="1"/>
    <xf numFmtId="173" fontId="31" fillId="0" borderId="0" xfId="289" applyNumberFormat="1" applyFont="1"/>
    <xf numFmtId="10" fontId="40" fillId="0" borderId="0" xfId="290" applyNumberFormat="1" applyFont="1"/>
    <xf numFmtId="0" fontId="31" fillId="0" borderId="17" xfId="288" applyFont="1" applyBorder="1" applyAlignment="1">
      <alignment vertical="center" wrapText="1"/>
    </xf>
    <xf numFmtId="170" fontId="31" fillId="0" borderId="2" xfId="291" applyNumberFormat="1" applyFont="1" applyFill="1" applyBorder="1" applyAlignment="1">
      <alignment horizontal="right" vertical="center"/>
    </xf>
    <xf numFmtId="170" fontId="31" fillId="0" borderId="2" xfId="291" applyNumberFormat="1" applyFont="1" applyBorder="1" applyAlignment="1">
      <alignment horizontal="right" vertical="center"/>
    </xf>
    <xf numFmtId="172" fontId="9" fillId="0" borderId="2" xfId="291" applyNumberFormat="1" applyFont="1" applyBorder="1" applyAlignment="1">
      <alignment vertical="center"/>
    </xf>
    <xf numFmtId="170" fontId="31" fillId="0" borderId="2" xfId="291" applyNumberFormat="1" applyFont="1" applyBorder="1" applyAlignment="1">
      <alignment vertical="center"/>
    </xf>
    <xf numFmtId="0" fontId="31" fillId="0" borderId="6" xfId="288" applyFont="1" applyBorder="1" applyAlignment="1">
      <alignment vertical="center" wrapText="1"/>
    </xf>
    <xf numFmtId="10" fontId="12" fillId="0" borderId="39" xfId="290" applyNumberFormat="1" applyFont="1" applyBorder="1" applyAlignment="1">
      <alignment horizontal="right" vertical="center"/>
    </xf>
    <xf numFmtId="170" fontId="31" fillId="0" borderId="21" xfId="291" applyNumberFormat="1" applyFont="1" applyBorder="1" applyAlignment="1">
      <alignment vertical="center"/>
    </xf>
    <xf numFmtId="170" fontId="9" fillId="3" borderId="0" xfId="1" applyNumberFormat="1" applyFont="1" applyFill="1"/>
    <xf numFmtId="170" fontId="35" fillId="0" borderId="0" xfId="1" applyNumberFormat="1" applyFont="1" applyFill="1"/>
    <xf numFmtId="170" fontId="13" fillId="0" borderId="0" xfId="1" applyNumberFormat="1" applyFont="1" applyFill="1"/>
    <xf numFmtId="174" fontId="13" fillId="0" borderId="0" xfId="8" applyNumberFormat="1" applyFont="1" applyFill="1"/>
    <xf numFmtId="168" fontId="9" fillId="3" borderId="0" xfId="3" applyNumberFormat="1" applyFont="1" applyFill="1"/>
    <xf numFmtId="0" fontId="12" fillId="3" borderId="0" xfId="4" applyFont="1" applyFill="1"/>
    <xf numFmtId="186" fontId="14" fillId="3" borderId="0" xfId="4" applyNumberFormat="1" applyFont="1" applyFill="1"/>
    <xf numFmtId="0" fontId="39" fillId="40" borderId="3" xfId="4" applyFont="1" applyFill="1" applyBorder="1" applyAlignment="1">
      <alignment horizontal="center" vertical="center"/>
    </xf>
    <xf numFmtId="0" fontId="39" fillId="40" borderId="4" xfId="4" applyFont="1" applyFill="1" applyBorder="1" applyAlignment="1">
      <alignment horizontal="center" vertical="center" wrapText="1"/>
    </xf>
    <xf numFmtId="0" fontId="39" fillId="40" borderId="5" xfId="4" applyFont="1" applyFill="1" applyBorder="1" applyAlignment="1">
      <alignment horizontal="center" vertical="center" wrapText="1"/>
    </xf>
    <xf numFmtId="0" fontId="39" fillId="40" borderId="9" xfId="4" applyFont="1" applyFill="1" applyBorder="1" applyAlignment="1">
      <alignment horizontal="center"/>
    </xf>
    <xf numFmtId="3" fontId="39" fillId="40" borderId="10" xfId="4" applyNumberFormat="1" applyFont="1" applyFill="1" applyBorder="1"/>
    <xf numFmtId="3" fontId="39" fillId="40" borderId="11" xfId="4" applyNumberFormat="1" applyFont="1" applyFill="1" applyBorder="1"/>
    <xf numFmtId="0" fontId="39" fillId="40" borderId="3" xfId="4" applyFont="1" applyFill="1" applyBorder="1" applyAlignment="1">
      <alignment horizontal="center"/>
    </xf>
    <xf numFmtId="0" fontId="39" fillId="40" borderId="4" xfId="4" applyFont="1" applyFill="1" applyBorder="1" applyAlignment="1">
      <alignment vertical="center"/>
    </xf>
    <xf numFmtId="0" fontId="46" fillId="40" borderId="4" xfId="4" applyFont="1" applyFill="1" applyBorder="1" applyAlignment="1">
      <alignment vertical="center"/>
    </xf>
    <xf numFmtId="3" fontId="46" fillId="40" borderId="10" xfId="4" applyNumberFormat="1" applyFont="1" applyFill="1" applyBorder="1"/>
    <xf numFmtId="0" fontId="39" fillId="40" borderId="5" xfId="4" applyFont="1" applyFill="1" applyBorder="1" applyAlignment="1">
      <alignment vertical="center"/>
    </xf>
    <xf numFmtId="0" fontId="39" fillId="40" borderId="3" xfId="4" applyFont="1" applyFill="1" applyBorder="1" applyAlignment="1">
      <alignment horizontal="center" vertical="center" wrapText="1"/>
    </xf>
    <xf numFmtId="3" fontId="39" fillId="40" borderId="43" xfId="4" applyNumberFormat="1" applyFont="1" applyFill="1" applyBorder="1"/>
    <xf numFmtId="0" fontId="47" fillId="40" borderId="17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/>
    </xf>
    <xf numFmtId="0" fontId="48" fillId="40" borderId="21" xfId="288" applyFont="1" applyFill="1" applyBorder="1" applyAlignment="1">
      <alignment horizontal="center"/>
    </xf>
    <xf numFmtId="0" fontId="39" fillId="40" borderId="22" xfId="288" applyFont="1" applyFill="1" applyBorder="1" applyAlignment="1">
      <alignment wrapText="1"/>
    </xf>
    <xf numFmtId="170" fontId="39" fillId="40" borderId="23" xfId="291" applyNumberFormat="1" applyFont="1" applyFill="1" applyBorder="1"/>
    <xf numFmtId="172" fontId="39" fillId="40" borderId="23" xfId="291" applyNumberFormat="1" applyFont="1" applyFill="1" applyBorder="1"/>
    <xf numFmtId="170" fontId="39" fillId="40" borderId="23" xfId="291" applyNumberFormat="1" applyFont="1" applyFill="1" applyBorder="1" applyAlignment="1">
      <alignment vertical="top"/>
    </xf>
    <xf numFmtId="170" fontId="39" fillId="40" borderId="24" xfId="291" applyNumberFormat="1" applyFont="1" applyFill="1" applyBorder="1" applyAlignment="1">
      <alignment vertical="top"/>
    </xf>
    <xf numFmtId="0" fontId="49" fillId="40" borderId="0" xfId="4" applyFont="1" applyFill="1" applyAlignment="1">
      <alignment horizontal="right"/>
    </xf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right"/>
    </xf>
    <xf numFmtId="3" fontId="45" fillId="3" borderId="7" xfId="4" applyNumberFormat="1" applyFont="1" applyFill="1" applyBorder="1"/>
    <xf numFmtId="0" fontId="49" fillId="40" borderId="0" xfId="4" applyFont="1" applyFill="1" applyAlignment="1">
      <alignment horizontal="center" vertical="center" wrapText="1"/>
    </xf>
    <xf numFmtId="0" fontId="39" fillId="40" borderId="0" xfId="4" applyFont="1" applyFill="1" applyAlignment="1">
      <alignment horizontal="center" vertical="center"/>
    </xf>
    <xf numFmtId="0" fontId="39" fillId="40" borderId="0" xfId="4" applyFont="1" applyFill="1" applyAlignment="1">
      <alignment horizontal="center" vertical="center" wrapText="1"/>
    </xf>
    <xf numFmtId="0" fontId="31" fillId="0" borderId="35" xfId="288" applyFont="1" applyBorder="1" applyAlignment="1">
      <alignment wrapText="1"/>
    </xf>
    <xf numFmtId="0" fontId="31" fillId="0" borderId="0" xfId="288" applyFont="1" applyAlignment="1">
      <alignment wrapText="1"/>
    </xf>
    <xf numFmtId="0" fontId="31" fillId="0" borderId="38" xfId="288" applyFont="1" applyBorder="1" applyAlignment="1">
      <alignment wrapText="1"/>
    </xf>
    <xf numFmtId="0" fontId="31" fillId="0" borderId="39" xfId="288" applyFont="1" applyBorder="1" applyAlignment="1">
      <alignment wrapText="1"/>
    </xf>
    <xf numFmtId="173" fontId="50" fillId="0" borderId="0" xfId="289" applyNumberFormat="1" applyFont="1" applyBorder="1"/>
    <xf numFmtId="17" fontId="31" fillId="0" borderId="38" xfId="288" applyNumberFormat="1" applyFont="1" applyBorder="1"/>
    <xf numFmtId="17" fontId="31" fillId="0" borderId="39" xfId="288" applyNumberFormat="1" applyFont="1" applyBorder="1"/>
    <xf numFmtId="173" fontId="50" fillId="0" borderId="38" xfId="289" applyNumberFormat="1" applyFont="1" applyBorder="1"/>
    <xf numFmtId="173" fontId="50" fillId="0" borderId="1" xfId="289" applyNumberFormat="1" applyFont="1" applyBorder="1"/>
    <xf numFmtId="17" fontId="31" fillId="0" borderId="40" xfId="288" applyNumberFormat="1" applyFont="1" applyBorder="1"/>
    <xf numFmtId="1" fontId="31" fillId="0" borderId="1" xfId="288" applyNumberFormat="1" applyFont="1" applyBorder="1"/>
    <xf numFmtId="17" fontId="31" fillId="0" borderId="41" xfId="288" applyNumberFormat="1" applyFont="1" applyBorder="1"/>
    <xf numFmtId="173" fontId="50" fillId="0" borderId="40" xfId="289" applyNumberFormat="1" applyFont="1" applyBorder="1"/>
    <xf numFmtId="0" fontId="31" fillId="0" borderId="0" xfId="5" applyFont="1"/>
    <xf numFmtId="0" fontId="31" fillId="0" borderId="0" xfId="5" applyFont="1" applyAlignment="1">
      <alignment horizontal="right"/>
    </xf>
    <xf numFmtId="0" fontId="47" fillId="40" borderId="0" xfId="5" applyFont="1" applyFill="1"/>
    <xf numFmtId="0" fontId="47" fillId="40" borderId="0" xfId="5" applyFont="1" applyFill="1" applyAlignment="1">
      <alignment horizontal="right"/>
    </xf>
    <xf numFmtId="3" fontId="31" fillId="0" borderId="0" xfId="5" applyNumberFormat="1" applyFont="1"/>
    <xf numFmtId="168" fontId="9" fillId="0" borderId="0" xfId="6" applyNumberFormat="1" applyFont="1"/>
    <xf numFmtId="168" fontId="31" fillId="0" borderId="0" xfId="5" applyNumberFormat="1" applyFont="1"/>
    <xf numFmtId="0" fontId="39" fillId="40" borderId="12" xfId="4" applyFont="1" applyFill="1" applyBorder="1" applyAlignment="1">
      <alignment vertical="center"/>
    </xf>
    <xf numFmtId="0" fontId="39" fillId="40" borderId="49" xfId="4" applyFont="1" applyFill="1" applyBorder="1" applyAlignment="1">
      <alignment horizontal="center" vertical="center"/>
    </xf>
    <xf numFmtId="0" fontId="39" fillId="40" borderId="50" xfId="4" applyFont="1" applyFill="1" applyBorder="1" applyAlignment="1">
      <alignment horizontal="center" vertical="center"/>
    </xf>
    <xf numFmtId="0" fontId="12" fillId="3" borderId="22" xfId="4" applyFont="1" applyFill="1" applyBorder="1"/>
    <xf numFmtId="3" fontId="12" fillId="3" borderId="23" xfId="4" applyNumberFormat="1" applyFont="1" applyFill="1" applyBorder="1"/>
    <xf numFmtId="3" fontId="12" fillId="3" borderId="24" xfId="4" applyNumberFormat="1" applyFont="1" applyFill="1" applyBorder="1"/>
    <xf numFmtId="0" fontId="31" fillId="0" borderId="0" xfId="288" applyFont="1" applyAlignment="1">
      <alignment horizontal="center"/>
    </xf>
    <xf numFmtId="0" fontId="31" fillId="0" borderId="36" xfId="288" applyFont="1" applyBorder="1" applyAlignment="1">
      <alignment horizontal="center" wrapText="1"/>
    </xf>
    <xf numFmtId="0" fontId="31" fillId="0" borderId="19" xfId="288" applyFont="1" applyBorder="1" applyAlignment="1">
      <alignment horizontal="center"/>
    </xf>
    <xf numFmtId="173" fontId="50" fillId="0" borderId="39" xfId="289" applyNumberFormat="1" applyFont="1" applyBorder="1"/>
    <xf numFmtId="173" fontId="50" fillId="0" borderId="41" xfId="289" applyNumberFormat="1" applyFont="1" applyBorder="1"/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1" fillId="0" borderId="18" xfId="288" applyFont="1" applyBorder="1"/>
    <xf numFmtId="0" fontId="31" fillId="0" borderId="19" xfId="288" applyFont="1" applyBorder="1"/>
    <xf numFmtId="0" fontId="31" fillId="0" borderId="20" xfId="288" applyFont="1" applyBorder="1"/>
    <xf numFmtId="173" fontId="31" fillId="0" borderId="0" xfId="288" applyNumberFormat="1" applyFont="1"/>
    <xf numFmtId="0" fontId="49" fillId="40" borderId="0" xfId="4" applyFont="1" applyFill="1" applyAlignment="1">
      <alignment horizontal="center"/>
    </xf>
    <xf numFmtId="173" fontId="9" fillId="0" borderId="0" xfId="289" applyNumberFormat="1" applyFont="1"/>
    <xf numFmtId="0" fontId="48" fillId="40" borderId="17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 wrapText="1"/>
    </xf>
    <xf numFmtId="0" fontId="48" fillId="40" borderId="20" xfId="288" applyFont="1" applyFill="1" applyBorder="1" applyAlignment="1">
      <alignment horizontal="center" vertical="center" wrapText="1"/>
    </xf>
    <xf numFmtId="170" fontId="31" fillId="0" borderId="17" xfId="288" applyNumberFormat="1" applyFont="1" applyBorder="1" applyAlignment="1">
      <alignment vertical="top"/>
    </xf>
    <xf numFmtId="168" fontId="9" fillId="0" borderId="2" xfId="290" applyNumberFormat="1" applyFont="1" applyBorder="1" applyAlignment="1">
      <alignment vertical="top"/>
    </xf>
    <xf numFmtId="170" fontId="31" fillId="0" borderId="2" xfId="288" applyNumberFormat="1" applyFont="1" applyBorder="1" applyAlignment="1">
      <alignment vertical="top"/>
    </xf>
    <xf numFmtId="170" fontId="31" fillId="0" borderId="21" xfId="288" applyNumberFormat="1" applyFont="1" applyBorder="1" applyAlignment="1">
      <alignment vertical="top"/>
    </xf>
    <xf numFmtId="170" fontId="31" fillId="0" borderId="20" xfId="288" applyNumberFormat="1" applyFont="1" applyBorder="1" applyAlignment="1">
      <alignment vertical="top"/>
    </xf>
    <xf numFmtId="170" fontId="31" fillId="0" borderId="6" xfId="288" applyNumberFormat="1" applyFont="1" applyBorder="1" applyAlignment="1">
      <alignment vertical="top"/>
    </xf>
    <xf numFmtId="170" fontId="31" fillId="0" borderId="44" xfId="288" applyNumberFormat="1" applyFont="1" applyBorder="1" applyAlignment="1">
      <alignment vertical="top"/>
    </xf>
    <xf numFmtId="0" fontId="31" fillId="0" borderId="0" xfId="288" applyFont="1" applyAlignment="1">
      <alignment horizontal="center" wrapText="1"/>
    </xf>
    <xf numFmtId="0" fontId="31" fillId="0" borderId="1" xfId="288" applyFont="1" applyBorder="1" applyAlignment="1">
      <alignment horizontal="center"/>
    </xf>
    <xf numFmtId="170" fontId="31" fillId="0" borderId="0" xfId="1" applyNumberFormat="1" applyFont="1"/>
    <xf numFmtId="0" fontId="31" fillId="0" borderId="36" xfId="288" applyFont="1" applyBorder="1" applyAlignment="1">
      <alignment wrapText="1"/>
    </xf>
    <xf numFmtId="173" fontId="50" fillId="0" borderId="1" xfId="289" applyNumberFormat="1" applyFont="1" applyBorder="1" applyAlignment="1">
      <alignment horizontal="center"/>
    </xf>
    <xf numFmtId="0" fontId="48" fillId="40" borderId="15" xfId="288" applyFont="1" applyFill="1" applyBorder="1"/>
    <xf numFmtId="0" fontId="48" fillId="40" borderId="1" xfId="288" applyFont="1" applyFill="1" applyBorder="1"/>
    <xf numFmtId="0" fontId="48" fillId="40" borderId="16" xfId="288" applyFont="1" applyFill="1" applyBorder="1"/>
    <xf numFmtId="0" fontId="47" fillId="40" borderId="40" xfId="288" applyFont="1" applyFill="1" applyBorder="1" applyAlignment="1">
      <alignment vertical="center"/>
    </xf>
    <xf numFmtId="0" fontId="48" fillId="40" borderId="41" xfId="288" applyFont="1" applyFill="1" applyBorder="1"/>
    <xf numFmtId="0" fontId="47" fillId="40" borderId="18" xfId="288" applyFont="1" applyFill="1" applyBorder="1" applyAlignment="1">
      <alignment vertical="center" wrapText="1"/>
    </xf>
    <xf numFmtId="0" fontId="31" fillId="0" borderId="18" xfId="288" applyFont="1" applyBorder="1" applyAlignment="1">
      <alignment vertical="center" wrapText="1"/>
    </xf>
    <xf numFmtId="0" fontId="48" fillId="40" borderId="18" xfId="288" applyFont="1" applyFill="1" applyBorder="1" applyAlignment="1">
      <alignment wrapText="1"/>
    </xf>
    <xf numFmtId="170" fontId="48" fillId="40" borderId="17" xfId="288" applyNumberFormat="1" applyFont="1" applyFill="1" applyBorder="1"/>
    <xf numFmtId="170" fontId="48" fillId="40" borderId="2" xfId="288" applyNumberFormat="1" applyFont="1" applyFill="1" applyBorder="1"/>
    <xf numFmtId="168" fontId="48" fillId="40" borderId="2" xfId="290" applyNumberFormat="1" applyFont="1" applyFill="1" applyBorder="1"/>
    <xf numFmtId="170" fontId="48" fillId="40" borderId="2" xfId="291" applyNumberFormat="1" applyFont="1" applyFill="1" applyBorder="1"/>
    <xf numFmtId="170" fontId="48" fillId="40" borderId="20" xfId="288" applyNumberFormat="1" applyFont="1" applyFill="1" applyBorder="1"/>
    <xf numFmtId="10" fontId="9" fillId="0" borderId="0" xfId="3" applyNumberFormat="1" applyFont="1"/>
    <xf numFmtId="0" fontId="9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43" fillId="0" borderId="39" xfId="288" applyFont="1" applyBorder="1"/>
    <xf numFmtId="0" fontId="43" fillId="0" borderId="0" xfId="288" applyFont="1"/>
    <xf numFmtId="170" fontId="43" fillId="0" borderId="0" xfId="1" applyNumberFormat="1" applyFont="1" applyBorder="1"/>
    <xf numFmtId="170" fontId="31" fillId="0" borderId="0" xfId="1" applyNumberFormat="1" applyFont="1" applyBorder="1"/>
    <xf numFmtId="3" fontId="44" fillId="0" borderId="0" xfId="288" applyNumberFormat="1" applyFont="1" applyAlignment="1">
      <alignment horizontal="right" vertical="center"/>
    </xf>
    <xf numFmtId="3" fontId="9" fillId="0" borderId="0" xfId="288" applyNumberFormat="1" applyFont="1"/>
    <xf numFmtId="10" fontId="13" fillId="2" borderId="0" xfId="7" applyNumberFormat="1" applyFont="1" applyFill="1"/>
    <xf numFmtId="170" fontId="31" fillId="0" borderId="37" xfId="288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wrapText="1"/>
    </xf>
    <xf numFmtId="166" fontId="9" fillId="0" borderId="0" xfId="1" applyFont="1" applyFill="1" applyAlignment="1">
      <alignment wrapText="1"/>
    </xf>
    <xf numFmtId="3" fontId="9" fillId="0" borderId="0" xfId="0" applyNumberFormat="1" applyFont="1" applyAlignment="1">
      <alignment wrapText="1"/>
    </xf>
    <xf numFmtId="170" fontId="9" fillId="0" borderId="0" xfId="1" applyNumberFormat="1" applyFont="1" applyFill="1" applyAlignment="1">
      <alignment wrapText="1"/>
    </xf>
    <xf numFmtId="3" fontId="9" fillId="0" borderId="0" xfId="1" applyNumberFormat="1" applyFont="1" applyFill="1" applyAlignment="1">
      <alignment wrapText="1"/>
    </xf>
    <xf numFmtId="17" fontId="9" fillId="0" borderId="0" xfId="0" applyNumberFormat="1" applyFont="1"/>
    <xf numFmtId="0" fontId="9" fillId="0" borderId="0" xfId="1" applyNumberFormat="1" applyFont="1" applyFill="1"/>
    <xf numFmtId="170" fontId="9" fillId="0" borderId="0" xfId="1" applyNumberFormat="1" applyFont="1" applyFill="1"/>
    <xf numFmtId="170" fontId="9" fillId="0" borderId="0" xfId="0" quotePrefix="1" applyNumberFormat="1" applyFont="1"/>
    <xf numFmtId="3" fontId="9" fillId="0" borderId="0" xfId="0" quotePrefix="1" applyNumberFormat="1" applyFont="1"/>
    <xf numFmtId="166" fontId="9" fillId="0" borderId="0" xfId="1" applyFont="1" applyFill="1"/>
    <xf numFmtId="0" fontId="9" fillId="3" borderId="0" xfId="4" applyFill="1"/>
    <xf numFmtId="166" fontId="9" fillId="0" borderId="0" xfId="0" applyNumberFormat="1" applyFont="1"/>
    <xf numFmtId="3" fontId="9" fillId="3" borderId="0" xfId="4" applyNumberFormat="1" applyFill="1"/>
    <xf numFmtId="0" fontId="9" fillId="3" borderId="0" xfId="288" applyFont="1" applyFill="1"/>
    <xf numFmtId="170" fontId="9" fillId="0" borderId="0" xfId="1" applyNumberFormat="1" applyFont="1" applyFill="1" applyBorder="1"/>
    <xf numFmtId="169" fontId="9" fillId="0" borderId="0" xfId="0" applyNumberFormat="1" applyFont="1"/>
    <xf numFmtId="14" fontId="39" fillId="40" borderId="0" xfId="0" applyNumberFormat="1" applyFont="1" applyFill="1"/>
    <xf numFmtId="0" fontId="39" fillId="40" borderId="0" xfId="0" applyFont="1" applyFill="1"/>
    <xf numFmtId="166" fontId="39" fillId="40" borderId="0" xfId="0" applyNumberFormat="1" applyFont="1" applyFill="1"/>
    <xf numFmtId="1" fontId="39" fillId="40" borderId="0" xfId="0" applyNumberFormat="1" applyFont="1" applyFill="1"/>
    <xf numFmtId="170" fontId="39" fillId="40" borderId="0" xfId="1" applyNumberFormat="1" applyFont="1" applyFill="1"/>
    <xf numFmtId="1" fontId="9" fillId="0" borderId="0" xfId="0" applyNumberFormat="1" applyFont="1"/>
    <xf numFmtId="168" fontId="9" fillId="0" borderId="0" xfId="3" applyNumberFormat="1" applyFont="1"/>
    <xf numFmtId="172" fontId="9" fillId="0" borderId="0" xfId="1" applyNumberFormat="1" applyFont="1"/>
    <xf numFmtId="187" fontId="9" fillId="0" borderId="0" xfId="1" applyNumberFormat="1" applyFont="1"/>
    <xf numFmtId="186" fontId="9" fillId="0" borderId="0" xfId="0" applyNumberFormat="1" applyFont="1"/>
    <xf numFmtId="11" fontId="9" fillId="0" borderId="0" xfId="0" applyNumberFormat="1" applyFont="1"/>
    <xf numFmtId="185" fontId="9" fillId="0" borderId="0" xfId="1" applyNumberFormat="1" applyFont="1"/>
    <xf numFmtId="9" fontId="9" fillId="0" borderId="0" xfId="3" applyFont="1"/>
    <xf numFmtId="10" fontId="9" fillId="0" borderId="0" xfId="0" applyNumberFormat="1" applyFont="1"/>
    <xf numFmtId="3" fontId="9" fillId="3" borderId="7" xfId="4" applyNumberFormat="1" applyFill="1" applyBorder="1"/>
    <xf numFmtId="180" fontId="9" fillId="0" borderId="0" xfId="3" applyNumberFormat="1" applyFont="1"/>
    <xf numFmtId="1" fontId="13" fillId="0" borderId="0" xfId="0" applyNumberFormat="1" applyFont="1"/>
    <xf numFmtId="0" fontId="9" fillId="3" borderId="17" xfId="4" applyFill="1" applyBorder="1"/>
    <xf numFmtId="3" fontId="9" fillId="3" borderId="2" xfId="4" applyNumberFormat="1" applyFill="1" applyBorder="1"/>
    <xf numFmtId="3" fontId="9" fillId="3" borderId="21" xfId="4" applyNumberFormat="1" applyFill="1" applyBorder="1"/>
    <xf numFmtId="3" fontId="9" fillId="3" borderId="42" xfId="4" applyNumberFormat="1" applyFill="1" applyBorder="1"/>
    <xf numFmtId="186" fontId="9" fillId="0" borderId="2" xfId="4" applyNumberFormat="1" applyBorder="1" applyAlignment="1">
      <alignment horizontal="right" vertical="center"/>
    </xf>
    <xf numFmtId="0" fontId="9" fillId="0" borderId="0" xfId="4"/>
    <xf numFmtId="170" fontId="9" fillId="0" borderId="2" xfId="4" applyNumberFormat="1" applyBorder="1"/>
    <xf numFmtId="170" fontId="51" fillId="0" borderId="0" xfId="287" applyNumberFormat="1" applyFont="1"/>
    <xf numFmtId="0" fontId="9" fillId="0" borderId="0" xfId="4" applyAlignment="1">
      <alignment horizontal="center"/>
    </xf>
    <xf numFmtId="3" fontId="9" fillId="0" borderId="0" xfId="4" applyNumberFormat="1"/>
    <xf numFmtId="171" fontId="9" fillId="0" borderId="0" xfId="4" applyNumberFormat="1"/>
    <xf numFmtId="171" fontId="9" fillId="0" borderId="0" xfId="0" applyNumberFormat="1" applyFont="1"/>
    <xf numFmtId="173" fontId="9" fillId="0" borderId="0" xfId="8" applyNumberFormat="1" applyFont="1"/>
    <xf numFmtId="0" fontId="12" fillId="0" borderId="0" xfId="0" applyFont="1" applyAlignment="1">
      <alignment horizontal="center"/>
    </xf>
    <xf numFmtId="3" fontId="9" fillId="0" borderId="0" xfId="4" applyNumberFormat="1" applyAlignment="1">
      <alignment horizontal="center"/>
    </xf>
    <xf numFmtId="9" fontId="9" fillId="0" borderId="0" xfId="4" applyNumberFormat="1"/>
    <xf numFmtId="10" fontId="9" fillId="0" borderId="0" xfId="7" applyNumberFormat="1" applyFont="1"/>
    <xf numFmtId="0" fontId="52" fillId="0" borderId="0" xfId="0" applyFont="1"/>
    <xf numFmtId="9" fontId="9" fillId="0" borderId="0" xfId="0" applyNumberFormat="1" applyFont="1"/>
    <xf numFmtId="0" fontId="52" fillId="0" borderId="42" xfId="0" applyFont="1" applyBorder="1"/>
    <xf numFmtId="0" fontId="53" fillId="0" borderId="0" xfId="0" applyFont="1"/>
    <xf numFmtId="172" fontId="53" fillId="0" borderId="0" xfId="1" applyNumberFormat="1" applyFont="1"/>
    <xf numFmtId="10" fontId="53" fillId="0" borderId="0" xfId="3" applyNumberFormat="1" applyFont="1"/>
    <xf numFmtId="172" fontId="13" fillId="0" borderId="0" xfId="0" applyNumberFormat="1" applyFont="1"/>
    <xf numFmtId="166" fontId="13" fillId="0" borderId="0" xfId="0" applyNumberFormat="1" applyFont="1"/>
    <xf numFmtId="170" fontId="9" fillId="0" borderId="0" xfId="291" applyNumberFormat="1" applyFont="1"/>
    <xf numFmtId="0" fontId="31" fillId="0" borderId="0" xfId="288" quotePrefix="1" applyFont="1"/>
    <xf numFmtId="169" fontId="31" fillId="0" borderId="0" xfId="288" applyNumberFormat="1" applyFont="1"/>
    <xf numFmtId="168" fontId="9" fillId="0" borderId="0" xfId="290" applyNumberFormat="1" applyFont="1"/>
    <xf numFmtId="183" fontId="31" fillId="0" borderId="0" xfId="288" applyNumberFormat="1" applyFont="1"/>
    <xf numFmtId="0" fontId="51" fillId="0" borderId="0" xfId="287" applyFont="1"/>
    <xf numFmtId="172" fontId="40" fillId="0" borderId="0" xfId="291" applyNumberFormat="1" applyFont="1"/>
    <xf numFmtId="168" fontId="40" fillId="0" borderId="0" xfId="288" applyNumberFormat="1" applyFont="1"/>
    <xf numFmtId="10" fontId="9" fillId="0" borderId="0" xfId="290" applyNumberFormat="1" applyFont="1" applyAlignment="1">
      <alignment vertical="center"/>
    </xf>
    <xf numFmtId="0" fontId="54" fillId="0" borderId="0" xfId="288" applyFont="1"/>
    <xf numFmtId="0" fontId="40" fillId="0" borderId="0" xfId="288" applyFont="1"/>
    <xf numFmtId="10" fontId="31" fillId="2" borderId="0" xfId="288" applyNumberFormat="1" applyFont="1" applyFill="1"/>
    <xf numFmtId="168" fontId="9" fillId="2" borderId="0" xfId="290" applyNumberFormat="1" applyFont="1" applyFill="1"/>
    <xf numFmtId="9" fontId="9" fillId="0" borderId="0" xfId="290" applyFont="1"/>
    <xf numFmtId="170" fontId="40" fillId="0" borderId="0" xfId="291" applyNumberFormat="1" applyFont="1"/>
    <xf numFmtId="168" fontId="9" fillId="2" borderId="0" xfId="3" applyNumberFormat="1" applyFont="1" applyFill="1"/>
    <xf numFmtId="168" fontId="31" fillId="0" borderId="0" xfId="288" applyNumberFormat="1" applyFont="1"/>
    <xf numFmtId="184" fontId="55" fillId="0" borderId="0" xfId="288" applyNumberFormat="1" applyFont="1"/>
    <xf numFmtId="184" fontId="40" fillId="0" borderId="0" xfId="288" applyNumberFormat="1" applyFont="1"/>
    <xf numFmtId="0" fontId="31" fillId="0" borderId="0" xfId="288" applyFont="1" applyAlignment="1">
      <alignment vertical="center"/>
    </xf>
    <xf numFmtId="170" fontId="40" fillId="0" borderId="0" xfId="288" applyNumberFormat="1" applyFont="1"/>
    <xf numFmtId="173" fontId="40" fillId="0" borderId="0" xfId="288" applyNumberFormat="1" applyFont="1"/>
    <xf numFmtId="170" fontId="9" fillId="0" borderId="0" xfId="289" applyNumberFormat="1" applyFont="1"/>
    <xf numFmtId="170" fontId="31" fillId="0" borderId="0" xfId="288" applyNumberFormat="1" applyFont="1" applyAlignment="1">
      <alignment horizontal="left"/>
    </xf>
    <xf numFmtId="10" fontId="31" fillId="0" borderId="0" xfId="288" applyNumberFormat="1" applyFont="1" applyAlignment="1">
      <alignment horizontal="left"/>
    </xf>
    <xf numFmtId="0" fontId="31" fillId="0" borderId="36" xfId="288" applyFont="1" applyBorder="1" applyAlignment="1">
      <alignment horizontal="left"/>
    </xf>
    <xf numFmtId="0" fontId="31" fillId="0" borderId="2" xfId="288" applyFont="1" applyBorder="1"/>
    <xf numFmtId="0" fontId="40" fillId="0" borderId="0" xfId="288" applyFont="1" applyAlignment="1">
      <alignment vertical="center"/>
    </xf>
    <xf numFmtId="170" fontId="9" fillId="0" borderId="0" xfId="289" applyNumberFormat="1" applyFont="1" applyBorder="1"/>
    <xf numFmtId="170" fontId="9" fillId="2" borderId="0" xfId="289" applyNumberFormat="1" applyFont="1" applyFill="1" applyBorder="1"/>
    <xf numFmtId="170" fontId="9" fillId="2" borderId="39" xfId="289" applyNumberFormat="1" applyFont="1" applyFill="1" applyBorder="1"/>
    <xf numFmtId="43" fontId="31" fillId="0" borderId="0" xfId="288" applyNumberFormat="1" applyFont="1"/>
    <xf numFmtId="0" fontId="40" fillId="0" borderId="36" xfId="288" applyFont="1" applyBorder="1" applyAlignment="1">
      <alignment vertical="center"/>
    </xf>
    <xf numFmtId="170" fontId="9" fillId="0" borderId="36" xfId="289" applyNumberFormat="1" applyFont="1" applyBorder="1"/>
    <xf numFmtId="170" fontId="31" fillId="4" borderId="36" xfId="288" applyNumberFormat="1" applyFont="1" applyFill="1" applyBorder="1"/>
    <xf numFmtId="170" fontId="31" fillId="4" borderId="37" xfId="288" applyNumberFormat="1" applyFont="1" applyFill="1" applyBorder="1"/>
    <xf numFmtId="170" fontId="9" fillId="0" borderId="0" xfId="289" applyNumberFormat="1" applyFont="1" applyFill="1" applyBorder="1"/>
    <xf numFmtId="170" fontId="9" fillId="0" borderId="39" xfId="289" applyNumberFormat="1" applyFont="1" applyFill="1" applyBorder="1"/>
    <xf numFmtId="170" fontId="9" fillId="0" borderId="39" xfId="289" applyNumberFormat="1" applyFont="1" applyBorder="1"/>
    <xf numFmtId="0" fontId="40" fillId="0" borderId="1" xfId="288" applyFont="1" applyBorder="1" applyAlignment="1">
      <alignment vertical="center"/>
    </xf>
    <xf numFmtId="170" fontId="9" fillId="0" borderId="1" xfId="289" applyNumberFormat="1" applyFont="1" applyBorder="1"/>
    <xf numFmtId="170" fontId="9" fillId="0" borderId="41" xfId="289" applyNumberFormat="1" applyFont="1" applyBorder="1"/>
    <xf numFmtId="172" fontId="31" fillId="0" borderId="0" xfId="288" applyNumberFormat="1" applyFont="1"/>
    <xf numFmtId="172" fontId="31" fillId="0" borderId="39" xfId="288" applyNumberFormat="1" applyFont="1" applyBorder="1"/>
    <xf numFmtId="166" fontId="31" fillId="0" borderId="36" xfId="288" applyNumberFormat="1" applyFont="1" applyBorder="1"/>
    <xf numFmtId="172" fontId="31" fillId="0" borderId="36" xfId="288" applyNumberFormat="1" applyFont="1" applyBorder="1"/>
    <xf numFmtId="0" fontId="31" fillId="0" borderId="38" xfId="288" applyFont="1" applyBorder="1" applyAlignment="1">
      <alignment horizontal="center" vertical="center" wrapText="1"/>
    </xf>
    <xf numFmtId="10" fontId="9" fillId="0" borderId="0" xfId="290" applyNumberFormat="1" applyFont="1" applyBorder="1"/>
    <xf numFmtId="168" fontId="9" fillId="0" borderId="0" xfId="295" applyNumberFormat="1" applyFont="1" applyBorder="1"/>
    <xf numFmtId="10" fontId="9" fillId="0" borderId="39" xfId="290" applyNumberFormat="1" applyFont="1" applyBorder="1"/>
    <xf numFmtId="168" fontId="9" fillId="0" borderId="0" xfId="290" applyNumberFormat="1" applyFont="1" applyBorder="1"/>
    <xf numFmtId="168" fontId="9" fillId="2" borderId="0" xfId="290" applyNumberFormat="1" applyFont="1" applyFill="1" applyBorder="1"/>
    <xf numFmtId="168" fontId="9" fillId="2" borderId="39" xfId="290" applyNumberFormat="1" applyFont="1" applyFill="1" applyBorder="1"/>
    <xf numFmtId="10" fontId="9" fillId="0" borderId="0" xfId="3" applyNumberFormat="1" applyFont="1" applyBorder="1"/>
    <xf numFmtId="168" fontId="31" fillId="0" borderId="39" xfId="288" applyNumberFormat="1" applyFont="1" applyBorder="1"/>
    <xf numFmtId="168" fontId="9" fillId="0" borderId="1" xfId="290" applyNumberFormat="1" applyFont="1" applyBorder="1"/>
    <xf numFmtId="10" fontId="31" fillId="0" borderId="35" xfId="294" applyNumberFormat="1" applyFont="1" applyBorder="1" applyAlignment="1">
      <alignment horizontal="center" vertical="center"/>
    </xf>
    <xf numFmtId="0" fontId="31" fillId="0" borderId="36" xfId="294" applyFont="1" applyBorder="1"/>
    <xf numFmtId="168" fontId="9" fillId="0" borderId="36" xfId="295" applyNumberFormat="1" applyFont="1" applyBorder="1"/>
    <xf numFmtId="168" fontId="31" fillId="0" borderId="36" xfId="294" applyNumberFormat="1" applyFont="1" applyBorder="1"/>
    <xf numFmtId="168" fontId="31" fillId="0" borderId="37" xfId="294" applyNumberFormat="1" applyFont="1" applyBorder="1"/>
    <xf numFmtId="10" fontId="31" fillId="0" borderId="38" xfId="294" applyNumberFormat="1" applyFont="1" applyBorder="1" applyAlignment="1">
      <alignment horizontal="center" vertical="center"/>
    </xf>
    <xf numFmtId="0" fontId="31" fillId="0" borderId="0" xfId="294" applyFont="1"/>
    <xf numFmtId="10" fontId="31" fillId="0" borderId="0" xfId="3" applyNumberFormat="1" applyFont="1" applyBorder="1"/>
    <xf numFmtId="0" fontId="40" fillId="0" borderId="1" xfId="288" applyFont="1" applyBorder="1"/>
    <xf numFmtId="181" fontId="9" fillId="0" borderId="0" xfId="290" applyNumberFormat="1" applyFont="1" applyAlignment="1">
      <alignment horizontal="center"/>
    </xf>
    <xf numFmtId="0" fontId="31" fillId="0" borderId="0" xfId="288" applyFont="1" applyAlignment="1">
      <alignment horizontal="left"/>
    </xf>
    <xf numFmtId="166" fontId="31" fillId="0" borderId="0" xfId="288" applyNumberFormat="1" applyFont="1"/>
    <xf numFmtId="43" fontId="31" fillId="0" borderId="37" xfId="288" applyNumberFormat="1" applyFont="1" applyBorder="1"/>
    <xf numFmtId="170" fontId="31" fillId="0" borderId="38" xfId="288" applyNumberFormat="1" applyFont="1" applyBorder="1"/>
    <xf numFmtId="170" fontId="31" fillId="0" borderId="52" xfId="288" applyNumberFormat="1" applyFont="1" applyBorder="1"/>
    <xf numFmtId="10" fontId="31" fillId="0" borderId="2" xfId="288" applyNumberFormat="1" applyFont="1" applyBorder="1"/>
    <xf numFmtId="170" fontId="31" fillId="0" borderId="40" xfId="288" applyNumberFormat="1" applyFont="1" applyBorder="1"/>
    <xf numFmtId="170" fontId="31" fillId="0" borderId="51" xfId="288" applyNumberFormat="1" applyFont="1" applyBorder="1"/>
    <xf numFmtId="168" fontId="31" fillId="0" borderId="38" xfId="3" applyNumberFormat="1" applyFont="1" applyBorder="1"/>
    <xf numFmtId="168" fontId="31" fillId="0" borderId="52" xfId="3" applyNumberFormat="1" applyFont="1" applyBorder="1"/>
    <xf numFmtId="168" fontId="31" fillId="0" borderId="40" xfId="3" applyNumberFormat="1" applyFont="1" applyBorder="1"/>
    <xf numFmtId="168" fontId="31" fillId="0" borderId="51" xfId="3" applyNumberFormat="1" applyFont="1" applyBorder="1"/>
    <xf numFmtId="170" fontId="31" fillId="0" borderId="2" xfId="288" applyNumberFormat="1" applyFont="1" applyBorder="1"/>
    <xf numFmtId="0" fontId="40" fillId="0" borderId="40" xfId="288" applyFont="1" applyBorder="1"/>
    <xf numFmtId="170" fontId="40" fillId="0" borderId="2" xfId="288" applyNumberFormat="1" applyFont="1" applyBorder="1"/>
    <xf numFmtId="166" fontId="31" fillId="0" borderId="2" xfId="288" applyNumberFormat="1" applyFont="1" applyBorder="1"/>
    <xf numFmtId="0" fontId="55" fillId="0" borderId="2" xfId="288" applyFont="1" applyBorder="1"/>
    <xf numFmtId="170" fontId="55" fillId="0" borderId="2" xfId="288" applyNumberFormat="1" applyFont="1" applyBorder="1"/>
    <xf numFmtId="168" fontId="55" fillId="0" borderId="2" xfId="288" applyNumberFormat="1" applyFont="1" applyBorder="1"/>
    <xf numFmtId="10" fontId="55" fillId="0" borderId="2" xfId="288" applyNumberFormat="1" applyFont="1" applyBorder="1"/>
    <xf numFmtId="170" fontId="56" fillId="0" borderId="2" xfId="288" applyNumberFormat="1" applyFont="1" applyBorder="1"/>
    <xf numFmtId="9" fontId="9" fillId="0" borderId="0" xfId="290" applyFont="1" applyAlignment="1">
      <alignment horizontal="center"/>
    </xf>
    <xf numFmtId="173" fontId="31" fillId="0" borderId="2" xfId="288" applyNumberFormat="1" applyFont="1" applyBorder="1"/>
    <xf numFmtId="168" fontId="9" fillId="0" borderId="0" xfId="0" applyNumberFormat="1" applyFont="1"/>
    <xf numFmtId="0" fontId="50" fillId="0" borderId="0" xfId="0" applyFont="1"/>
    <xf numFmtId="0" fontId="50" fillId="0" borderId="0" xfId="0" applyFont="1" applyAlignment="1">
      <alignment horizontal="left"/>
    </xf>
    <xf numFmtId="170" fontId="50" fillId="0" borderId="0" xfId="1" applyNumberFormat="1" applyFont="1"/>
    <xf numFmtId="170" fontId="50" fillId="0" borderId="0" xfId="0" applyNumberFormat="1" applyFont="1"/>
    <xf numFmtId="0" fontId="50" fillId="0" borderId="0" xfId="0" applyFont="1" applyAlignment="1" applyProtection="1">
      <alignment horizontal="left" vertical="center"/>
      <protection locked="0"/>
    </xf>
    <xf numFmtId="170" fontId="50" fillId="0" borderId="0" xfId="1" applyNumberFormat="1" applyFont="1" applyFill="1"/>
    <xf numFmtId="0" fontId="31" fillId="0" borderId="0" xfId="0" applyFont="1" applyAlignment="1" applyProtection="1">
      <alignment horizontal="left" vertical="center"/>
      <protection locked="0"/>
    </xf>
    <xf numFmtId="170" fontId="50" fillId="2" borderId="0" xfId="1" applyNumberFormat="1" applyFont="1" applyFill="1"/>
    <xf numFmtId="170" fontId="50" fillId="0" borderId="0" xfId="1" applyNumberFormat="1" applyFont="1" applyFill="1" applyBorder="1"/>
    <xf numFmtId="173" fontId="9" fillId="0" borderId="0" xfId="1" applyNumberFormat="1" applyFont="1"/>
    <xf numFmtId="2" fontId="50" fillId="0" borderId="0" xfId="0" applyNumberFormat="1" applyFont="1"/>
    <xf numFmtId="172" fontId="50" fillId="0" borderId="0" xfId="1" applyNumberFormat="1" applyFont="1"/>
    <xf numFmtId="166" fontId="50" fillId="0" borderId="0" xfId="0" applyNumberFormat="1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70" fontId="45" fillId="0" borderId="0" xfId="1" applyNumberFormat="1" applyFont="1"/>
    <xf numFmtId="169" fontId="13" fillId="0" borderId="0" xfId="0" applyNumberFormat="1" applyFont="1"/>
    <xf numFmtId="0" fontId="12" fillId="0" borderId="0" xfId="0" applyFont="1"/>
    <xf numFmtId="2" fontId="9" fillId="0" borderId="0" xfId="0" applyNumberFormat="1" applyFont="1"/>
    <xf numFmtId="166" fontId="9" fillId="0" borderId="0" xfId="1" applyFont="1" applyAlignment="1">
      <alignment horizontal="center"/>
    </xf>
    <xf numFmtId="0" fontId="57" fillId="0" borderId="0" xfId="287" applyFont="1"/>
    <xf numFmtId="0" fontId="9" fillId="0" borderId="35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15" fontId="42" fillId="0" borderId="0" xfId="0" applyNumberFormat="1" applyFont="1" applyAlignment="1">
      <alignment horizontal="right" vertical="center"/>
    </xf>
    <xf numFmtId="15" fontId="9" fillId="0" borderId="0" xfId="0" applyNumberFormat="1" applyFont="1" applyAlignment="1">
      <alignment horizontal="center"/>
    </xf>
    <xf numFmtId="0" fontId="9" fillId="0" borderId="39" xfId="0" applyFont="1" applyBorder="1"/>
    <xf numFmtId="10" fontId="9" fillId="0" borderId="39" xfId="0" applyNumberFormat="1" applyFont="1" applyBorder="1"/>
    <xf numFmtId="168" fontId="9" fillId="0" borderId="0" xfId="3" applyNumberFormat="1" applyFont="1" applyBorder="1"/>
    <xf numFmtId="168" fontId="9" fillId="0" borderId="0" xfId="3" applyNumberFormat="1" applyFont="1" applyFill="1" applyBorder="1"/>
    <xf numFmtId="0" fontId="9" fillId="0" borderId="38" xfId="4" applyBorder="1"/>
    <xf numFmtId="0" fontId="9" fillId="0" borderId="40" xfId="0" applyFont="1" applyBorder="1"/>
    <xf numFmtId="168" fontId="9" fillId="0" borderId="1" xfId="0" applyNumberFormat="1" applyFont="1" applyBorder="1"/>
    <xf numFmtId="0" fontId="9" fillId="0" borderId="1" xfId="4" applyBorder="1"/>
    <xf numFmtId="10" fontId="9" fillId="0" borderId="1" xfId="0" applyNumberFormat="1" applyFont="1" applyBorder="1"/>
    <xf numFmtId="10" fontId="9" fillId="0" borderId="41" xfId="0" applyNumberFormat="1" applyFont="1" applyBorder="1"/>
    <xf numFmtId="17" fontId="44" fillId="0" borderId="0" xfId="0" applyNumberFormat="1" applyFont="1" applyAlignment="1">
      <alignment horizontal="left" vertical="center" wrapText="1"/>
    </xf>
    <xf numFmtId="4" fontId="44" fillId="0" borderId="0" xfId="0" applyNumberFormat="1" applyFont="1" applyAlignment="1">
      <alignment horizontal="right" vertical="center"/>
    </xf>
    <xf numFmtId="4" fontId="57" fillId="0" borderId="0" xfId="287" applyNumberFormat="1" applyFont="1" applyAlignment="1">
      <alignment horizontal="left" vertical="center"/>
    </xf>
    <xf numFmtId="4" fontId="44" fillId="0" borderId="0" xfId="0" applyNumberFormat="1" applyFont="1" applyAlignment="1">
      <alignment horizontal="left" vertical="center"/>
    </xf>
    <xf numFmtId="167" fontId="9" fillId="0" borderId="0" xfId="4" applyNumberFormat="1"/>
    <xf numFmtId="10" fontId="9" fillId="0" borderId="0" xfId="4" applyNumberFormat="1"/>
    <xf numFmtId="181" fontId="9" fillId="0" borderId="0" xfId="3" applyNumberFormat="1" applyFont="1"/>
    <xf numFmtId="182" fontId="9" fillId="0" borderId="0" xfId="0" applyNumberFormat="1" applyFont="1"/>
    <xf numFmtId="170" fontId="58" fillId="0" borderId="0" xfId="1" applyNumberFormat="1" applyFont="1"/>
    <xf numFmtId="2" fontId="58" fillId="0" borderId="0" xfId="0" applyNumberFormat="1" applyFont="1"/>
    <xf numFmtId="0" fontId="44" fillId="0" borderId="0" xfId="0" applyFont="1" applyAlignment="1">
      <alignment horizontal="right" vertical="center"/>
    </xf>
    <xf numFmtId="14" fontId="53" fillId="0" borderId="0" xfId="0" applyNumberFormat="1" applyFont="1"/>
    <xf numFmtId="172" fontId="58" fillId="0" borderId="0" xfId="1" applyNumberFormat="1" applyFont="1"/>
    <xf numFmtId="14" fontId="58" fillId="0" borderId="0" xfId="0" applyNumberFormat="1" applyFont="1"/>
    <xf numFmtId="0" fontId="58" fillId="0" borderId="0" xfId="0" applyFont="1"/>
    <xf numFmtId="170" fontId="9" fillId="0" borderId="0" xfId="1" applyNumberFormat="1" applyFont="1" applyAlignment="1">
      <alignment horizontal="right" wrapText="1"/>
    </xf>
    <xf numFmtId="170" fontId="9" fillId="39" borderId="0" xfId="1" applyNumberFormat="1" applyFont="1" applyFill="1" applyAlignment="1">
      <alignment horizontal="right" wrapText="1"/>
    </xf>
    <xf numFmtId="0" fontId="9" fillId="3" borderId="0" xfId="0" applyFont="1" applyFill="1"/>
    <xf numFmtId="0" fontId="48" fillId="40" borderId="46" xfId="288" applyFont="1" applyFill="1" applyBorder="1" applyAlignment="1">
      <alignment horizontal="center"/>
    </xf>
    <xf numFmtId="0" fontId="48" fillId="40" borderId="47" xfId="288" applyFont="1" applyFill="1" applyBorder="1" applyAlignment="1">
      <alignment horizontal="center"/>
    </xf>
    <xf numFmtId="0" fontId="48" fillId="40" borderId="48" xfId="288" applyFont="1" applyFill="1" applyBorder="1" applyAlignment="1">
      <alignment horizontal="center"/>
    </xf>
    <xf numFmtId="170" fontId="31" fillId="0" borderId="17" xfId="291" applyNumberFormat="1" applyFont="1" applyFill="1" applyBorder="1" applyAlignment="1">
      <alignment horizontal="right" vertical="center"/>
    </xf>
    <xf numFmtId="170" fontId="31" fillId="0" borderId="22" xfId="291" applyNumberFormat="1" applyFont="1" applyFill="1" applyBorder="1" applyAlignment="1">
      <alignment horizontal="right" vertical="center"/>
    </xf>
    <xf numFmtId="172" fontId="9" fillId="0" borderId="23" xfId="291" applyNumberFormat="1" applyFont="1" applyBorder="1" applyAlignment="1">
      <alignment vertical="center"/>
    </xf>
    <xf numFmtId="170" fontId="31" fillId="0" borderId="24" xfId="291" applyNumberFormat="1" applyFont="1" applyBorder="1" applyAlignment="1">
      <alignment vertical="center"/>
    </xf>
    <xf numFmtId="181" fontId="9" fillId="3" borderId="0" xfId="3" applyNumberFormat="1" applyFont="1" applyFill="1"/>
    <xf numFmtId="173" fontId="9" fillId="3" borderId="0" xfId="4" applyNumberFormat="1" applyFill="1"/>
    <xf numFmtId="0" fontId="9" fillId="0" borderId="0" xfId="4" applyAlignment="1">
      <alignment wrapText="1"/>
    </xf>
    <xf numFmtId="173" fontId="9" fillId="0" borderId="0" xfId="8" applyNumberFormat="1" applyFont="1" applyAlignment="1">
      <alignment wrapText="1"/>
    </xf>
    <xf numFmtId="0" fontId="9" fillId="0" borderId="0" xfId="0" applyFont="1" applyAlignment="1">
      <alignment horizontal="center" wrapText="1"/>
    </xf>
    <xf numFmtId="171" fontId="9" fillId="0" borderId="0" xfId="4" applyNumberFormat="1" applyAlignment="1">
      <alignment wrapText="1"/>
    </xf>
    <xf numFmtId="0" fontId="39" fillId="40" borderId="0" xfId="0" applyFont="1" applyFill="1" applyAlignment="1">
      <alignment horizontal="center"/>
    </xf>
    <xf numFmtId="3" fontId="45" fillId="3" borderId="0" xfId="4" applyNumberFormat="1" applyFont="1" applyFill="1"/>
    <xf numFmtId="0" fontId="59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1" applyFont="1" applyAlignment="1">
      <alignment horizontal="center"/>
    </xf>
    <xf numFmtId="0" fontId="31" fillId="0" borderId="0" xfId="288" applyFont="1" applyAlignment="1">
      <alignment horizontal="center"/>
    </xf>
    <xf numFmtId="0" fontId="31" fillId="0" borderId="18" xfId="288" applyFont="1" applyBorder="1" applyAlignment="1">
      <alignment horizontal="center"/>
    </xf>
    <xf numFmtId="0" fontId="31" fillId="0" borderId="19" xfId="288" applyFont="1" applyBorder="1" applyAlignment="1">
      <alignment horizontal="center"/>
    </xf>
    <xf numFmtId="0" fontId="31" fillId="0" borderId="20" xfId="288" applyFont="1" applyBorder="1" applyAlignment="1">
      <alignment horizontal="center"/>
    </xf>
    <xf numFmtId="0" fontId="31" fillId="0" borderId="35" xfId="288" applyFont="1" applyBorder="1" applyAlignment="1">
      <alignment horizontal="center" vertical="center" wrapText="1"/>
    </xf>
    <xf numFmtId="0" fontId="31" fillId="0" borderId="36" xfId="288" applyFont="1" applyBorder="1" applyAlignment="1">
      <alignment horizontal="center" vertical="center" wrapText="1"/>
    </xf>
    <xf numFmtId="0" fontId="31" fillId="0" borderId="37" xfId="288" applyFont="1" applyBorder="1" applyAlignment="1">
      <alignment horizontal="center" vertical="center" wrapText="1"/>
    </xf>
    <xf numFmtId="0" fontId="31" fillId="0" borderId="38" xfId="288" applyFont="1" applyBorder="1" applyAlignment="1">
      <alignment horizontal="center" vertical="center" wrapText="1"/>
    </xf>
    <xf numFmtId="0" fontId="31" fillId="0" borderId="40" xfId="288" applyFont="1" applyBorder="1" applyAlignment="1">
      <alignment horizontal="center" vertical="center" wrapText="1"/>
    </xf>
    <xf numFmtId="10" fontId="31" fillId="0" borderId="35" xfId="294" applyNumberFormat="1" applyFont="1" applyBorder="1" applyAlignment="1">
      <alignment horizontal="center" vertical="center"/>
    </xf>
    <xf numFmtId="10" fontId="31" fillId="0" borderId="38" xfId="294" applyNumberFormat="1" applyFont="1" applyBorder="1" applyAlignment="1">
      <alignment horizontal="center" vertical="center"/>
    </xf>
    <xf numFmtId="10" fontId="31" fillId="0" borderId="40" xfId="294" applyNumberFormat="1" applyFont="1" applyBorder="1" applyAlignment="1">
      <alignment horizontal="center" vertical="center"/>
    </xf>
    <xf numFmtId="0" fontId="31" fillId="0" borderId="2" xfId="288" applyFont="1" applyBorder="1" applyAlignment="1">
      <alignment horizontal="center"/>
    </xf>
    <xf numFmtId="170" fontId="40" fillId="0" borderId="38" xfId="288" applyNumberFormat="1" applyFont="1" applyBorder="1" applyAlignment="1">
      <alignment horizontal="center"/>
    </xf>
    <xf numFmtId="170" fontId="40" fillId="0" borderId="0" xfId="288" applyNumberFormat="1" applyFont="1" applyAlignment="1">
      <alignment horizontal="center"/>
    </xf>
    <xf numFmtId="0" fontId="31" fillId="0" borderId="38" xfId="288" applyFont="1" applyBorder="1" applyAlignment="1">
      <alignment horizontal="center"/>
    </xf>
    <xf numFmtId="0" fontId="31" fillId="0" borderId="0" xfId="288" applyFont="1" applyAlignment="1">
      <alignment horizontal="center" vertical="center" wrapText="1"/>
    </xf>
    <xf numFmtId="10" fontId="9" fillId="0" borderId="0" xfId="290" applyNumberFormat="1" applyFont="1" applyAlignment="1">
      <alignment horizontal="center" vertical="center"/>
    </xf>
    <xf numFmtId="0" fontId="39" fillId="40" borderId="35" xfId="4" applyFont="1" applyFill="1" applyBorder="1" applyAlignment="1">
      <alignment horizontal="center" vertical="center"/>
    </xf>
    <xf numFmtId="0" fontId="39" fillId="40" borderId="37" xfId="4" applyFont="1" applyFill="1" applyBorder="1" applyAlignment="1">
      <alignment horizontal="center" vertical="center"/>
    </xf>
    <xf numFmtId="0" fontId="47" fillId="40" borderId="0" xfId="5" applyFont="1" applyFill="1" applyAlignment="1">
      <alignment horizontal="center"/>
    </xf>
    <xf numFmtId="0" fontId="31" fillId="0" borderId="0" xfId="5" applyFont="1"/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center" wrapText="1"/>
    </xf>
    <xf numFmtId="0" fontId="48" fillId="40" borderId="54" xfId="288" applyFont="1" applyFill="1" applyBorder="1" applyAlignment="1">
      <alignment horizontal="center"/>
    </xf>
    <xf numFmtId="0" fontId="48" fillId="40" borderId="55" xfId="288" applyFont="1" applyFill="1" applyBorder="1" applyAlignment="1">
      <alignment horizontal="center"/>
    </xf>
    <xf numFmtId="0" fontId="48" fillId="40" borderId="45" xfId="288" applyFont="1" applyFill="1" applyBorder="1" applyAlignment="1">
      <alignment horizontal="center"/>
    </xf>
    <xf numFmtId="0" fontId="48" fillId="40" borderId="15" xfId="288" applyFont="1" applyFill="1" applyBorder="1" applyAlignment="1">
      <alignment horizontal="center"/>
    </xf>
    <xf numFmtId="0" fontId="48" fillId="40" borderId="1" xfId="288" applyFont="1" applyFill="1" applyBorder="1" applyAlignment="1">
      <alignment horizontal="center"/>
    </xf>
    <xf numFmtId="0" fontId="48" fillId="40" borderId="16" xfId="288" applyFont="1" applyFill="1" applyBorder="1" applyAlignment="1">
      <alignment horizontal="center"/>
    </xf>
    <xf numFmtId="0" fontId="47" fillId="40" borderId="12" xfId="288" applyFont="1" applyFill="1" applyBorder="1" applyAlignment="1">
      <alignment horizontal="center"/>
    </xf>
    <xf numFmtId="0" fontId="47" fillId="40" borderId="13" xfId="288" applyFont="1" applyFill="1" applyBorder="1" applyAlignment="1">
      <alignment horizontal="center"/>
    </xf>
    <xf numFmtId="0" fontId="47" fillId="40" borderId="14" xfId="288" applyFont="1" applyFill="1" applyBorder="1" applyAlignment="1">
      <alignment horizontal="center"/>
    </xf>
    <xf numFmtId="0" fontId="47" fillId="40" borderId="17" xfId="288" applyFont="1" applyFill="1" applyBorder="1" applyAlignment="1">
      <alignment horizontal="center" vertical="center"/>
    </xf>
    <xf numFmtId="0" fontId="48" fillId="40" borderId="18" xfId="288" applyFont="1" applyFill="1" applyBorder="1" applyAlignment="1">
      <alignment horizontal="center" vertical="center"/>
    </xf>
    <xf numFmtId="0" fontId="48" fillId="40" borderId="19" xfId="288" applyFont="1" applyFill="1" applyBorder="1" applyAlignment="1">
      <alignment horizontal="center" vertical="center"/>
    </xf>
    <xf numFmtId="0" fontId="48" fillId="40" borderId="20" xfId="288" applyFont="1" applyFill="1" applyBorder="1" applyAlignment="1">
      <alignment horizontal="center" vertical="center"/>
    </xf>
    <xf numFmtId="175" fontId="48" fillId="40" borderId="18" xfId="288" applyNumberFormat="1" applyFont="1" applyFill="1" applyBorder="1" applyAlignment="1">
      <alignment horizontal="center" vertical="center" wrapText="1"/>
    </xf>
    <xf numFmtId="175" fontId="48" fillId="40" borderId="19" xfId="288" applyNumberFormat="1" applyFont="1" applyFill="1" applyBorder="1" applyAlignment="1">
      <alignment horizontal="center" vertical="center" wrapText="1"/>
    </xf>
    <xf numFmtId="175" fontId="48" fillId="40" borderId="20" xfId="288" applyNumberFormat="1" applyFont="1" applyFill="1" applyBorder="1" applyAlignment="1">
      <alignment horizontal="center" vertical="center" wrapText="1"/>
    </xf>
    <xf numFmtId="175" fontId="48" fillId="40" borderId="25" xfId="288" applyNumberFormat="1" applyFont="1" applyFill="1" applyBorder="1" applyAlignment="1">
      <alignment horizontal="center" vertical="center" wrapText="1"/>
    </xf>
    <xf numFmtId="0" fontId="39" fillId="40" borderId="46" xfId="4" applyFont="1" applyFill="1" applyBorder="1" applyAlignment="1">
      <alignment horizontal="center"/>
    </xf>
    <xf numFmtId="0" fontId="39" fillId="40" borderId="53" xfId="4" applyFont="1" applyFill="1" applyBorder="1" applyAlignment="1">
      <alignment horizontal="center"/>
    </xf>
    <xf numFmtId="0" fontId="39" fillId="40" borderId="47" xfId="4" applyFont="1" applyFill="1" applyBorder="1" applyAlignment="1">
      <alignment horizontal="center"/>
    </xf>
    <xf numFmtId="0" fontId="39" fillId="40" borderId="48" xfId="4" applyFont="1" applyFill="1" applyBorder="1" applyAlignment="1">
      <alignment horizontal="center"/>
    </xf>
    <xf numFmtId="43" fontId="53" fillId="0" borderId="0" xfId="0" applyNumberFormat="1" applyFont="1"/>
    <xf numFmtId="0" fontId="43" fillId="0" borderId="12" xfId="297" applyFont="1" applyBorder="1"/>
    <xf numFmtId="0" fontId="43" fillId="0" borderId="13" xfId="297" applyFont="1" applyBorder="1"/>
    <xf numFmtId="0" fontId="9" fillId="0" borderId="0" xfId="298" applyFont="1"/>
    <xf numFmtId="0" fontId="43" fillId="0" borderId="14" xfId="297" applyFont="1" applyBorder="1"/>
    <xf numFmtId="0" fontId="43" fillId="0" borderId="42" xfId="297" applyFont="1" applyBorder="1"/>
    <xf numFmtId="0" fontId="43" fillId="0" borderId="0" xfId="297" applyFont="1" applyAlignment="1">
      <alignment horizontal="center"/>
    </xf>
    <xf numFmtId="0" fontId="43" fillId="0" borderId="0" xfId="297" applyFont="1"/>
    <xf numFmtId="0" fontId="43" fillId="0" borderId="7" xfId="297" applyFont="1" applyBorder="1"/>
    <xf numFmtId="0" fontId="42" fillId="0" borderId="0" xfId="297" applyFont="1" applyAlignment="1">
      <alignment horizontal="center"/>
    </xf>
    <xf numFmtId="0" fontId="42" fillId="0" borderId="0" xfId="297" applyFont="1"/>
    <xf numFmtId="0" fontId="9" fillId="0" borderId="0" xfId="297" applyFont="1"/>
    <xf numFmtId="1" fontId="9" fillId="0" borderId="0" xfId="297" applyNumberFormat="1" applyFont="1"/>
    <xf numFmtId="172" fontId="43" fillId="0" borderId="0" xfId="299" applyNumberFormat="1" applyFont="1" applyFill="1" applyBorder="1"/>
    <xf numFmtId="170" fontId="43" fillId="0" borderId="0" xfId="300" applyNumberFormat="1" applyFont="1" applyFill="1" applyBorder="1"/>
    <xf numFmtId="168" fontId="43" fillId="0" borderId="0" xfId="301" applyNumberFormat="1" applyFont="1" applyFill="1" applyBorder="1"/>
    <xf numFmtId="0" fontId="12" fillId="0" borderId="0" xfId="297" applyFont="1"/>
    <xf numFmtId="172" fontId="42" fillId="0" borderId="0" xfId="297" applyNumberFormat="1" applyFont="1"/>
    <xf numFmtId="170" fontId="42" fillId="0" borderId="0" xfId="300" applyNumberFormat="1" applyFont="1" applyFill="1" applyBorder="1"/>
    <xf numFmtId="168" fontId="42" fillId="0" borderId="0" xfId="301" applyNumberFormat="1" applyFont="1" applyFill="1" applyBorder="1"/>
    <xf numFmtId="0" fontId="9" fillId="0" borderId="0" xfId="298" applyFont="1" applyAlignment="1">
      <alignment vertical="center"/>
    </xf>
    <xf numFmtId="0" fontId="43" fillId="0" borderId="0" xfId="297" applyFont="1" applyAlignment="1">
      <alignment horizontal="right"/>
    </xf>
    <xf numFmtId="0" fontId="43" fillId="0" borderId="0" xfId="297" applyFont="1" applyAlignment="1">
      <alignment horizontal="center"/>
    </xf>
    <xf numFmtId="0" fontId="43" fillId="0" borderId="43" xfId="297" applyFont="1" applyBorder="1"/>
    <xf numFmtId="0" fontId="43" fillId="0" borderId="10" xfId="297" applyFont="1" applyBorder="1"/>
    <xf numFmtId="0" fontId="43" fillId="0" borderId="11" xfId="297" applyFont="1" applyBorder="1"/>
    <xf numFmtId="0" fontId="39" fillId="40" borderId="18" xfId="297" applyFont="1" applyFill="1" applyBorder="1" applyAlignment="1">
      <alignment horizontal="center"/>
    </xf>
    <xf numFmtId="0" fontId="39" fillId="40" borderId="19" xfId="297" applyFont="1" applyFill="1" applyBorder="1" applyAlignment="1">
      <alignment horizontal="center"/>
    </xf>
    <xf numFmtId="0" fontId="39" fillId="40" borderId="20" xfId="297" applyFont="1" applyFill="1" applyBorder="1" applyAlignment="1">
      <alignment horizontal="center"/>
    </xf>
    <xf numFmtId="0" fontId="39" fillId="40" borderId="2" xfId="297" applyFont="1" applyFill="1" applyBorder="1"/>
    <xf numFmtId="0" fontId="42" fillId="0" borderId="35" xfId="297" applyFont="1" applyBorder="1" applyAlignment="1">
      <alignment horizontal="center"/>
    </xf>
    <xf numFmtId="0" fontId="42" fillId="0" borderId="36" xfId="297" applyFont="1" applyBorder="1" applyAlignment="1">
      <alignment horizontal="center"/>
    </xf>
    <xf numFmtId="0" fontId="42" fillId="0" borderId="37" xfId="297" applyFont="1" applyBorder="1" applyAlignment="1">
      <alignment horizontal="center"/>
    </xf>
    <xf numFmtId="0" fontId="42" fillId="0" borderId="44" xfId="297" applyFont="1" applyBorder="1" applyAlignment="1">
      <alignment horizontal="center"/>
    </xf>
    <xf numFmtId="1" fontId="9" fillId="0" borderId="38" xfId="297" applyNumberFormat="1" applyFont="1" applyBorder="1"/>
    <xf numFmtId="1" fontId="9" fillId="0" borderId="39" xfId="297" applyNumberFormat="1" applyFont="1" applyBorder="1"/>
    <xf numFmtId="1" fontId="9" fillId="0" borderId="52" xfId="297" applyNumberFormat="1" applyFont="1" applyBorder="1"/>
    <xf numFmtId="1" fontId="31" fillId="0" borderId="38" xfId="302" applyNumberFormat="1" applyFont="1" applyBorder="1"/>
    <xf numFmtId="1" fontId="31" fillId="0" borderId="39" xfId="297" applyNumberFormat="1" applyFont="1" applyBorder="1"/>
    <xf numFmtId="1" fontId="9" fillId="41" borderId="38" xfId="297" applyNumberFormat="1" applyFont="1" applyFill="1" applyBorder="1"/>
    <xf numFmtId="1" fontId="9" fillId="41" borderId="0" xfId="297" applyNumberFormat="1" applyFont="1" applyFill="1"/>
    <xf numFmtId="1" fontId="9" fillId="41" borderId="39" xfId="297" applyNumberFormat="1" applyFont="1" applyFill="1" applyBorder="1"/>
    <xf numFmtId="1" fontId="9" fillId="41" borderId="52" xfId="297" applyNumberFormat="1" applyFont="1" applyFill="1" applyBorder="1"/>
    <xf numFmtId="0" fontId="12" fillId="0" borderId="40" xfId="297" applyFont="1" applyBorder="1"/>
    <xf numFmtId="0" fontId="12" fillId="0" borderId="1" xfId="297" applyFont="1" applyBorder="1"/>
    <xf numFmtId="1" fontId="12" fillId="0" borderId="41" xfId="297" applyNumberFormat="1" applyFont="1" applyBorder="1"/>
    <xf numFmtId="0" fontId="12" fillId="0" borderId="51" xfId="297" applyFont="1" applyBorder="1"/>
    <xf numFmtId="172" fontId="12" fillId="0" borderId="40" xfId="291" applyNumberFormat="1" applyFont="1" applyBorder="1"/>
    <xf numFmtId="172" fontId="12" fillId="0" borderId="41" xfId="291" applyNumberFormat="1" applyFont="1" applyBorder="1"/>
    <xf numFmtId="10" fontId="43" fillId="0" borderId="0" xfId="297" applyNumberFormat="1" applyFont="1"/>
    <xf numFmtId="0" fontId="31" fillId="0" borderId="0" xfId="297" applyFont="1"/>
    <xf numFmtId="0" fontId="50" fillId="0" borderId="0" xfId="297" applyFont="1"/>
    <xf numFmtId="0" fontId="36" fillId="0" borderId="0" xfId="287"/>
    <xf numFmtId="0" fontId="9" fillId="41" borderId="0" xfId="297" applyFont="1" applyFill="1"/>
    <xf numFmtId="10" fontId="9" fillId="0" borderId="0" xfId="297" applyNumberFormat="1" applyFont="1"/>
    <xf numFmtId="170" fontId="43" fillId="0" borderId="0" xfId="292" applyNumberFormat="1" applyFont="1"/>
    <xf numFmtId="170" fontId="12" fillId="0" borderId="0" xfId="297" applyNumberFormat="1" applyFont="1"/>
    <xf numFmtId="0" fontId="9" fillId="41" borderId="38" xfId="297" applyFont="1" applyFill="1" applyBorder="1"/>
    <xf numFmtId="0" fontId="9" fillId="0" borderId="38" xfId="297" applyFont="1" applyBorder="1"/>
    <xf numFmtId="9" fontId="31" fillId="0" borderId="0" xfId="3" applyFont="1"/>
    <xf numFmtId="10" fontId="43" fillId="0" borderId="0" xfId="3" applyNumberFormat="1" applyFont="1" applyBorder="1"/>
    <xf numFmtId="0" fontId="40" fillId="0" borderId="38" xfId="288" applyFont="1" applyBorder="1"/>
    <xf numFmtId="170" fontId="40" fillId="0" borderId="39" xfId="288" applyNumberFormat="1" applyFont="1" applyBorder="1"/>
    <xf numFmtId="0" fontId="31" fillId="0" borderId="0" xfId="288" applyFont="1" applyBorder="1"/>
    <xf numFmtId="0" fontId="12" fillId="0" borderId="0" xfId="288" applyFont="1" applyBorder="1"/>
    <xf numFmtId="170" fontId="12" fillId="0" borderId="0" xfId="288" applyNumberFormat="1" applyFont="1" applyBorder="1"/>
    <xf numFmtId="170" fontId="43" fillId="0" borderId="0" xfId="297" applyNumberFormat="1" applyFont="1"/>
    <xf numFmtId="170" fontId="43" fillId="0" borderId="39" xfId="297" applyNumberFormat="1" applyFont="1" applyBorder="1"/>
    <xf numFmtId="170" fontId="12" fillId="0" borderId="39" xfId="297" applyNumberFormat="1" applyFont="1" applyBorder="1"/>
    <xf numFmtId="0" fontId="43" fillId="0" borderId="39" xfId="297" applyFont="1" applyBorder="1"/>
    <xf numFmtId="170" fontId="12" fillId="0" borderId="1" xfId="297" applyNumberFormat="1" applyFont="1" applyBorder="1"/>
    <xf numFmtId="170" fontId="12" fillId="0" borderId="41" xfId="297" applyNumberFormat="1" applyFont="1" applyBorder="1"/>
    <xf numFmtId="193" fontId="9" fillId="0" borderId="0" xfId="0" applyNumberFormat="1" applyFont="1"/>
    <xf numFmtId="194" fontId="9" fillId="0" borderId="0" xfId="0" applyNumberFormat="1" applyFont="1"/>
  </cellXfs>
  <cellStyles count="303">
    <cellStyle name="$" xfId="13" xr:uid="{00000000-0005-0000-0000-000000000000}"/>
    <cellStyle name="$.00" xfId="14" xr:uid="{00000000-0005-0000-0000-000001000000}"/>
    <cellStyle name="$_9. Rev2Cost_GDPIPI" xfId="15" xr:uid="{00000000-0005-0000-0000-000002000000}"/>
    <cellStyle name="$_9. Rev2Cost_GDPIPI 2" xfId="16" xr:uid="{00000000-0005-0000-0000-000003000000}"/>
    <cellStyle name="$_9. Rev2Cost_GDPIPI_6.2 CBR B" xfId="17" xr:uid="{00000000-0005-0000-0000-000004000000}"/>
    <cellStyle name="$_9. Rev2Cost_GDPIPI_9. Shared Tax - Rate Rider" xfId="18" xr:uid="{00000000-0005-0000-0000-000005000000}"/>
    <cellStyle name="$_lists" xfId="19" xr:uid="{00000000-0005-0000-0000-000006000000}"/>
    <cellStyle name="$_lists 2" xfId="20" xr:uid="{00000000-0005-0000-0000-000007000000}"/>
    <cellStyle name="$_lists_4. Current Monthly Fixed Charge" xfId="21" xr:uid="{00000000-0005-0000-0000-000008000000}"/>
    <cellStyle name="$_lists_6.2 CBR B" xfId="22" xr:uid="{00000000-0005-0000-0000-000009000000}"/>
    <cellStyle name="$_lists_9. Shared Tax - Rate Rider" xfId="23" xr:uid="{00000000-0005-0000-0000-00000A000000}"/>
    <cellStyle name="$_Sheet4" xfId="24" xr:uid="{00000000-0005-0000-0000-00000B000000}"/>
    <cellStyle name="$_Sheet4 2" xfId="25" xr:uid="{00000000-0005-0000-0000-00000C000000}"/>
    <cellStyle name="$_Sheet4_6.2 CBR B" xfId="26" xr:uid="{00000000-0005-0000-0000-00000D000000}"/>
    <cellStyle name="$_Sheet4_9. Shared Tax - Rate Rider" xfId="27" xr:uid="{00000000-0005-0000-0000-00000E000000}"/>
    <cellStyle name="$M" xfId="28" xr:uid="{00000000-0005-0000-0000-00000F000000}"/>
    <cellStyle name="$M.00" xfId="29" xr:uid="{00000000-0005-0000-0000-000010000000}"/>
    <cellStyle name="$M_9. Rev2Cost_GDPIPI" xfId="30" xr:uid="{00000000-0005-0000-0000-000011000000}"/>
    <cellStyle name="20% - Accent1 2" xfId="31" xr:uid="{00000000-0005-0000-0000-000012000000}"/>
    <cellStyle name="20% - Accent1 2 2" xfId="32" xr:uid="{00000000-0005-0000-0000-000013000000}"/>
    <cellStyle name="20% - Accent1 2_6.2 CBR B" xfId="33" xr:uid="{00000000-0005-0000-0000-000014000000}"/>
    <cellStyle name="20% - Accent1 3" xfId="34" xr:uid="{00000000-0005-0000-0000-000015000000}"/>
    <cellStyle name="20% - Accent2 2" xfId="35" xr:uid="{00000000-0005-0000-0000-000016000000}"/>
    <cellStyle name="20% - Accent2 2 2" xfId="36" xr:uid="{00000000-0005-0000-0000-000017000000}"/>
    <cellStyle name="20% - Accent2 2_6.2 CBR B" xfId="37" xr:uid="{00000000-0005-0000-0000-000018000000}"/>
    <cellStyle name="20% - Accent2 3" xfId="38" xr:uid="{00000000-0005-0000-0000-000019000000}"/>
    <cellStyle name="20% - Accent3 2" xfId="39" xr:uid="{00000000-0005-0000-0000-00001A000000}"/>
    <cellStyle name="20% - Accent3 2 2" xfId="40" xr:uid="{00000000-0005-0000-0000-00001B000000}"/>
    <cellStyle name="20% - Accent3 2_6.2 CBR B" xfId="41" xr:uid="{00000000-0005-0000-0000-00001C000000}"/>
    <cellStyle name="20% - Accent3 3" xfId="42" xr:uid="{00000000-0005-0000-0000-00001D000000}"/>
    <cellStyle name="20% - Accent4 2" xfId="43" xr:uid="{00000000-0005-0000-0000-00001E000000}"/>
    <cellStyle name="20% - Accent4 2 2" xfId="44" xr:uid="{00000000-0005-0000-0000-00001F000000}"/>
    <cellStyle name="20% - Accent4 2_6.2 CBR B" xfId="45" xr:uid="{00000000-0005-0000-0000-000020000000}"/>
    <cellStyle name="20% - Accent4 3" xfId="46" xr:uid="{00000000-0005-0000-0000-000021000000}"/>
    <cellStyle name="20% - Accent5 2" xfId="47" xr:uid="{00000000-0005-0000-0000-000022000000}"/>
    <cellStyle name="20% - Accent5 2 2" xfId="48" xr:uid="{00000000-0005-0000-0000-000023000000}"/>
    <cellStyle name="20% - Accent5 2_6.2 CBR B" xfId="49" xr:uid="{00000000-0005-0000-0000-000024000000}"/>
    <cellStyle name="20% - Accent5 3" xfId="50" xr:uid="{00000000-0005-0000-0000-000025000000}"/>
    <cellStyle name="20% - Accent6 2" xfId="51" xr:uid="{00000000-0005-0000-0000-000026000000}"/>
    <cellStyle name="20% - Accent6 2 2" xfId="52" xr:uid="{00000000-0005-0000-0000-000027000000}"/>
    <cellStyle name="20% - Accent6 2_6.2 CBR B" xfId="53" xr:uid="{00000000-0005-0000-0000-000028000000}"/>
    <cellStyle name="20% - Accent6 3" xfId="54" xr:uid="{00000000-0005-0000-0000-000029000000}"/>
    <cellStyle name="40% - Accent1 2" xfId="55" xr:uid="{00000000-0005-0000-0000-00002A000000}"/>
    <cellStyle name="40% - Accent1 2 2" xfId="56" xr:uid="{00000000-0005-0000-0000-00002B000000}"/>
    <cellStyle name="40% - Accent1 2_6.2 CBR B" xfId="57" xr:uid="{00000000-0005-0000-0000-00002C000000}"/>
    <cellStyle name="40% - Accent1 3" xfId="58" xr:uid="{00000000-0005-0000-0000-00002D000000}"/>
    <cellStyle name="40% - Accent2 2" xfId="59" xr:uid="{00000000-0005-0000-0000-00002E000000}"/>
    <cellStyle name="40% - Accent2 2 2" xfId="60" xr:uid="{00000000-0005-0000-0000-00002F000000}"/>
    <cellStyle name="40% - Accent2 2_6.2 CBR B" xfId="61" xr:uid="{00000000-0005-0000-0000-000030000000}"/>
    <cellStyle name="40% - Accent2 3" xfId="62" xr:uid="{00000000-0005-0000-0000-000031000000}"/>
    <cellStyle name="40% - Accent3 2" xfId="63" xr:uid="{00000000-0005-0000-0000-000032000000}"/>
    <cellStyle name="40% - Accent3 2 2" xfId="64" xr:uid="{00000000-0005-0000-0000-000033000000}"/>
    <cellStyle name="40% - Accent3 2_6.2 CBR B" xfId="65" xr:uid="{00000000-0005-0000-0000-000034000000}"/>
    <cellStyle name="40% - Accent3 3" xfId="66" xr:uid="{00000000-0005-0000-0000-000035000000}"/>
    <cellStyle name="40% - Accent4 2" xfId="67" xr:uid="{00000000-0005-0000-0000-000036000000}"/>
    <cellStyle name="40% - Accent4 2 2" xfId="68" xr:uid="{00000000-0005-0000-0000-000037000000}"/>
    <cellStyle name="40% - Accent4 2_6.2 CBR B" xfId="69" xr:uid="{00000000-0005-0000-0000-000038000000}"/>
    <cellStyle name="40% - Accent4 3" xfId="70" xr:uid="{00000000-0005-0000-0000-000039000000}"/>
    <cellStyle name="40% - Accent5 2" xfId="71" xr:uid="{00000000-0005-0000-0000-00003A000000}"/>
    <cellStyle name="40% - Accent5 2 2" xfId="72" xr:uid="{00000000-0005-0000-0000-00003B000000}"/>
    <cellStyle name="40% - Accent5 2_6.2 CBR B" xfId="73" xr:uid="{00000000-0005-0000-0000-00003C000000}"/>
    <cellStyle name="40% - Accent5 3" xfId="74" xr:uid="{00000000-0005-0000-0000-00003D000000}"/>
    <cellStyle name="40% - Accent6 2" xfId="75" xr:uid="{00000000-0005-0000-0000-00003E000000}"/>
    <cellStyle name="40% - Accent6 2 2" xfId="76" xr:uid="{00000000-0005-0000-0000-00003F000000}"/>
    <cellStyle name="40% - Accent6 2_6.2 CBR B" xfId="77" xr:uid="{00000000-0005-0000-0000-000040000000}"/>
    <cellStyle name="40% - Accent6 3" xfId="78" xr:uid="{00000000-0005-0000-0000-000041000000}"/>
    <cellStyle name="60% - Accent1 2" xfId="79" xr:uid="{00000000-0005-0000-0000-000042000000}"/>
    <cellStyle name="60% - Accent2 2" xfId="80" xr:uid="{00000000-0005-0000-0000-000043000000}"/>
    <cellStyle name="60% - Accent3 2" xfId="81" xr:uid="{00000000-0005-0000-0000-000044000000}"/>
    <cellStyle name="60% - Accent4 2" xfId="82" xr:uid="{00000000-0005-0000-0000-000045000000}"/>
    <cellStyle name="60% - Accent5 2" xfId="83" xr:uid="{00000000-0005-0000-0000-000046000000}"/>
    <cellStyle name="60% - Accent6 2" xfId="84" xr:uid="{00000000-0005-0000-0000-000047000000}"/>
    <cellStyle name="Accent1 2" xfId="85" xr:uid="{00000000-0005-0000-0000-000048000000}"/>
    <cellStyle name="Accent2 2" xfId="86" xr:uid="{00000000-0005-0000-0000-000049000000}"/>
    <cellStyle name="Accent3 2" xfId="87" xr:uid="{00000000-0005-0000-0000-00004A000000}"/>
    <cellStyle name="Accent4 2" xfId="88" xr:uid="{00000000-0005-0000-0000-00004B000000}"/>
    <cellStyle name="Accent5 2" xfId="89" xr:uid="{00000000-0005-0000-0000-00004C000000}"/>
    <cellStyle name="Accent6 2" xfId="90" xr:uid="{00000000-0005-0000-0000-00004D000000}"/>
    <cellStyle name="Bad 2" xfId="91" xr:uid="{00000000-0005-0000-0000-00004E000000}"/>
    <cellStyle name="Calculation 2" xfId="92" xr:uid="{00000000-0005-0000-0000-00004F000000}"/>
    <cellStyle name="Check Cell 2" xfId="93" xr:uid="{00000000-0005-0000-0000-000050000000}"/>
    <cellStyle name="Comma" xfId="1" builtinId="3"/>
    <cellStyle name="Comma 2" xfId="12" xr:uid="{00000000-0005-0000-0000-000052000000}"/>
    <cellStyle name="Comma 2 2" xfId="94" xr:uid="{00000000-0005-0000-0000-000053000000}"/>
    <cellStyle name="Comma 2 2 2" xfId="95" xr:uid="{00000000-0005-0000-0000-000054000000}"/>
    <cellStyle name="Comma 2 2 2 2" xfId="96" xr:uid="{00000000-0005-0000-0000-000055000000}"/>
    <cellStyle name="Comma 2 2 3" xfId="97" xr:uid="{00000000-0005-0000-0000-000056000000}"/>
    <cellStyle name="Comma 2 2 3 2" xfId="98" xr:uid="{00000000-0005-0000-0000-000057000000}"/>
    <cellStyle name="Comma 2 2 4" xfId="99" xr:uid="{00000000-0005-0000-0000-000058000000}"/>
    <cellStyle name="Comma 2 2 5" xfId="100" xr:uid="{00000000-0005-0000-0000-000059000000}"/>
    <cellStyle name="Comma 2 2 6" xfId="101" xr:uid="{00000000-0005-0000-0000-00005A000000}"/>
    <cellStyle name="Comma 2 2_Database" xfId="102" xr:uid="{00000000-0005-0000-0000-00005B000000}"/>
    <cellStyle name="Comma 2 21" xfId="299" xr:uid="{B3BF80AC-6209-4A9D-A974-9414D6E722D9}"/>
    <cellStyle name="Comma 2 22" xfId="300" xr:uid="{7A15B553-49EE-448E-9DCC-4152C1632548}"/>
    <cellStyle name="Comma 2 3" xfId="291" xr:uid="{00000000-0005-0000-0000-00005C000000}"/>
    <cellStyle name="Comma 2 3 10" xfId="302" xr:uid="{AAA7E85C-4DA4-4E52-9ED8-56655E5CD5BD}"/>
    <cellStyle name="Comma 3" xfId="11" xr:uid="{00000000-0005-0000-0000-00005D000000}"/>
    <cellStyle name="Comma 3 2" xfId="103" xr:uid="{00000000-0005-0000-0000-00005E000000}"/>
    <cellStyle name="Comma 3 2 2" xfId="104" xr:uid="{00000000-0005-0000-0000-00005F000000}"/>
    <cellStyle name="Comma 3 3" xfId="105" xr:uid="{00000000-0005-0000-0000-000060000000}"/>
    <cellStyle name="Comma 3 4" xfId="106" xr:uid="{00000000-0005-0000-0000-000061000000}"/>
    <cellStyle name="Comma 4" xfId="107" xr:uid="{00000000-0005-0000-0000-000062000000}"/>
    <cellStyle name="Comma 4 2" xfId="108" xr:uid="{00000000-0005-0000-0000-000063000000}"/>
    <cellStyle name="Comma 4 3" xfId="109" xr:uid="{00000000-0005-0000-0000-000064000000}"/>
    <cellStyle name="Comma 4 6" xfId="110" xr:uid="{00000000-0005-0000-0000-000065000000}"/>
    <cellStyle name="Comma 4 6 2" xfId="111" xr:uid="{00000000-0005-0000-0000-000066000000}"/>
    <cellStyle name="Comma 4 6 3" xfId="112" xr:uid="{00000000-0005-0000-0000-000067000000}"/>
    <cellStyle name="Comma 4 6 4" xfId="113" xr:uid="{00000000-0005-0000-0000-000068000000}"/>
    <cellStyle name="Comma 4 6 5" xfId="114" xr:uid="{00000000-0005-0000-0000-000069000000}"/>
    <cellStyle name="Comma 4 6 6" xfId="115" xr:uid="{00000000-0005-0000-0000-00006A000000}"/>
    <cellStyle name="Comma 44" xfId="292" xr:uid="{00000000-0005-0000-0000-00006B000000}"/>
    <cellStyle name="Comma 5" xfId="116" xr:uid="{00000000-0005-0000-0000-00006C000000}"/>
    <cellStyle name="Comma 5 14" xfId="8" xr:uid="{00000000-0005-0000-0000-00006D000000}"/>
    <cellStyle name="Comma 5 2" xfId="117" xr:uid="{00000000-0005-0000-0000-00006E000000}"/>
    <cellStyle name="Comma 6" xfId="118" xr:uid="{00000000-0005-0000-0000-00006F000000}"/>
    <cellStyle name="Comma 7" xfId="119" xr:uid="{00000000-0005-0000-0000-000070000000}"/>
    <cellStyle name="Comma 8" xfId="289" xr:uid="{00000000-0005-0000-0000-000071000000}"/>
    <cellStyle name="Comma 8 8" xfId="296" xr:uid="{00000000-0005-0000-0000-000072000000}"/>
    <cellStyle name="Comma0" xfId="120" xr:uid="{00000000-0005-0000-0000-000073000000}"/>
    <cellStyle name="Currency 11" xfId="121" xr:uid="{00000000-0005-0000-0000-000074000000}"/>
    <cellStyle name="Currency 2" xfId="122" xr:uid="{00000000-0005-0000-0000-000075000000}"/>
    <cellStyle name="Currency 2 2" xfId="123" xr:uid="{00000000-0005-0000-0000-000076000000}"/>
    <cellStyle name="Currency 2 3" xfId="124" xr:uid="{00000000-0005-0000-0000-000077000000}"/>
    <cellStyle name="Currency 3" xfId="125" xr:uid="{00000000-0005-0000-0000-000078000000}"/>
    <cellStyle name="Currency 3 2" xfId="126" xr:uid="{00000000-0005-0000-0000-000079000000}"/>
    <cellStyle name="Currency 3 3" xfId="127" xr:uid="{00000000-0005-0000-0000-00007A000000}"/>
    <cellStyle name="Currency 3 4" xfId="128" xr:uid="{00000000-0005-0000-0000-00007B000000}"/>
    <cellStyle name="Currency 3 5" xfId="129" xr:uid="{00000000-0005-0000-0000-00007C000000}"/>
    <cellStyle name="Currency 4" xfId="130" xr:uid="{00000000-0005-0000-0000-00007D000000}"/>
    <cellStyle name="Currency 4 2" xfId="131" xr:uid="{00000000-0005-0000-0000-00007E000000}"/>
    <cellStyle name="Currency 4 2 2" xfId="132" xr:uid="{00000000-0005-0000-0000-00007F000000}"/>
    <cellStyle name="Currency 4 3" xfId="133" xr:uid="{00000000-0005-0000-0000-000080000000}"/>
    <cellStyle name="Currency 4 3 2" xfId="134" xr:uid="{00000000-0005-0000-0000-000081000000}"/>
    <cellStyle name="Currency 4 4" xfId="135" xr:uid="{00000000-0005-0000-0000-000082000000}"/>
    <cellStyle name="Currency 4 5" xfId="136" xr:uid="{00000000-0005-0000-0000-000083000000}"/>
    <cellStyle name="Currency 4 6" xfId="137" xr:uid="{00000000-0005-0000-0000-000084000000}"/>
    <cellStyle name="Currency 5" xfId="138" xr:uid="{00000000-0005-0000-0000-000085000000}"/>
    <cellStyle name="Currency 5 2" xfId="139" xr:uid="{00000000-0005-0000-0000-000086000000}"/>
    <cellStyle name="Currency 6" xfId="140" xr:uid="{00000000-0005-0000-0000-000087000000}"/>
    <cellStyle name="Currency 6 2" xfId="141" xr:uid="{00000000-0005-0000-0000-000088000000}"/>
    <cellStyle name="Currency 7" xfId="142" xr:uid="{00000000-0005-0000-0000-000089000000}"/>
    <cellStyle name="Currency 8" xfId="143" xr:uid="{00000000-0005-0000-0000-00008A000000}"/>
    <cellStyle name="Currency 9" xfId="144" xr:uid="{00000000-0005-0000-0000-00008B000000}"/>
    <cellStyle name="Currency0" xfId="145" xr:uid="{00000000-0005-0000-0000-00008C000000}"/>
    <cellStyle name="Date" xfId="146" xr:uid="{00000000-0005-0000-0000-00008D000000}"/>
    <cellStyle name="Explanatory Text 2" xfId="147" xr:uid="{00000000-0005-0000-0000-00008E000000}"/>
    <cellStyle name="Fixed" xfId="148" xr:uid="{00000000-0005-0000-0000-00008F000000}"/>
    <cellStyle name="Good 2" xfId="149" xr:uid="{00000000-0005-0000-0000-000090000000}"/>
    <cellStyle name="Grey" xfId="150" xr:uid="{00000000-0005-0000-0000-000091000000}"/>
    <cellStyle name="Heading 1 2" xfId="151" xr:uid="{00000000-0005-0000-0000-000092000000}"/>
    <cellStyle name="Heading 2 2" xfId="152" xr:uid="{00000000-0005-0000-0000-000093000000}"/>
    <cellStyle name="Heading 3 2" xfId="153" xr:uid="{00000000-0005-0000-0000-000094000000}"/>
    <cellStyle name="Heading 4 2" xfId="154" xr:uid="{00000000-0005-0000-0000-000095000000}"/>
    <cellStyle name="Hyperlink" xfId="287" builtinId="8"/>
    <cellStyle name="Hyperlink 2" xfId="155" xr:uid="{00000000-0005-0000-0000-000097000000}"/>
    <cellStyle name="Input [yellow]" xfId="156" xr:uid="{00000000-0005-0000-0000-000098000000}"/>
    <cellStyle name="Input 2" xfId="157" xr:uid="{00000000-0005-0000-0000-000099000000}"/>
    <cellStyle name="Linked Cell 2" xfId="158" xr:uid="{00000000-0005-0000-0000-00009A000000}"/>
    <cellStyle name="M" xfId="159" xr:uid="{00000000-0005-0000-0000-00009B000000}"/>
    <cellStyle name="M.00" xfId="160" xr:uid="{00000000-0005-0000-0000-00009C000000}"/>
    <cellStyle name="M_9. Rev2Cost_GDPIPI" xfId="161" xr:uid="{00000000-0005-0000-0000-00009D000000}"/>
    <cellStyle name="M_9. Rev2Cost_GDPIPI 2" xfId="162" xr:uid="{00000000-0005-0000-0000-00009E000000}"/>
    <cellStyle name="M_9. Rev2Cost_GDPIPI_6.2 CBR B" xfId="163" xr:uid="{00000000-0005-0000-0000-00009F000000}"/>
    <cellStyle name="M_9. Rev2Cost_GDPIPI_9. Shared Tax - Rate Rider" xfId="164" xr:uid="{00000000-0005-0000-0000-0000A0000000}"/>
    <cellStyle name="M_lists" xfId="165" xr:uid="{00000000-0005-0000-0000-0000A1000000}"/>
    <cellStyle name="M_lists 2" xfId="166" xr:uid="{00000000-0005-0000-0000-0000A2000000}"/>
    <cellStyle name="M_lists_4. Current Monthly Fixed Charge" xfId="167" xr:uid="{00000000-0005-0000-0000-0000A3000000}"/>
    <cellStyle name="M_lists_6.2 CBR B" xfId="168" xr:uid="{00000000-0005-0000-0000-0000A4000000}"/>
    <cellStyle name="M_lists_9. Shared Tax - Rate Rider" xfId="169" xr:uid="{00000000-0005-0000-0000-0000A5000000}"/>
    <cellStyle name="M_Sheet4" xfId="170" xr:uid="{00000000-0005-0000-0000-0000A6000000}"/>
    <cellStyle name="M_Sheet4 2" xfId="171" xr:uid="{00000000-0005-0000-0000-0000A7000000}"/>
    <cellStyle name="M_Sheet4_6.2 CBR B" xfId="172" xr:uid="{00000000-0005-0000-0000-0000A8000000}"/>
    <cellStyle name="M_Sheet4_9. Shared Tax - Rate Rider" xfId="173" xr:uid="{00000000-0005-0000-0000-0000A9000000}"/>
    <cellStyle name="Neutral 2" xfId="174" xr:uid="{00000000-0005-0000-0000-0000AA000000}"/>
    <cellStyle name="Normal" xfId="0" builtinId="0"/>
    <cellStyle name="Normal - Style1" xfId="175" xr:uid="{00000000-0005-0000-0000-0000AC000000}"/>
    <cellStyle name="Normal 10" xfId="176" xr:uid="{00000000-0005-0000-0000-0000AD000000}"/>
    <cellStyle name="Normal 10 12" xfId="177" xr:uid="{00000000-0005-0000-0000-0000AE000000}"/>
    <cellStyle name="Normal 11" xfId="178" xr:uid="{00000000-0005-0000-0000-0000AF000000}"/>
    <cellStyle name="Normal 12" xfId="179" xr:uid="{00000000-0005-0000-0000-0000B0000000}"/>
    <cellStyle name="Normal 13" xfId="10" xr:uid="{00000000-0005-0000-0000-0000B1000000}"/>
    <cellStyle name="Normal 13 6" xfId="180" xr:uid="{00000000-0005-0000-0000-0000B2000000}"/>
    <cellStyle name="Normal 14" xfId="288" xr:uid="{00000000-0005-0000-0000-0000B3000000}"/>
    <cellStyle name="Normal 14 2" xfId="294" xr:uid="{00000000-0005-0000-0000-0000B4000000}"/>
    <cellStyle name="Normal 14 2 2" xfId="297" xr:uid="{B4A90C93-3990-423D-A511-9FEB22CA33DA}"/>
    <cellStyle name="Normal 15" xfId="181" xr:uid="{00000000-0005-0000-0000-0000B5000000}"/>
    <cellStyle name="Normal 167" xfId="182" xr:uid="{00000000-0005-0000-0000-0000B6000000}"/>
    <cellStyle name="Normal 167 2" xfId="183" xr:uid="{00000000-0005-0000-0000-0000B7000000}"/>
    <cellStyle name="Normal 167_6.2 CBR B" xfId="184" xr:uid="{00000000-0005-0000-0000-0000B8000000}"/>
    <cellStyle name="Normal 168" xfId="185" xr:uid="{00000000-0005-0000-0000-0000B9000000}"/>
    <cellStyle name="Normal 168 2" xfId="186" xr:uid="{00000000-0005-0000-0000-0000BA000000}"/>
    <cellStyle name="Normal 168_6.2 CBR B" xfId="187" xr:uid="{00000000-0005-0000-0000-0000BB000000}"/>
    <cellStyle name="Normal 169" xfId="188" xr:uid="{00000000-0005-0000-0000-0000BC000000}"/>
    <cellStyle name="Normal 169 2" xfId="189" xr:uid="{00000000-0005-0000-0000-0000BD000000}"/>
    <cellStyle name="Normal 169_6.2 CBR B" xfId="190" xr:uid="{00000000-0005-0000-0000-0000BE000000}"/>
    <cellStyle name="Normal 170" xfId="191" xr:uid="{00000000-0005-0000-0000-0000BF000000}"/>
    <cellStyle name="Normal 170 2" xfId="192" xr:uid="{00000000-0005-0000-0000-0000C0000000}"/>
    <cellStyle name="Normal 170_6.2 CBR B" xfId="193" xr:uid="{00000000-0005-0000-0000-0000C1000000}"/>
    <cellStyle name="Normal 171" xfId="194" xr:uid="{00000000-0005-0000-0000-0000C2000000}"/>
    <cellStyle name="Normal 171 2" xfId="195" xr:uid="{00000000-0005-0000-0000-0000C3000000}"/>
    <cellStyle name="Normal 171_6.2 CBR B" xfId="196" xr:uid="{00000000-0005-0000-0000-0000C4000000}"/>
    <cellStyle name="Normal 19" xfId="197" xr:uid="{00000000-0005-0000-0000-0000C5000000}"/>
    <cellStyle name="Normal 2" xfId="198" xr:uid="{00000000-0005-0000-0000-0000C6000000}"/>
    <cellStyle name="Normal 2 2 2 2 2" xfId="4" xr:uid="{00000000-0005-0000-0000-0000C7000000}"/>
    <cellStyle name="Normal 25" xfId="199" xr:uid="{00000000-0005-0000-0000-0000C8000000}"/>
    <cellStyle name="Normal 3" xfId="5" xr:uid="{00000000-0005-0000-0000-0000C9000000}"/>
    <cellStyle name="Normal 3 2" xfId="201" xr:uid="{00000000-0005-0000-0000-0000CA000000}"/>
    <cellStyle name="Normal 3 3" xfId="200" xr:uid="{00000000-0005-0000-0000-0000CB000000}"/>
    <cellStyle name="Normal 3_6.2 CBR B" xfId="202" xr:uid="{00000000-0005-0000-0000-0000CC000000}"/>
    <cellStyle name="Normal 30" xfId="203" xr:uid="{00000000-0005-0000-0000-0000CD000000}"/>
    <cellStyle name="Normal 31" xfId="204" xr:uid="{00000000-0005-0000-0000-0000CE000000}"/>
    <cellStyle name="Normal 4" xfId="205" xr:uid="{00000000-0005-0000-0000-0000CF000000}"/>
    <cellStyle name="Normal 4 2" xfId="206" xr:uid="{00000000-0005-0000-0000-0000D0000000}"/>
    <cellStyle name="Normal 4_6.2 CBR B" xfId="207" xr:uid="{00000000-0005-0000-0000-0000D1000000}"/>
    <cellStyle name="Normal 41" xfId="208" xr:uid="{00000000-0005-0000-0000-0000D2000000}"/>
    <cellStyle name="Normal 42" xfId="209" xr:uid="{00000000-0005-0000-0000-0000D3000000}"/>
    <cellStyle name="Normal 5" xfId="210" xr:uid="{00000000-0005-0000-0000-0000D4000000}"/>
    <cellStyle name="Normal 5 2" xfId="211" xr:uid="{00000000-0005-0000-0000-0000D5000000}"/>
    <cellStyle name="Normal 5 2 2" xfId="212" xr:uid="{00000000-0005-0000-0000-0000D6000000}"/>
    <cellStyle name="Normal 5 2_6.2 CBR B" xfId="213" xr:uid="{00000000-0005-0000-0000-0000D7000000}"/>
    <cellStyle name="Normal 5 3" xfId="214" xr:uid="{00000000-0005-0000-0000-0000D8000000}"/>
    <cellStyle name="Normal 5_6.2 CBR B" xfId="215" xr:uid="{00000000-0005-0000-0000-0000D9000000}"/>
    <cellStyle name="Normal 50" xfId="216" xr:uid="{00000000-0005-0000-0000-0000DA000000}"/>
    <cellStyle name="Normal 51" xfId="217" xr:uid="{00000000-0005-0000-0000-0000DB000000}"/>
    <cellStyle name="Normal 52" xfId="218" xr:uid="{00000000-0005-0000-0000-0000DC000000}"/>
    <cellStyle name="Normal 6" xfId="219" xr:uid="{00000000-0005-0000-0000-0000DD000000}"/>
    <cellStyle name="Normal 6 2" xfId="220" xr:uid="{00000000-0005-0000-0000-0000DE000000}"/>
    <cellStyle name="Normal 6 3" xfId="221" xr:uid="{00000000-0005-0000-0000-0000DF000000}"/>
    <cellStyle name="Normal 6 4" xfId="222" xr:uid="{00000000-0005-0000-0000-0000E0000000}"/>
    <cellStyle name="Normal 6 5" xfId="223" xr:uid="{00000000-0005-0000-0000-0000E1000000}"/>
    <cellStyle name="Normal 6_6.2 CBR B" xfId="224" xr:uid="{00000000-0005-0000-0000-0000E2000000}"/>
    <cellStyle name="Normal 60" xfId="225" xr:uid="{00000000-0005-0000-0000-0000E3000000}"/>
    <cellStyle name="Normal 61" xfId="226" xr:uid="{00000000-0005-0000-0000-0000E4000000}"/>
    <cellStyle name="Normal 64" xfId="298" xr:uid="{FB193A06-D686-48A6-BE4B-77B6D6D978F5}"/>
    <cellStyle name="Normal 67" xfId="2" xr:uid="{00000000-0005-0000-0000-0000E5000000}"/>
    <cellStyle name="Normal 67 2" xfId="9" xr:uid="{00000000-0005-0000-0000-0000E6000000}"/>
    <cellStyle name="Normal 67 3" xfId="286" xr:uid="{00000000-0005-0000-0000-0000E7000000}"/>
    <cellStyle name="Normal 7" xfId="227" xr:uid="{00000000-0005-0000-0000-0000E8000000}"/>
    <cellStyle name="Normal 8" xfId="228" xr:uid="{00000000-0005-0000-0000-0000E9000000}"/>
    <cellStyle name="Normal 9" xfId="229" xr:uid="{00000000-0005-0000-0000-0000EA000000}"/>
    <cellStyle name="Note 2" xfId="230" xr:uid="{00000000-0005-0000-0000-0000EB000000}"/>
    <cellStyle name="Note 2 2" xfId="231" xr:uid="{00000000-0005-0000-0000-0000EC000000}"/>
    <cellStyle name="Note 3" xfId="232" xr:uid="{00000000-0005-0000-0000-0000ED000000}"/>
    <cellStyle name="Output 2" xfId="233" xr:uid="{00000000-0005-0000-0000-0000EE000000}"/>
    <cellStyle name="Percent" xfId="3" builtinId="5"/>
    <cellStyle name="Percent [2]" xfId="234" xr:uid="{00000000-0005-0000-0000-0000F0000000}"/>
    <cellStyle name="Percent 10" xfId="235" xr:uid="{00000000-0005-0000-0000-0000F1000000}"/>
    <cellStyle name="Percent 10 2" xfId="293" xr:uid="{00000000-0005-0000-0000-0000F2000000}"/>
    <cellStyle name="Percent 11" xfId="236" xr:uid="{00000000-0005-0000-0000-0000F3000000}"/>
    <cellStyle name="Percent 12" xfId="237" xr:uid="{00000000-0005-0000-0000-0000F4000000}"/>
    <cellStyle name="Percent 13" xfId="238" xr:uid="{00000000-0005-0000-0000-0000F5000000}"/>
    <cellStyle name="Percent 13 6" xfId="239" xr:uid="{00000000-0005-0000-0000-0000F6000000}"/>
    <cellStyle name="Percent 14" xfId="240" xr:uid="{00000000-0005-0000-0000-0000F7000000}"/>
    <cellStyle name="Percent 15" xfId="241" xr:uid="{00000000-0005-0000-0000-0000F8000000}"/>
    <cellStyle name="Percent 16" xfId="242" xr:uid="{00000000-0005-0000-0000-0000F9000000}"/>
    <cellStyle name="Percent 17" xfId="243" xr:uid="{00000000-0005-0000-0000-0000FA000000}"/>
    <cellStyle name="Percent 18" xfId="244" xr:uid="{00000000-0005-0000-0000-0000FB000000}"/>
    <cellStyle name="Percent 19" xfId="245" xr:uid="{00000000-0005-0000-0000-0000FC000000}"/>
    <cellStyle name="Percent 2" xfId="246" xr:uid="{00000000-0005-0000-0000-0000FD000000}"/>
    <cellStyle name="Percent 2 21" xfId="301" xr:uid="{CE5B41A0-64E3-45AE-9BEE-233D2A3B4BFF}"/>
    <cellStyle name="Percent 20" xfId="247" xr:uid="{00000000-0005-0000-0000-0000FE000000}"/>
    <cellStyle name="Percent 21" xfId="248" xr:uid="{00000000-0005-0000-0000-0000FF000000}"/>
    <cellStyle name="Percent 22" xfId="249" xr:uid="{00000000-0005-0000-0000-000000010000}"/>
    <cellStyle name="Percent 23" xfId="250" xr:uid="{00000000-0005-0000-0000-000001010000}"/>
    <cellStyle name="Percent 24" xfId="251" xr:uid="{00000000-0005-0000-0000-000002010000}"/>
    <cellStyle name="Percent 25" xfId="252" xr:uid="{00000000-0005-0000-0000-000003010000}"/>
    <cellStyle name="Percent 26" xfId="253" xr:uid="{00000000-0005-0000-0000-000004010000}"/>
    <cellStyle name="Percent 27" xfId="254" xr:uid="{00000000-0005-0000-0000-000005010000}"/>
    <cellStyle name="Percent 28" xfId="255" xr:uid="{00000000-0005-0000-0000-000006010000}"/>
    <cellStyle name="Percent 29" xfId="256" xr:uid="{00000000-0005-0000-0000-000007010000}"/>
    <cellStyle name="Percent 3" xfId="6" xr:uid="{00000000-0005-0000-0000-000008010000}"/>
    <cellStyle name="Percent 3 2" xfId="258" xr:uid="{00000000-0005-0000-0000-000009010000}"/>
    <cellStyle name="Percent 3 2 2" xfId="259" xr:uid="{00000000-0005-0000-0000-00000A010000}"/>
    <cellStyle name="Percent 3 3" xfId="260" xr:uid="{00000000-0005-0000-0000-00000B010000}"/>
    <cellStyle name="Percent 3 4" xfId="257" xr:uid="{00000000-0005-0000-0000-00000C010000}"/>
    <cellStyle name="Percent 30" xfId="261" xr:uid="{00000000-0005-0000-0000-00000D010000}"/>
    <cellStyle name="Percent 31" xfId="262" xr:uid="{00000000-0005-0000-0000-00000E010000}"/>
    <cellStyle name="Percent 32" xfId="263" xr:uid="{00000000-0005-0000-0000-00000F010000}"/>
    <cellStyle name="Percent 33" xfId="264" xr:uid="{00000000-0005-0000-0000-000010010000}"/>
    <cellStyle name="Percent 34" xfId="265" xr:uid="{00000000-0005-0000-0000-000011010000}"/>
    <cellStyle name="Percent 35" xfId="266" xr:uid="{00000000-0005-0000-0000-000012010000}"/>
    <cellStyle name="Percent 36" xfId="267" xr:uid="{00000000-0005-0000-0000-000013010000}"/>
    <cellStyle name="Percent 37" xfId="268" xr:uid="{00000000-0005-0000-0000-000014010000}"/>
    <cellStyle name="Percent 38" xfId="269" xr:uid="{00000000-0005-0000-0000-000015010000}"/>
    <cellStyle name="Percent 39" xfId="270" xr:uid="{00000000-0005-0000-0000-000016010000}"/>
    <cellStyle name="Percent 4" xfId="271" xr:uid="{00000000-0005-0000-0000-000017010000}"/>
    <cellStyle name="Percent 4 2" xfId="272" xr:uid="{00000000-0005-0000-0000-000018010000}"/>
    <cellStyle name="Percent 4 3" xfId="273" xr:uid="{00000000-0005-0000-0000-000019010000}"/>
    <cellStyle name="Percent 40" xfId="274" xr:uid="{00000000-0005-0000-0000-00001A010000}"/>
    <cellStyle name="Percent 41" xfId="275" xr:uid="{00000000-0005-0000-0000-00001B010000}"/>
    <cellStyle name="Percent 42" xfId="276" xr:uid="{00000000-0005-0000-0000-00001C010000}"/>
    <cellStyle name="Percent 43" xfId="290" xr:uid="{00000000-0005-0000-0000-00001D010000}"/>
    <cellStyle name="Percent 43 2" xfId="295" xr:uid="{00000000-0005-0000-0000-00001E010000}"/>
    <cellStyle name="Percent 5" xfId="277" xr:uid="{00000000-0005-0000-0000-00001F010000}"/>
    <cellStyle name="Percent 5 3" xfId="7" xr:uid="{00000000-0005-0000-0000-000020010000}"/>
    <cellStyle name="Percent 54" xfId="278" xr:uid="{00000000-0005-0000-0000-000021010000}"/>
    <cellStyle name="Percent 6" xfId="279" xr:uid="{00000000-0005-0000-0000-000022010000}"/>
    <cellStyle name="Percent 7" xfId="280" xr:uid="{00000000-0005-0000-0000-000023010000}"/>
    <cellStyle name="Percent 8" xfId="281" xr:uid="{00000000-0005-0000-0000-000024010000}"/>
    <cellStyle name="Percent 9" xfId="282" xr:uid="{00000000-0005-0000-0000-000025010000}"/>
    <cellStyle name="Title 2" xfId="283" xr:uid="{00000000-0005-0000-0000-000026010000}"/>
    <cellStyle name="Total 2" xfId="284" xr:uid="{00000000-0005-0000-0000-000027010000}"/>
    <cellStyle name="Warning Text 2" xfId="285" xr:uid="{00000000-0005-0000-0000-00002801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Residential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Weather!$ER$1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Weather!$ER$2:$ER$121</c:f>
              <c:numCache>
                <c:formatCode>_(* #,##0_);_(* \(#,##0\);_(* "-"??_);_(@_)</c:formatCode>
                <c:ptCount val="120"/>
                <c:pt idx="0">
                  <c:v>34.567417466789699</c:v>
                </c:pt>
                <c:pt idx="1">
                  <c:v>38.809546960306868</c:v>
                </c:pt>
                <c:pt idx="2">
                  <c:v>28.908761544435801</c:v>
                </c:pt>
                <c:pt idx="3">
                  <c:v>26.313582863050531</c:v>
                </c:pt>
                <c:pt idx="4">
                  <c:v>21.589452457826916</c:v>
                </c:pt>
                <c:pt idx="5">
                  <c:v>24.152682914157385</c:v>
                </c:pt>
                <c:pt idx="6">
                  <c:v>26.983876828221277</c:v>
                </c:pt>
                <c:pt idx="7">
                  <c:v>29.653550842444471</c:v>
                </c:pt>
                <c:pt idx="8">
                  <c:v>27.122046703425251</c:v>
                </c:pt>
                <c:pt idx="9">
                  <c:v>20.851354020875974</c:v>
                </c:pt>
                <c:pt idx="10">
                  <c:v>23.549586922936996</c:v>
                </c:pt>
                <c:pt idx="11">
                  <c:v>25.137741093481065</c:v>
                </c:pt>
                <c:pt idx="12">
                  <c:v>31.295415273432805</c:v>
                </c:pt>
                <c:pt idx="13">
                  <c:v>32.70902230410114</c:v>
                </c:pt>
                <c:pt idx="14">
                  <c:v>26.32255842469527</c:v>
                </c:pt>
                <c:pt idx="15">
                  <c:v>25.617479111588295</c:v>
                </c:pt>
                <c:pt idx="16">
                  <c:v>21.48613174801396</c:v>
                </c:pt>
                <c:pt idx="17">
                  <c:v>26.467046904841975</c:v>
                </c:pt>
                <c:pt idx="18">
                  <c:v>30.843583637774554</c:v>
                </c:pt>
                <c:pt idx="19">
                  <c:v>33.540621137368596</c:v>
                </c:pt>
                <c:pt idx="20">
                  <c:v>27.532433379850833</c:v>
                </c:pt>
                <c:pt idx="21">
                  <c:v>19.910658007988928</c:v>
                </c:pt>
                <c:pt idx="22">
                  <c:v>22.392941907820816</c:v>
                </c:pt>
                <c:pt idx="23">
                  <c:v>26.197945303491931</c:v>
                </c:pt>
                <c:pt idx="24">
                  <c:v>28.647422031589691</c:v>
                </c:pt>
                <c:pt idx="25">
                  <c:v>29.214702161201618</c:v>
                </c:pt>
                <c:pt idx="26">
                  <c:v>25.083379007665915</c:v>
                </c:pt>
                <c:pt idx="27">
                  <c:v>23.512660149177858</c:v>
                </c:pt>
                <c:pt idx="28">
                  <c:v>20.349955845945054</c:v>
                </c:pt>
                <c:pt idx="29">
                  <c:v>23.427254275119704</c:v>
                </c:pt>
                <c:pt idx="30">
                  <c:v>26.287997267940273</c:v>
                </c:pt>
                <c:pt idx="31">
                  <c:v>26.348022853747587</c:v>
                </c:pt>
                <c:pt idx="32">
                  <c:v>25.308859811031034</c:v>
                </c:pt>
                <c:pt idx="33">
                  <c:v>22.46410888050649</c:v>
                </c:pt>
                <c:pt idx="34">
                  <c:v>24.618979795424753</c:v>
                </c:pt>
                <c:pt idx="35">
                  <c:v>27.844880855603865</c:v>
                </c:pt>
                <c:pt idx="36">
                  <c:v>29.90131130328297</c:v>
                </c:pt>
                <c:pt idx="37">
                  <c:v>28.393553057407047</c:v>
                </c:pt>
                <c:pt idx="38">
                  <c:v>26.299448511437376</c:v>
                </c:pt>
                <c:pt idx="39">
                  <c:v>25.413554215196697</c:v>
                </c:pt>
                <c:pt idx="40">
                  <c:v>19.633766305555724</c:v>
                </c:pt>
                <c:pt idx="41">
                  <c:v>24.440756575218167</c:v>
                </c:pt>
                <c:pt idx="42">
                  <c:v>29.286412100988038</c:v>
                </c:pt>
                <c:pt idx="43">
                  <c:v>30.589406584475537</c:v>
                </c:pt>
                <c:pt idx="44">
                  <c:v>27.791514926586665</c:v>
                </c:pt>
                <c:pt idx="45">
                  <c:v>20.684032663162366</c:v>
                </c:pt>
                <c:pt idx="46">
                  <c:v>24.337934835354719</c:v>
                </c:pt>
                <c:pt idx="47">
                  <c:v>25.882636239493205</c:v>
                </c:pt>
                <c:pt idx="48">
                  <c:v>29.619298438007103</c:v>
                </c:pt>
                <c:pt idx="49">
                  <c:v>30.917579850079143</c:v>
                </c:pt>
                <c:pt idx="50">
                  <c:v>24.056885070125578</c:v>
                </c:pt>
                <c:pt idx="51">
                  <c:v>23.486838065371771</c:v>
                </c:pt>
                <c:pt idx="52">
                  <c:v>20.31844571187802</c:v>
                </c:pt>
                <c:pt idx="53">
                  <c:v>22.373717352082181</c:v>
                </c:pt>
                <c:pt idx="54">
                  <c:v>30.300728431331486</c:v>
                </c:pt>
                <c:pt idx="55">
                  <c:v>29.639131552232985</c:v>
                </c:pt>
                <c:pt idx="56">
                  <c:v>24.805033226931975</c:v>
                </c:pt>
                <c:pt idx="57">
                  <c:v>20.773207504340629</c:v>
                </c:pt>
                <c:pt idx="58">
                  <c:v>24.909285791000904</c:v>
                </c:pt>
                <c:pt idx="59">
                  <c:v>27.386523297377877</c:v>
                </c:pt>
                <c:pt idx="60">
                  <c:v>28.736898152619659</c:v>
                </c:pt>
                <c:pt idx="61">
                  <c:v>29.168380278830274</c:v>
                </c:pt>
                <c:pt idx="62">
                  <c:v>23.924949171153607</c:v>
                </c:pt>
                <c:pt idx="63">
                  <c:v>25.561712556921648</c:v>
                </c:pt>
                <c:pt idx="64">
                  <c:v>23.342284749652816</c:v>
                </c:pt>
                <c:pt idx="65">
                  <c:v>28.829318135731434</c:v>
                </c:pt>
                <c:pt idx="66">
                  <c:v>35.623989446858026</c:v>
                </c:pt>
                <c:pt idx="67">
                  <c:v>32.945027807519253</c:v>
                </c:pt>
                <c:pt idx="68">
                  <c:v>26.966903579689085</c:v>
                </c:pt>
                <c:pt idx="69">
                  <c:v>21.407364008558709</c:v>
                </c:pt>
                <c:pt idx="70">
                  <c:v>24.043988320924164</c:v>
                </c:pt>
                <c:pt idx="71">
                  <c:v>27.109335783500672</c:v>
                </c:pt>
                <c:pt idx="72">
                  <c:v>30.45943894192828</c:v>
                </c:pt>
                <c:pt idx="73">
                  <c:v>32.871488457580483</c:v>
                </c:pt>
                <c:pt idx="74">
                  <c:v>24.448419194249219</c:v>
                </c:pt>
                <c:pt idx="75">
                  <c:v>23.780445066641438</c:v>
                </c:pt>
                <c:pt idx="76">
                  <c:v>22.482141189889745</c:v>
                </c:pt>
                <c:pt idx="77">
                  <c:v>27.769972946740484</c:v>
                </c:pt>
                <c:pt idx="78">
                  <c:v>28.857271672701199</c:v>
                </c:pt>
                <c:pt idx="79">
                  <c:v>32.290501582799273</c:v>
                </c:pt>
                <c:pt idx="80">
                  <c:v>28.85499895038236</c:v>
                </c:pt>
                <c:pt idx="81">
                  <c:v>21.529043347057545</c:v>
                </c:pt>
                <c:pt idx="82">
                  <c:v>23.794169114653375</c:v>
                </c:pt>
                <c:pt idx="83">
                  <c:v>26.617664255424184</c:v>
                </c:pt>
                <c:pt idx="84">
                  <c:v>29.988482054753931</c:v>
                </c:pt>
                <c:pt idx="85">
                  <c:v>29.682817014014194</c:v>
                </c:pt>
                <c:pt idx="86">
                  <c:v>28.385694516336621</c:v>
                </c:pt>
                <c:pt idx="87">
                  <c:v>24.591841595419773</c:v>
                </c:pt>
                <c:pt idx="88">
                  <c:v>21.453407239229566</c:v>
                </c:pt>
                <c:pt idx="89">
                  <c:v>24.80976878589329</c:v>
                </c:pt>
                <c:pt idx="90">
                  <c:v>29.003707158508053</c:v>
                </c:pt>
                <c:pt idx="91">
                  <c:v>31.460379328362578</c:v>
                </c:pt>
                <c:pt idx="92">
                  <c:v>27.095595627401053</c:v>
                </c:pt>
                <c:pt idx="93">
                  <c:v>20.685408067462859</c:v>
                </c:pt>
                <c:pt idx="94">
                  <c:v>23.324808169270099</c:v>
                </c:pt>
                <c:pt idx="95">
                  <c:v>26.408308868453361</c:v>
                </c:pt>
                <c:pt idx="96">
                  <c:v>28.520753065337189</c:v>
                </c:pt>
                <c:pt idx="97">
                  <c:v>30.487215883253786</c:v>
                </c:pt>
                <c:pt idx="98">
                  <c:v>25.101971744243986</c:v>
                </c:pt>
                <c:pt idx="99">
                  <c:v>24.443844291885391</c:v>
                </c:pt>
                <c:pt idx="100">
                  <c:v>21.322283791213628</c:v>
                </c:pt>
                <c:pt idx="101">
                  <c:v>25.744143205889923</c:v>
                </c:pt>
                <c:pt idx="102">
                  <c:v>30.016516150859406</c:v>
                </c:pt>
                <c:pt idx="103">
                  <c:v>29.464812812308224</c:v>
                </c:pt>
                <c:pt idx="104">
                  <c:v>27.093869629171312</c:v>
                </c:pt>
                <c:pt idx="105">
                  <c:v>22.04393267115891</c:v>
                </c:pt>
                <c:pt idx="106">
                  <c:v>24.304854618872319</c:v>
                </c:pt>
                <c:pt idx="107">
                  <c:v>26.079797759078136</c:v>
                </c:pt>
                <c:pt idx="108">
                  <c:v>27.720733987321733</c:v>
                </c:pt>
                <c:pt idx="109">
                  <c:v>25.894647211712037</c:v>
                </c:pt>
                <c:pt idx="110">
                  <c:v>25.155943733201962</c:v>
                </c:pt>
                <c:pt idx="111">
                  <c:v>23.630864808111891</c:v>
                </c:pt>
                <c:pt idx="112">
                  <c:v>22.83641686963114</c:v>
                </c:pt>
                <c:pt idx="113">
                  <c:v>26.43379124069163</c:v>
                </c:pt>
                <c:pt idx="114">
                  <c:v>30.9064854302284</c:v>
                </c:pt>
                <c:pt idx="115">
                  <c:v>30.699827109810101</c:v>
                </c:pt>
                <c:pt idx="116">
                  <c:v>27.106801965521054</c:v>
                </c:pt>
                <c:pt idx="117">
                  <c:v>22.143682177100438</c:v>
                </c:pt>
                <c:pt idx="118">
                  <c:v>23.459378669213795</c:v>
                </c:pt>
                <c:pt idx="119">
                  <c:v>26.660299937435958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712"/>
        <c:axId val="152584192"/>
      </c:scatterChart>
      <c:valAx>
        <c:axId val="174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84192"/>
        <c:crosses val="autoZero"/>
        <c:crossBetween val="midCat"/>
      </c:valAx>
      <c:valAx>
        <c:axId val="152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Daily Consumption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1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Large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Weather!$DT$2:$DT$121</c:f>
              <c:numCache>
                <c:formatCode>#,##0</c:formatCode>
                <c:ptCount val="12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3134927.0234779711</c:v>
                </c:pt>
                <c:pt idx="25">
                  <c:v>2672619.768727066</c:v>
                </c:pt>
                <c:pt idx="26">
                  <c:v>3167625.9681110834</c:v>
                </c:pt>
                <c:pt idx="27">
                  <c:v>2851633.5451566167</c:v>
                </c:pt>
                <c:pt idx="28">
                  <c:v>3104012.6835156321</c:v>
                </c:pt>
                <c:pt idx="29">
                  <c:v>3164334.3234939571</c:v>
                </c:pt>
                <c:pt idx="30">
                  <c:v>3330834.0260694562</c:v>
                </c:pt>
                <c:pt idx="31">
                  <c:v>3426068.7581383074</c:v>
                </c:pt>
                <c:pt idx="32">
                  <c:v>3363510.2194956485</c:v>
                </c:pt>
                <c:pt idx="33">
                  <c:v>3363510.2194956485</c:v>
                </c:pt>
                <c:pt idx="34">
                  <c:v>2918187.1957343561</c:v>
                </c:pt>
                <c:pt idx="35">
                  <c:v>3038979.2685842598</c:v>
                </c:pt>
                <c:pt idx="36">
                  <c:v>3601834.996090522</c:v>
                </c:pt>
                <c:pt idx="37">
                  <c:v>3368081.2940163556</c:v>
                </c:pt>
                <c:pt idx="38">
                  <c:v>3716883.3500913847</c:v>
                </c:pt>
                <c:pt idx="39">
                  <c:v>3398029.7079421505</c:v>
                </c:pt>
                <c:pt idx="40">
                  <c:v>3765155.0246874741</c:v>
                </c:pt>
                <c:pt idx="41">
                  <c:v>3542268.7592087607</c:v>
                </c:pt>
                <c:pt idx="42">
                  <c:v>3944834.7222399656</c:v>
                </c:pt>
                <c:pt idx="43">
                  <c:v>4464883.9792863484</c:v>
                </c:pt>
                <c:pt idx="44">
                  <c:v>4269800.7918802854</c:v>
                </c:pt>
                <c:pt idx="45">
                  <c:v>3882440.9348609606</c:v>
                </c:pt>
                <c:pt idx="46">
                  <c:v>3615531.6010835604</c:v>
                </c:pt>
                <c:pt idx="47">
                  <c:v>3303674.8386122286</c:v>
                </c:pt>
                <c:pt idx="48">
                  <c:v>3372037.1290001231</c:v>
                </c:pt>
                <c:pt idx="49">
                  <c:v>2864073.6348337554</c:v>
                </c:pt>
                <c:pt idx="50">
                  <c:v>3271187.2445928664</c:v>
                </c:pt>
                <c:pt idx="51">
                  <c:v>3115930.8448223723</c:v>
                </c:pt>
                <c:pt idx="52">
                  <c:v>3162233.4763844404</c:v>
                </c:pt>
                <c:pt idx="53">
                  <c:v>3172473.3758691298</c:v>
                </c:pt>
                <c:pt idx="54">
                  <c:v>3467321.3949721884</c:v>
                </c:pt>
                <c:pt idx="55">
                  <c:v>3551002.3047195231</c:v>
                </c:pt>
                <c:pt idx="56">
                  <c:v>3301878.995178178</c:v>
                </c:pt>
                <c:pt idx="57">
                  <c:v>3235594.6355934963</c:v>
                </c:pt>
                <c:pt idx="58">
                  <c:v>3235594.6355934963</c:v>
                </c:pt>
                <c:pt idx="59">
                  <c:v>3129610.3284404315</c:v>
                </c:pt>
                <c:pt idx="60">
                  <c:v>3051730.6981788147</c:v>
                </c:pt>
                <c:pt idx="61">
                  <c:v>2738816.0758073898</c:v>
                </c:pt>
                <c:pt idx="62">
                  <c:v>2583844.5749993362</c:v>
                </c:pt>
                <c:pt idx="63">
                  <c:v>2026215.689811578</c:v>
                </c:pt>
                <c:pt idx="64">
                  <c:v>1950073.45202516</c:v>
                </c:pt>
                <c:pt idx="65">
                  <c:v>2214827.6747113038</c:v>
                </c:pt>
                <c:pt idx="66">
                  <c:v>2771707.1866302304</c:v>
                </c:pt>
                <c:pt idx="67">
                  <c:v>2823767.8385568643</c:v>
                </c:pt>
                <c:pt idx="68">
                  <c:v>2773278.0060593467</c:v>
                </c:pt>
                <c:pt idx="69">
                  <c:v>2549443.6415996617</c:v>
                </c:pt>
                <c:pt idx="70">
                  <c:v>2612945.5044569829</c:v>
                </c:pt>
                <c:pt idx="71">
                  <c:v>2701865.657163329</c:v>
                </c:pt>
                <c:pt idx="72">
                  <c:v>2837674</c:v>
                </c:pt>
                <c:pt idx="73">
                  <c:v>2471480</c:v>
                </c:pt>
                <c:pt idx="74">
                  <c:v>3003749</c:v>
                </c:pt>
                <c:pt idx="75">
                  <c:v>2727156</c:v>
                </c:pt>
                <c:pt idx="76">
                  <c:v>2846646</c:v>
                </c:pt>
                <c:pt idx="77">
                  <c:v>3068568</c:v>
                </c:pt>
                <c:pt idx="78">
                  <c:v>3205744</c:v>
                </c:pt>
                <c:pt idx="79">
                  <c:v>3545099</c:v>
                </c:pt>
                <c:pt idx="80">
                  <c:v>3231896</c:v>
                </c:pt>
                <c:pt idx="81">
                  <c:v>3100549</c:v>
                </c:pt>
                <c:pt idx="82">
                  <c:v>3042708</c:v>
                </c:pt>
                <c:pt idx="83">
                  <c:v>3065363</c:v>
                </c:pt>
                <c:pt idx="84">
                  <c:v>3019557</c:v>
                </c:pt>
                <c:pt idx="85">
                  <c:v>2697106</c:v>
                </c:pt>
                <c:pt idx="86">
                  <c:v>3147951</c:v>
                </c:pt>
                <c:pt idx="87">
                  <c:v>2970947</c:v>
                </c:pt>
                <c:pt idx="88">
                  <c:v>3078921</c:v>
                </c:pt>
                <c:pt idx="89">
                  <c:v>3066956</c:v>
                </c:pt>
                <c:pt idx="90">
                  <c:v>2783162</c:v>
                </c:pt>
                <c:pt idx="91">
                  <c:v>2720948</c:v>
                </c:pt>
                <c:pt idx="92">
                  <c:v>2739776</c:v>
                </c:pt>
                <c:pt idx="93">
                  <c:v>2642054</c:v>
                </c:pt>
                <c:pt idx="94">
                  <c:v>2584119</c:v>
                </c:pt>
                <c:pt idx="95">
                  <c:v>2398663</c:v>
                </c:pt>
                <c:pt idx="96">
                  <c:v>2718971.7479580869</c:v>
                </c:pt>
                <c:pt idx="97">
                  <c:v>2576085.9383378797</c:v>
                </c:pt>
                <c:pt idx="98">
                  <c:v>2739789.2561942837</c:v>
                </c:pt>
                <c:pt idx="99">
                  <c:v>2517469.3774617161</c:v>
                </c:pt>
                <c:pt idx="100">
                  <c:v>2612878.6013215701</c:v>
                </c:pt>
                <c:pt idx="101">
                  <c:v>2552437.8310888154</c:v>
                </c:pt>
                <c:pt idx="102">
                  <c:v>2671992.2080055689</c:v>
                </c:pt>
                <c:pt idx="103">
                  <c:v>2937780.5360975759</c:v>
                </c:pt>
                <c:pt idx="104">
                  <c:v>2945265.9434799016</c:v>
                </c:pt>
                <c:pt idx="105">
                  <c:v>2948633.5569325746</c:v>
                </c:pt>
                <c:pt idx="106">
                  <c:v>3365865.081233291</c:v>
                </c:pt>
                <c:pt idx="107">
                  <c:v>3262989.9218887375</c:v>
                </c:pt>
                <c:pt idx="108">
                  <c:v>3490906.9121080958</c:v>
                </c:pt>
                <c:pt idx="109">
                  <c:v>3323334.9163271203</c:v>
                </c:pt>
                <c:pt idx="110">
                  <c:v>3467586.9126952323</c:v>
                </c:pt>
                <c:pt idx="111">
                  <c:v>3191122.9196558725</c:v>
                </c:pt>
                <c:pt idx="112">
                  <c:v>3367176.9152232935</c:v>
                </c:pt>
                <c:pt idx="113">
                  <c:v>3275187.9175393358</c:v>
                </c:pt>
                <c:pt idx="114">
                  <c:v>3353404.915570036</c:v>
                </c:pt>
                <c:pt idx="115">
                  <c:v>3316006.9165116199</c:v>
                </c:pt>
                <c:pt idx="116">
                  <c:v>3312866.9165906771</c:v>
                </c:pt>
                <c:pt idx="117">
                  <c:v>3279055.9174419497</c:v>
                </c:pt>
                <c:pt idx="118">
                  <c:v>3208593.9192159981</c:v>
                </c:pt>
                <c:pt idx="119">
                  <c:v>3132939.9211207679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17-423A-92DF-0F66733D16D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Weather!$DY$2:$DY$121</c:f>
              <c:numCache>
                <c:formatCode>_(* #,##0_);_(* \(#,##0\);_(* "-"??_);_(@_)</c:formatCode>
                <c:ptCount val="120"/>
                <c:pt idx="0">
                  <c:v>3227026.2028917666</c:v>
                </c:pt>
                <c:pt idx="1">
                  <c:v>3245416.0114970752</c:v>
                </c:pt>
                <c:pt idx="2">
                  <c:v>3192778.0314124362</c:v>
                </c:pt>
                <c:pt idx="3">
                  <c:v>3132125.8834342076</c:v>
                </c:pt>
                <c:pt idx="4">
                  <c:v>3186877.0536679956</c:v>
                </c:pt>
                <c:pt idx="5">
                  <c:v>3228969.1630236567</c:v>
                </c:pt>
                <c:pt idx="6">
                  <c:v>3381439.1551290406</c:v>
                </c:pt>
                <c:pt idx="7">
                  <c:v>3329251.0416349424</c:v>
                </c:pt>
                <c:pt idx="8">
                  <c:v>3283429.9333904753</c:v>
                </c:pt>
                <c:pt idx="9">
                  <c:v>3124612.7078287154</c:v>
                </c:pt>
                <c:pt idx="10">
                  <c:v>3138283.167185029</c:v>
                </c:pt>
                <c:pt idx="11">
                  <c:v>3149955.1344500128</c:v>
                </c:pt>
                <c:pt idx="12">
                  <c:v>3200924.2415255629</c:v>
                </c:pt>
                <c:pt idx="13">
                  <c:v>3188051.9994592909</c:v>
                </c:pt>
                <c:pt idx="14">
                  <c:v>3166524.6150344005</c:v>
                </c:pt>
                <c:pt idx="15">
                  <c:v>3146315.270307675</c:v>
                </c:pt>
                <c:pt idx="16">
                  <c:v>3198215.3505950226</c:v>
                </c:pt>
                <c:pt idx="17">
                  <c:v>3300568.9302579351</c:v>
                </c:pt>
                <c:pt idx="18">
                  <c:v>3444865.382833383</c:v>
                </c:pt>
                <c:pt idx="19">
                  <c:v>3465404.0053555537</c:v>
                </c:pt>
                <c:pt idx="20">
                  <c:v>3263783.3976349891</c:v>
                </c:pt>
                <c:pt idx="21">
                  <c:v>3149246.1747523062</c:v>
                </c:pt>
                <c:pt idx="22">
                  <c:v>3138625.1468769424</c:v>
                </c:pt>
                <c:pt idx="23">
                  <c:v>3188257.9054157557</c:v>
                </c:pt>
                <c:pt idx="24">
                  <c:v>3189016.4593939008</c:v>
                </c:pt>
                <c:pt idx="25">
                  <c:v>3173585.1004401371</c:v>
                </c:pt>
                <c:pt idx="26">
                  <c:v>3184622.9076215406</c:v>
                </c:pt>
                <c:pt idx="27">
                  <c:v>3129810.7411797089</c:v>
                </c:pt>
                <c:pt idx="28">
                  <c:v>3146693.5777301281</c:v>
                </c:pt>
                <c:pt idx="29">
                  <c:v>3252586.6277214349</c:v>
                </c:pt>
                <c:pt idx="30">
                  <c:v>3371207.4392062812</c:v>
                </c:pt>
                <c:pt idx="31">
                  <c:v>3311874.9540611492</c:v>
                </c:pt>
                <c:pt idx="32">
                  <c:v>3253708.6742794607</c:v>
                </c:pt>
                <c:pt idx="33">
                  <c:v>3147960.6991696656</c:v>
                </c:pt>
                <c:pt idx="34">
                  <c:v>3152305.3154352368</c:v>
                </c:pt>
                <c:pt idx="35">
                  <c:v>3213852.6397617804</c:v>
                </c:pt>
                <c:pt idx="36">
                  <c:v>3216895.7693521306</c:v>
                </c:pt>
                <c:pt idx="37">
                  <c:v>3183514.0461070719</c:v>
                </c:pt>
                <c:pt idx="38">
                  <c:v>3177691.6317883343</c:v>
                </c:pt>
                <c:pt idx="39">
                  <c:v>3154424.2587078065</c:v>
                </c:pt>
                <c:pt idx="40">
                  <c:v>3209492.0632526758</c:v>
                </c:pt>
                <c:pt idx="41">
                  <c:v>3292566.9301809533</c:v>
                </c:pt>
                <c:pt idx="42">
                  <c:v>3452041.2768929228</c:v>
                </c:pt>
                <c:pt idx="43">
                  <c:v>3446276.6539951432</c:v>
                </c:pt>
                <c:pt idx="44">
                  <c:v>3284063.1157383649</c:v>
                </c:pt>
                <c:pt idx="45">
                  <c:v>3147895.0797711597</c:v>
                </c:pt>
                <c:pt idx="46">
                  <c:v>3165336.3830326665</c:v>
                </c:pt>
                <c:pt idx="47">
                  <c:v>3181464.7915879693</c:v>
                </c:pt>
                <c:pt idx="48">
                  <c:v>3223184.3690181891</c:v>
                </c:pt>
                <c:pt idx="49">
                  <c:v>3196950.5239761244</c:v>
                </c:pt>
                <c:pt idx="50">
                  <c:v>3187142.8043268486</c:v>
                </c:pt>
                <c:pt idx="51">
                  <c:v>3136236.790587855</c:v>
                </c:pt>
                <c:pt idx="52">
                  <c:v>3121762.903733769</c:v>
                </c:pt>
                <c:pt idx="53">
                  <c:v>3261899.4416241786</c:v>
                </c:pt>
                <c:pt idx="54">
                  <c:v>3456485.2343250872</c:v>
                </c:pt>
                <c:pt idx="55">
                  <c:v>3359969.3249960369</c:v>
                </c:pt>
                <c:pt idx="56">
                  <c:v>3202407.6397968694</c:v>
                </c:pt>
                <c:pt idx="57">
                  <c:v>3121844.1159208636</c:v>
                </c:pt>
                <c:pt idx="58">
                  <c:v>3170941.3036138397</c:v>
                </c:pt>
                <c:pt idx="59">
                  <c:v>3187778.3495517811</c:v>
                </c:pt>
                <c:pt idx="60">
                  <c:v>3190857.1338532078</c:v>
                </c:pt>
                <c:pt idx="61">
                  <c:v>3191622.8187735686</c:v>
                </c:pt>
                <c:pt idx="62">
                  <c:v>3159356.196617417</c:v>
                </c:pt>
                <c:pt idx="63">
                  <c:v>3138841.3672319688</c:v>
                </c:pt>
                <c:pt idx="64">
                  <c:v>3185372.5337127144</c:v>
                </c:pt>
                <c:pt idx="65">
                  <c:v>3326513.4974676366</c:v>
                </c:pt>
                <c:pt idx="66">
                  <c:v>3524902.9661794249</c:v>
                </c:pt>
                <c:pt idx="67">
                  <c:v>3397254.9618632351</c:v>
                </c:pt>
                <c:pt idx="68">
                  <c:v>3203281.4919036506</c:v>
                </c:pt>
                <c:pt idx="69">
                  <c:v>3125559.9239355312</c:v>
                </c:pt>
                <c:pt idx="70">
                  <c:v>3136371.5421426506</c:v>
                </c:pt>
                <c:pt idx="71">
                  <c:v>3181034.2609517248</c:v>
                </c:pt>
                <c:pt idx="72">
                  <c:v>3196137.5965635879</c:v>
                </c:pt>
                <c:pt idx="73">
                  <c:v>3199977.608946491</c:v>
                </c:pt>
                <c:pt idx="74">
                  <c:v>3161778.1591326273</c:v>
                </c:pt>
                <c:pt idx="75">
                  <c:v>3133543.9890237078</c:v>
                </c:pt>
                <c:pt idx="76">
                  <c:v>3181808.8269057018</c:v>
                </c:pt>
                <c:pt idx="77">
                  <c:v>3348314.7701151092</c:v>
                </c:pt>
                <c:pt idx="78">
                  <c:v>3363861.8884872845</c:v>
                </c:pt>
                <c:pt idx="79">
                  <c:v>3465456.0604393892</c:v>
                </c:pt>
                <c:pt idx="80">
                  <c:v>3228417.334374343</c:v>
                </c:pt>
                <c:pt idx="81">
                  <c:v>3167432.5303534297</c:v>
                </c:pt>
                <c:pt idx="82">
                  <c:v>3153097.0342337796</c:v>
                </c:pt>
                <c:pt idx="83">
                  <c:v>3170368.1541332901</c:v>
                </c:pt>
                <c:pt idx="84">
                  <c:v>3232930.5842908588</c:v>
                </c:pt>
                <c:pt idx="85">
                  <c:v>3196425.5083555281</c:v>
                </c:pt>
                <c:pt idx="86">
                  <c:v>3172865.7666441756</c:v>
                </c:pt>
                <c:pt idx="87">
                  <c:v>3133902.298380143</c:v>
                </c:pt>
                <c:pt idx="88">
                  <c:v>3199654.7677718764</c:v>
                </c:pt>
                <c:pt idx="89">
                  <c:v>3263982.0697409464</c:v>
                </c:pt>
                <c:pt idx="90">
                  <c:v>3404089.138734017</c:v>
                </c:pt>
                <c:pt idx="91">
                  <c:v>3413013.4554243176</c:v>
                </c:pt>
                <c:pt idx="92">
                  <c:v>3228518.7183016688</c:v>
                </c:pt>
                <c:pt idx="93">
                  <c:v>3119693.303027038</c:v>
                </c:pt>
                <c:pt idx="94">
                  <c:v>3150332.6930588256</c:v>
                </c:pt>
                <c:pt idx="95">
                  <c:v>3181508.4686090378</c:v>
                </c:pt>
                <c:pt idx="96">
                  <c:v>3185562.4092583978</c:v>
                </c:pt>
                <c:pt idx="97">
                  <c:v>3182858.8907910474</c:v>
                </c:pt>
                <c:pt idx="98">
                  <c:v>3174216.1888261852</c:v>
                </c:pt>
                <c:pt idx="99">
                  <c:v>3143220.1910441928</c:v>
                </c:pt>
                <c:pt idx="100">
                  <c:v>3155984.5299293958</c:v>
                </c:pt>
                <c:pt idx="101">
                  <c:v>3298156.8048905921</c:v>
                </c:pt>
                <c:pt idx="102">
                  <c:v>3406766.8453640686</c:v>
                </c:pt>
                <c:pt idx="103">
                  <c:v>3326284.9077516641</c:v>
                </c:pt>
                <c:pt idx="104">
                  <c:v>3242365.3228154425</c:v>
                </c:pt>
                <c:pt idx="105">
                  <c:v>3159821.4354421743</c:v>
                </c:pt>
                <c:pt idx="106">
                  <c:v>3154012.7568358425</c:v>
                </c:pt>
                <c:pt idx="107">
                  <c:v>3161090.7983112722</c:v>
                </c:pt>
                <c:pt idx="108">
                  <c:v>3192605.9974314938</c:v>
                </c:pt>
                <c:pt idx="109">
                  <c:v>3175057.6400075825</c:v>
                </c:pt>
                <c:pt idx="110">
                  <c:v>3154765.6525663608</c:v>
                </c:pt>
                <c:pt idx="111">
                  <c:v>3124081.6538981022</c:v>
                </c:pt>
                <c:pt idx="112">
                  <c:v>3180998.3506772853</c:v>
                </c:pt>
                <c:pt idx="113">
                  <c:v>3299643.2667290033</c:v>
                </c:pt>
                <c:pt idx="114">
                  <c:v>3430862.5652816584</c:v>
                </c:pt>
                <c:pt idx="115">
                  <c:v>3374955.4052424305</c:v>
                </c:pt>
                <c:pt idx="116">
                  <c:v>3254181.8268460804</c:v>
                </c:pt>
                <c:pt idx="117">
                  <c:v>3129860.7385980627</c:v>
                </c:pt>
                <c:pt idx="118">
                  <c:v>3145652.033359068</c:v>
                </c:pt>
                <c:pt idx="119">
                  <c:v>3184386.6951606609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17-423A-92DF-0F66733D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Monthly'!$D$2:$D$139</c:f>
              <c:numCache>
                <c:formatCode>_(* #,##0_);_(* \(#,##0\);_(* "-"??_);_(@_)</c:formatCode>
                <c:ptCount val="138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Monthly'!$O$2:$O$139</c:f>
              <c:numCache>
                <c:formatCode>_(* #,##0_);_(* \(#,##0\);_(* "-"??_);_(@_)</c:formatCode>
                <c:ptCount val="138"/>
                <c:pt idx="0">
                  <c:v>48463802.61360012</c:v>
                </c:pt>
                <c:pt idx="1">
                  <c:v>51392099.804341316</c:v>
                </c:pt>
                <c:pt idx="2">
                  <c:v>42855926.395839579</c:v>
                </c:pt>
                <c:pt idx="3">
                  <c:v>33212348.960604366</c:v>
                </c:pt>
                <c:pt idx="4">
                  <c:v>34974088.193569109</c:v>
                </c:pt>
                <c:pt idx="5">
                  <c:v>37136976.851586185</c:v>
                </c:pt>
                <c:pt idx="6">
                  <c:v>44013131.356638283</c:v>
                </c:pt>
                <c:pt idx="7">
                  <c:v>41873885.202059329</c:v>
                </c:pt>
                <c:pt idx="8">
                  <c:v>39631963.714042999</c:v>
                </c:pt>
                <c:pt idx="9">
                  <c:v>32422967.860889226</c:v>
                </c:pt>
                <c:pt idx="10">
                  <c:v>34685700.012861311</c:v>
                </c:pt>
                <c:pt idx="11">
                  <c:v>36308619.490265444</c:v>
                </c:pt>
                <c:pt idx="12">
                  <c:v>44856835.263337322</c:v>
                </c:pt>
                <c:pt idx="13">
                  <c:v>42621615.678021528</c:v>
                </c:pt>
                <c:pt idx="14">
                  <c:v>39223596.278160311</c:v>
                </c:pt>
                <c:pt idx="15">
                  <c:v>36100208.347423762</c:v>
                </c:pt>
                <c:pt idx="16">
                  <c:v>35896782.732305951</c:v>
                </c:pt>
                <c:pt idx="17">
                  <c:v>40969158.65393734</c:v>
                </c:pt>
                <c:pt idx="18">
                  <c:v>47454511.283749036</c:v>
                </c:pt>
                <c:pt idx="19">
                  <c:v>48385143.904900104</c:v>
                </c:pt>
                <c:pt idx="20">
                  <c:v>39584606.308324866</c:v>
                </c:pt>
                <c:pt idx="21">
                  <c:v>35055896.375078127</c:v>
                </c:pt>
                <c:pt idx="22">
                  <c:v>35156503.25960958</c:v>
                </c:pt>
                <c:pt idx="23">
                  <c:v>43436133.722898394</c:v>
                </c:pt>
                <c:pt idx="24">
                  <c:v>43626835.583132952</c:v>
                </c:pt>
                <c:pt idx="25">
                  <c:v>40891415.23704683</c:v>
                </c:pt>
                <c:pt idx="26">
                  <c:v>43018435.888302773</c:v>
                </c:pt>
                <c:pt idx="27">
                  <c:v>33726631.748568803</c:v>
                </c:pt>
                <c:pt idx="28">
                  <c:v>34593115.313954294</c:v>
                </c:pt>
                <c:pt idx="29">
                  <c:v>39711070.070933297</c:v>
                </c:pt>
                <c:pt idx="30">
                  <c:v>45109411.422122926</c:v>
                </c:pt>
                <c:pt idx="31">
                  <c:v>42668593.162169568</c:v>
                </c:pt>
                <c:pt idx="32">
                  <c:v>39691015.387922652</c:v>
                </c:pt>
                <c:pt idx="33">
                  <c:v>35124089.304271445</c:v>
                </c:pt>
                <c:pt idx="34">
                  <c:v>38120178.937030494</c:v>
                </c:pt>
                <c:pt idx="35">
                  <c:v>48486332.970742315</c:v>
                </c:pt>
                <c:pt idx="36">
                  <c:v>49059611.539378658</c:v>
                </c:pt>
                <c:pt idx="37">
                  <c:v>43318210.017406888</c:v>
                </c:pt>
                <c:pt idx="38">
                  <c:v>42621805.604511641</c:v>
                </c:pt>
                <c:pt idx="39">
                  <c:v>38721121.095195629</c:v>
                </c:pt>
                <c:pt idx="40">
                  <c:v>38518352.665213816</c:v>
                </c:pt>
                <c:pt idx="41">
                  <c:v>42180322.689941481</c:v>
                </c:pt>
                <c:pt idx="42">
                  <c:v>49285586.492644116</c:v>
                </c:pt>
                <c:pt idx="43">
                  <c:v>49105929.01594919</c:v>
                </c:pt>
                <c:pt idx="44">
                  <c:v>41757033.783123225</c:v>
                </c:pt>
                <c:pt idx="45">
                  <c:v>36576767.302144185</c:v>
                </c:pt>
                <c:pt idx="46">
                  <c:v>41010548.135427631</c:v>
                </c:pt>
                <c:pt idx="47">
                  <c:v>43826726.403203137</c:v>
                </c:pt>
                <c:pt idx="48">
                  <c:v>50876791.30720932</c:v>
                </c:pt>
                <c:pt idx="49">
                  <c:v>46332378.71409975</c:v>
                </c:pt>
                <c:pt idx="50">
                  <c:v>44968592.146204755</c:v>
                </c:pt>
                <c:pt idx="51">
                  <c:v>36574260.959341429</c:v>
                </c:pt>
                <c:pt idx="52">
                  <c:v>34693941.156295188</c:v>
                </c:pt>
                <c:pt idx="53">
                  <c:v>41540768.656287551</c:v>
                </c:pt>
                <c:pt idx="54">
                  <c:v>50237257.276030511</c:v>
                </c:pt>
                <c:pt idx="55">
                  <c:v>46226884.11833442</c:v>
                </c:pt>
                <c:pt idx="56">
                  <c:v>39288047.996380411</c:v>
                </c:pt>
                <c:pt idx="57">
                  <c:v>34621572.572673485</c:v>
                </c:pt>
                <c:pt idx="58">
                  <c:v>42693218.614994027</c:v>
                </c:pt>
                <c:pt idx="59">
                  <c:v>45648085.705889538</c:v>
                </c:pt>
                <c:pt idx="60">
                  <c:v>46227335.038605496</c:v>
                </c:pt>
                <c:pt idx="61">
                  <c:v>46275932.713745072</c:v>
                </c:pt>
                <c:pt idx="62">
                  <c:v>41081709.987815648</c:v>
                </c:pt>
                <c:pt idx="63">
                  <c:v>37762331.932635479</c:v>
                </c:pt>
                <c:pt idx="64">
                  <c:v>40506544.511907563</c:v>
                </c:pt>
                <c:pt idx="65">
                  <c:v>48520662.880566165</c:v>
                </c:pt>
                <c:pt idx="66">
                  <c:v>59525582.902318373</c:v>
                </c:pt>
                <c:pt idx="67">
                  <c:v>52803658.289450519</c:v>
                </c:pt>
                <c:pt idx="68">
                  <c:v>41546389.474593267</c:v>
                </c:pt>
                <c:pt idx="69">
                  <c:v>36725163.40950112</c:v>
                </c:pt>
                <c:pt idx="70">
                  <c:v>38214245.92936518</c:v>
                </c:pt>
                <c:pt idx="71">
                  <c:v>45282801.93351642</c:v>
                </c:pt>
                <c:pt idx="72">
                  <c:v>47875691.452084854</c:v>
                </c:pt>
                <c:pt idx="73">
                  <c:v>48367469.09103436</c:v>
                </c:pt>
                <c:pt idx="74">
                  <c:v>42543719.382882088</c:v>
                </c:pt>
                <c:pt idx="75">
                  <c:v>37824214.247059308</c:v>
                </c:pt>
                <c:pt idx="76">
                  <c:v>40158532.323855273</c:v>
                </c:pt>
                <c:pt idx="77">
                  <c:v>49655865.96224688</c:v>
                </c:pt>
                <c:pt idx="78">
                  <c:v>50760627.508414224</c:v>
                </c:pt>
                <c:pt idx="79">
                  <c:v>55946861.427810639</c:v>
                </c:pt>
                <c:pt idx="80">
                  <c:v>43597180.481288098</c:v>
                </c:pt>
                <c:pt idx="81">
                  <c:v>39893318.789750993</c:v>
                </c:pt>
                <c:pt idx="82">
                  <c:v>41233176.67736908</c:v>
                </c:pt>
                <c:pt idx="83">
                  <c:v>44284904.463808239</c:v>
                </c:pt>
                <c:pt idx="84">
                  <c:v>54801158.428236023</c:v>
                </c:pt>
                <c:pt idx="85">
                  <c:v>48536717.972889386</c:v>
                </c:pt>
                <c:pt idx="86">
                  <c:v>44870007.699484244</c:v>
                </c:pt>
                <c:pt idx="87">
                  <c:v>38783817.683259249</c:v>
                </c:pt>
                <c:pt idx="88">
                  <c:v>41421818.022775754</c:v>
                </c:pt>
                <c:pt idx="89">
                  <c:v>45480392.332508229</c:v>
                </c:pt>
                <c:pt idx="90">
                  <c:v>52474634.788360134</c:v>
                </c:pt>
                <c:pt idx="91">
                  <c:v>52963863.868754074</c:v>
                </c:pt>
                <c:pt idx="92">
                  <c:v>43387673.075512804</c:v>
                </c:pt>
                <c:pt idx="93">
                  <c:v>37482898.812864207</c:v>
                </c:pt>
                <c:pt idx="94">
                  <c:v>41704816.131805912</c:v>
                </c:pt>
                <c:pt idx="95">
                  <c:v>46890385.602350093</c:v>
                </c:pt>
                <c:pt idx="96">
                  <c:v>47632935.332643718</c:v>
                </c:pt>
                <c:pt idx="97">
                  <c:v>47028928.493880615</c:v>
                </c:pt>
                <c:pt idx="98">
                  <c:v>45860236.642287269</c:v>
                </c:pt>
                <c:pt idx="99">
                  <c:v>39808508.803132996</c:v>
                </c:pt>
                <c:pt idx="100">
                  <c:v>40024387.535074599</c:v>
                </c:pt>
                <c:pt idx="101">
                  <c:v>47093211.368604623</c:v>
                </c:pt>
                <c:pt idx="102">
                  <c:v>52280669.708685316</c:v>
                </c:pt>
                <c:pt idx="103">
                  <c:v>48726839.286314785</c:v>
                </c:pt>
                <c:pt idx="104">
                  <c:v>44713856.477569096</c:v>
                </c:pt>
                <c:pt idx="105">
                  <c:v>40233289.49692256</c:v>
                </c:pt>
                <c:pt idx="106">
                  <c:v>42935937.374683507</c:v>
                </c:pt>
                <c:pt idx="107">
                  <c:v>44235313.805441983</c:v>
                </c:pt>
                <c:pt idx="108">
                  <c:v>49576546.02986037</c:v>
                </c:pt>
                <c:pt idx="109">
                  <c:v>46558260.735502161</c:v>
                </c:pt>
                <c:pt idx="110">
                  <c:v>43367121.821038894</c:v>
                </c:pt>
                <c:pt idx="111">
                  <c:v>38767023.978029691</c:v>
                </c:pt>
                <c:pt idx="112">
                  <c:v>42339085.116508052</c:v>
                </c:pt>
                <c:pt idx="113">
                  <c:v>47858794.780128874</c:v>
                </c:pt>
                <c:pt idx="114">
                  <c:v>54127811.023028865</c:v>
                </c:pt>
                <c:pt idx="115">
                  <c:v>51678568.357985735</c:v>
                </c:pt>
                <c:pt idx="116">
                  <c:v>46003646.689236648</c:v>
                </c:pt>
                <c:pt idx="117">
                  <c:v>39783570.824662469</c:v>
                </c:pt>
                <c:pt idx="118">
                  <c:v>41772641.873809218</c:v>
                </c:pt>
                <c:pt idx="119">
                  <c:v>48900548.039252289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69856"/>
        <c:axId val="175784320"/>
      </c:lineChart>
      <c:dateAx>
        <c:axId val="17576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4320"/>
        <c:crosses val="autoZero"/>
        <c:auto val="1"/>
        <c:lblOffset val="100"/>
        <c:baseTimeUnit val="months"/>
      </c:dateAx>
      <c:valAx>
        <c:axId val="175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6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Monthly'!$D$2:$D$141</c:f>
              <c:numCache>
                <c:formatCode>_(* #,##0_);_(* \(#,##0\);_(* "-"??_);_(@_)</c:formatCode>
                <c:ptCount val="14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Monthly'!$Q$2:$Q$141</c:f>
              <c:numCache>
                <c:formatCode>_(* #,##0_);_(* \(#,##0\);_(* "-"??_);_(@_)</c:formatCode>
                <c:ptCount val="140"/>
                <c:pt idx="0">
                  <c:v>12791457.00631211</c:v>
                </c:pt>
                <c:pt idx="1">
                  <c:v>12383545.23625147</c:v>
                </c:pt>
                <c:pt idx="2">
                  <c:v>11915892.689134091</c:v>
                </c:pt>
                <c:pt idx="3">
                  <c:v>10095743.339832265</c:v>
                </c:pt>
                <c:pt idx="4">
                  <c:v>9980186.133096844</c:v>
                </c:pt>
                <c:pt idx="5">
                  <c:v>9876438.6875710431</c:v>
                </c:pt>
                <c:pt idx="6">
                  <c:v>11452799.873049378</c:v>
                </c:pt>
                <c:pt idx="7">
                  <c:v>10980882.715330359</c:v>
                </c:pt>
                <c:pt idx="8">
                  <c:v>10411569.401385128</c:v>
                </c:pt>
                <c:pt idx="9">
                  <c:v>10127360.858353097</c:v>
                </c:pt>
                <c:pt idx="10">
                  <c:v>10343851.474298803</c:v>
                </c:pt>
                <c:pt idx="11">
                  <c:v>10968275.240137938</c:v>
                </c:pt>
                <c:pt idx="12">
                  <c:v>12267637.860229753</c:v>
                </c:pt>
                <c:pt idx="13">
                  <c:v>11432487.794347474</c:v>
                </c:pt>
                <c:pt idx="14">
                  <c:v>11497761.745112941</c:v>
                </c:pt>
                <c:pt idx="15">
                  <c:v>10678764.896855023</c:v>
                </c:pt>
                <c:pt idx="16">
                  <c:v>10507820.764170196</c:v>
                </c:pt>
                <c:pt idx="17">
                  <c:v>10724103.955069683</c:v>
                </c:pt>
                <c:pt idx="18">
                  <c:v>12266845.698581878</c:v>
                </c:pt>
                <c:pt idx="19">
                  <c:v>12435361.808867339</c:v>
                </c:pt>
                <c:pt idx="20">
                  <c:v>10434719.221984245</c:v>
                </c:pt>
                <c:pt idx="21">
                  <c:v>10272539.250881771</c:v>
                </c:pt>
                <c:pt idx="22">
                  <c:v>10496738.797337638</c:v>
                </c:pt>
                <c:pt idx="23">
                  <c:v>12051186.118957922</c:v>
                </c:pt>
                <c:pt idx="24">
                  <c:v>12070342.948699031</c:v>
                </c:pt>
                <c:pt idx="25">
                  <c:v>10799171.606996939</c:v>
                </c:pt>
                <c:pt idx="26">
                  <c:v>11959386.41075081</c:v>
                </c:pt>
                <c:pt idx="27">
                  <c:v>10104744.472834866</c:v>
                </c:pt>
                <c:pt idx="28">
                  <c:v>10156295.073393334</c:v>
                </c:pt>
                <c:pt idx="29">
                  <c:v>10323810.30566135</c:v>
                </c:pt>
                <c:pt idx="30">
                  <c:v>11568136.708287952</c:v>
                </c:pt>
                <c:pt idx="31">
                  <c:v>11046749.364622653</c:v>
                </c:pt>
                <c:pt idx="32">
                  <c:v>10438601.753814429</c:v>
                </c:pt>
                <c:pt idx="33">
                  <c:v>10140900.865319416</c:v>
                </c:pt>
                <c:pt idx="34">
                  <c:v>10911765.949539118</c:v>
                </c:pt>
                <c:pt idx="35">
                  <c:v>12752322.472407583</c:v>
                </c:pt>
                <c:pt idx="36">
                  <c:v>12850469.116515594</c:v>
                </c:pt>
                <c:pt idx="37">
                  <c:v>11150308.242819654</c:v>
                </c:pt>
                <c:pt idx="38">
                  <c:v>11883207.160964714</c:v>
                </c:pt>
                <c:pt idx="39">
                  <c:v>11009388.048545096</c:v>
                </c:pt>
                <c:pt idx="40">
                  <c:v>10379017.836667392</c:v>
                </c:pt>
                <c:pt idx="41">
                  <c:v>10628199.660407118</c:v>
                </c:pt>
                <c:pt idx="42">
                  <c:v>12318410.668352384</c:v>
                </c:pt>
                <c:pt idx="43">
                  <c:v>12290326.223397929</c:v>
                </c:pt>
                <c:pt idx="44">
                  <c:v>10778021.792757463</c:v>
                </c:pt>
                <c:pt idx="45">
                  <c:v>10727237.824252665</c:v>
                </c:pt>
                <c:pt idx="46">
                  <c:v>11266715.076148953</c:v>
                </c:pt>
                <c:pt idx="47">
                  <c:v>11970890.991510198</c:v>
                </c:pt>
                <c:pt idx="48">
                  <c:v>13033620.208669849</c:v>
                </c:pt>
                <c:pt idx="49">
                  <c:v>11488117.487728612</c:v>
                </c:pt>
                <c:pt idx="50">
                  <c:v>12102117.704378601</c:v>
                </c:pt>
                <c:pt idx="51">
                  <c:v>10521168.382182218</c:v>
                </c:pt>
                <c:pt idx="52">
                  <c:v>10054407.646543706</c:v>
                </c:pt>
                <c:pt idx="53">
                  <c:v>10470540.309111975</c:v>
                </c:pt>
                <c:pt idx="54">
                  <c:v>12389242.17477563</c:v>
                </c:pt>
                <c:pt idx="55">
                  <c:v>11510052.181962548</c:v>
                </c:pt>
                <c:pt idx="56">
                  <c:v>9919232.5759186819</c:v>
                </c:pt>
                <c:pt idx="57">
                  <c:v>10196241.714125512</c:v>
                </c:pt>
                <c:pt idx="58">
                  <c:v>11374801.674518488</c:v>
                </c:pt>
                <c:pt idx="59">
                  <c:v>12095352.7902842</c:v>
                </c:pt>
                <c:pt idx="60">
                  <c:v>12182231.749773856</c:v>
                </c:pt>
                <c:pt idx="61">
                  <c:v>11629137.790753724</c:v>
                </c:pt>
                <c:pt idx="62">
                  <c:v>10618493.684340306</c:v>
                </c:pt>
                <c:pt idx="63">
                  <c:v>9026214.6028345339</c:v>
                </c:pt>
                <c:pt idx="64">
                  <c:v>9100089.4338870123</c:v>
                </c:pt>
                <c:pt idx="65">
                  <c:v>10253163.719426192</c:v>
                </c:pt>
                <c:pt idx="66">
                  <c:v>12259930.4681466</c:v>
                </c:pt>
                <c:pt idx="67">
                  <c:v>11094598.236899301</c:v>
                </c:pt>
                <c:pt idx="68">
                  <c:v>9329293.4542804919</c:v>
                </c:pt>
                <c:pt idx="69">
                  <c:v>9631763.6217882577</c:v>
                </c:pt>
                <c:pt idx="70">
                  <c:v>9796688.7035229728</c:v>
                </c:pt>
                <c:pt idx="71">
                  <c:v>11235927.019126501</c:v>
                </c:pt>
                <c:pt idx="72">
                  <c:v>11621915.826921251</c:v>
                </c:pt>
                <c:pt idx="73">
                  <c:v>10860246.741978936</c:v>
                </c:pt>
                <c:pt idx="74">
                  <c:v>10776926.629946431</c:v>
                </c:pt>
                <c:pt idx="75">
                  <c:v>9628381.7554066777</c:v>
                </c:pt>
                <c:pt idx="76">
                  <c:v>9818947.6858561132</c:v>
                </c:pt>
                <c:pt idx="77">
                  <c:v>10496928.961345909</c:v>
                </c:pt>
                <c:pt idx="78">
                  <c:v>10898396.295016559</c:v>
                </c:pt>
                <c:pt idx="79">
                  <c:v>11824299.134615123</c:v>
                </c:pt>
                <c:pt idx="80">
                  <c:v>9516603.4042451009</c:v>
                </c:pt>
                <c:pt idx="81">
                  <c:v>9621727.6715486906</c:v>
                </c:pt>
                <c:pt idx="82">
                  <c:v>10289803.991233198</c:v>
                </c:pt>
                <c:pt idx="83">
                  <c:v>11010670.279076416</c:v>
                </c:pt>
                <c:pt idx="84">
                  <c:v>12998323.308342744</c:v>
                </c:pt>
                <c:pt idx="85">
                  <c:v>11213199.957781015</c:v>
                </c:pt>
                <c:pt idx="86">
                  <c:v>11473816.97155698</c:v>
                </c:pt>
                <c:pt idx="87">
                  <c:v>10188381.845034972</c:v>
                </c:pt>
                <c:pt idx="88">
                  <c:v>10171631.583072174</c:v>
                </c:pt>
                <c:pt idx="89">
                  <c:v>10191522.538654275</c:v>
                </c:pt>
                <c:pt idx="90">
                  <c:v>11707396.431821054</c:v>
                </c:pt>
                <c:pt idx="91">
                  <c:v>11788549.849513467</c:v>
                </c:pt>
                <c:pt idx="92">
                  <c:v>10078925.753828455</c:v>
                </c:pt>
                <c:pt idx="93">
                  <c:v>10067212.743659649</c:v>
                </c:pt>
                <c:pt idx="94">
                  <c:v>10598138.014485439</c:v>
                </c:pt>
                <c:pt idx="95">
                  <c:v>11760528.964117564</c:v>
                </c:pt>
                <c:pt idx="96">
                  <c:v>12250811.675315069</c:v>
                </c:pt>
                <c:pt idx="97">
                  <c:v>11310200.470479278</c:v>
                </c:pt>
                <c:pt idx="98">
                  <c:v>11959706.577695146</c:v>
                </c:pt>
                <c:pt idx="99">
                  <c:v>10511587.562990183</c:v>
                </c:pt>
                <c:pt idx="100">
                  <c:v>10411731.985305559</c:v>
                </c:pt>
                <c:pt idx="101">
                  <c:v>11066908.506047128</c:v>
                </c:pt>
                <c:pt idx="102">
                  <c:v>12302170.897719402</c:v>
                </c:pt>
                <c:pt idx="103">
                  <c:v>11583581.889555028</c:v>
                </c:pt>
                <c:pt idx="104">
                  <c:v>10623267.111066757</c:v>
                </c:pt>
                <c:pt idx="105">
                  <c:v>10793665.221283894</c:v>
                </c:pt>
                <c:pt idx="106">
                  <c:v>11367081.538675155</c:v>
                </c:pt>
                <c:pt idx="107">
                  <c:v>11857905.968011962</c:v>
                </c:pt>
                <c:pt idx="108">
                  <c:v>12585357.892603591</c:v>
                </c:pt>
                <c:pt idx="109">
                  <c:v>11557585.559129015</c:v>
                </c:pt>
                <c:pt idx="110">
                  <c:v>11632764.510735579</c:v>
                </c:pt>
                <c:pt idx="111">
                  <c:v>10557245.642061185</c:v>
                </c:pt>
                <c:pt idx="112">
                  <c:v>10497240.721574362</c:v>
                </c:pt>
                <c:pt idx="113">
                  <c:v>11128276.721413035</c:v>
                </c:pt>
                <c:pt idx="114">
                  <c:v>12536495.869174141</c:v>
                </c:pt>
                <c:pt idx="115">
                  <c:v>12040644.865362886</c:v>
                </c:pt>
                <c:pt idx="116">
                  <c:v>10730327.10873872</c:v>
                </c:pt>
                <c:pt idx="117">
                  <c:v>10604640.355297267</c:v>
                </c:pt>
                <c:pt idx="118">
                  <c:v>10996842.713074207</c:v>
                </c:pt>
                <c:pt idx="119">
                  <c:v>12177010.2683491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1760"/>
        <c:axId val="175303680"/>
      </c:lineChart>
      <c:dateAx>
        <c:axId val="1753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3680"/>
        <c:crosses val="autoZero"/>
        <c:auto val="1"/>
        <c:lblOffset val="100"/>
        <c:baseTimeUnit val="months"/>
      </c:dateAx>
      <c:valAx>
        <c:axId val="175303680"/>
        <c:scaling>
          <c:orientation val="minMax"/>
          <c:min val="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50-999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Predicted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Monthly'!$D$2:$D$141</c:f>
              <c:numCache>
                <c:formatCode>_(* #,##0_);_(* \(#,##0\);_(* "-"??_);_(@_)</c:formatCode>
                <c:ptCount val="14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 50-999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Monthly'!$Q$2:$Q$141</c:f>
              <c:numCache>
                <c:formatCode>_(* #,##0_);_(* \(#,##0\);_(* "-"??_);_(@_)</c:formatCode>
                <c:ptCount val="140"/>
                <c:pt idx="0">
                  <c:v>34328366.216482058</c:v>
                </c:pt>
                <c:pt idx="1">
                  <c:v>33333269.799786378</c:v>
                </c:pt>
                <c:pt idx="2">
                  <c:v>31437610.240180861</c:v>
                </c:pt>
                <c:pt idx="3">
                  <c:v>25520873.492581297</c:v>
                </c:pt>
                <c:pt idx="4">
                  <c:v>24910328.754629359</c:v>
                </c:pt>
                <c:pt idx="5">
                  <c:v>24299343.651222877</c:v>
                </c:pt>
                <c:pt idx="6">
                  <c:v>27719430.880909901</c:v>
                </c:pt>
                <c:pt idx="7">
                  <c:v>26710635.769273557</c:v>
                </c:pt>
                <c:pt idx="8">
                  <c:v>25404459.641933434</c:v>
                </c:pt>
                <c:pt idx="9">
                  <c:v>25451552.505409371</c:v>
                </c:pt>
                <c:pt idx="10">
                  <c:v>26127776.005708344</c:v>
                </c:pt>
                <c:pt idx="11">
                  <c:v>27957096.933991097</c:v>
                </c:pt>
                <c:pt idx="12">
                  <c:v>32297615.524503238</c:v>
                </c:pt>
                <c:pt idx="13">
                  <c:v>29512913.126501478</c:v>
                </c:pt>
                <c:pt idx="14">
                  <c:v>29394075.815182626</c:v>
                </c:pt>
                <c:pt idx="15">
                  <c:v>26756423.060553655</c:v>
                </c:pt>
                <c:pt idx="16">
                  <c:v>25660874.327634551</c:v>
                </c:pt>
                <c:pt idx="17">
                  <c:v>25675356.645183869</c:v>
                </c:pt>
                <c:pt idx="18">
                  <c:v>29052076.591058493</c:v>
                </c:pt>
                <c:pt idx="19">
                  <c:v>29463190.604191706</c:v>
                </c:pt>
                <c:pt idx="20">
                  <c:v>25134534.719302256</c:v>
                </c:pt>
                <c:pt idx="21">
                  <c:v>25608342.330385871</c:v>
                </c:pt>
                <c:pt idx="22">
                  <c:v>26218485.98436607</c:v>
                </c:pt>
                <c:pt idx="23">
                  <c:v>31243108.891764816</c:v>
                </c:pt>
                <c:pt idx="24">
                  <c:v>31386167.249742582</c:v>
                </c:pt>
                <c:pt idx="25">
                  <c:v>27536356.609664813</c:v>
                </c:pt>
                <c:pt idx="26">
                  <c:v>31015324.501223743</c:v>
                </c:pt>
                <c:pt idx="27">
                  <c:v>25068202.657348271</c:v>
                </c:pt>
                <c:pt idx="28">
                  <c:v>25198992.077578172</c:v>
                </c:pt>
                <c:pt idx="29">
                  <c:v>25157759.852594189</c:v>
                </c:pt>
                <c:pt idx="30">
                  <c:v>27674874.256215222</c:v>
                </c:pt>
                <c:pt idx="31">
                  <c:v>26751177.90300234</c:v>
                </c:pt>
                <c:pt idx="32">
                  <c:v>25277289.059591517</c:v>
                </c:pt>
                <c:pt idx="33">
                  <c:v>25223774.255065143</c:v>
                </c:pt>
                <c:pt idx="34">
                  <c:v>27541385.641314533</c:v>
                </c:pt>
                <c:pt idx="35">
                  <c:v>33585460.812724173</c:v>
                </c:pt>
                <c:pt idx="36">
                  <c:v>33898204.475486383</c:v>
                </c:pt>
                <c:pt idx="37">
                  <c:v>28533272.863675527</c:v>
                </c:pt>
                <c:pt idx="38">
                  <c:v>30589134.529177688</c:v>
                </c:pt>
                <c:pt idx="39">
                  <c:v>27814074.573170181</c:v>
                </c:pt>
                <c:pt idx="40">
                  <c:v>25730656.70390873</c:v>
                </c:pt>
                <c:pt idx="41">
                  <c:v>25694409.340905905</c:v>
                </c:pt>
                <c:pt idx="42">
                  <c:v>29504524.184407741</c:v>
                </c:pt>
                <c:pt idx="43">
                  <c:v>29399244.28585365</c:v>
                </c:pt>
                <c:pt idx="44">
                  <c:v>25993035.004745271</c:v>
                </c:pt>
                <c:pt idx="45">
                  <c:v>26716794.98732888</c:v>
                </c:pt>
                <c:pt idx="46">
                  <c:v>28837987.598875061</c:v>
                </c:pt>
                <c:pt idx="47">
                  <c:v>31048427.380959649</c:v>
                </c:pt>
                <c:pt idx="48">
                  <c:v>34577438.461810008</c:v>
                </c:pt>
                <c:pt idx="49">
                  <c:v>29815831.662409894</c:v>
                </c:pt>
                <c:pt idx="50">
                  <c:v>31535309.085950654</c:v>
                </c:pt>
                <c:pt idx="51">
                  <c:v>26439427.229543239</c:v>
                </c:pt>
                <c:pt idx="52">
                  <c:v>25030947.906422</c:v>
                </c:pt>
                <c:pt idx="53">
                  <c:v>25565291.859211098</c:v>
                </c:pt>
                <c:pt idx="54">
                  <c:v>29705064.156674005</c:v>
                </c:pt>
                <c:pt idx="55">
                  <c:v>27812128.395443056</c:v>
                </c:pt>
                <c:pt idx="56">
                  <c:v>24692398.732578073</c:v>
                </c:pt>
                <c:pt idx="57">
                  <c:v>25444657.915549371</c:v>
                </c:pt>
                <c:pt idx="58">
                  <c:v>29393201.361342415</c:v>
                </c:pt>
                <c:pt idx="59">
                  <c:v>31663454.489962302</c:v>
                </c:pt>
                <c:pt idx="60">
                  <c:v>31844647.045089744</c:v>
                </c:pt>
                <c:pt idx="61">
                  <c:v>30211069.429465391</c:v>
                </c:pt>
                <c:pt idx="62">
                  <c:v>27761949.231033348</c:v>
                </c:pt>
                <c:pt idx="63">
                  <c:v>23104171.471340016</c:v>
                </c:pt>
                <c:pt idx="64">
                  <c:v>23041128.900451161</c:v>
                </c:pt>
                <c:pt idx="65">
                  <c:v>24536208.718417797</c:v>
                </c:pt>
                <c:pt idx="66">
                  <c:v>29451357.184188265</c:v>
                </c:pt>
                <c:pt idx="67">
                  <c:v>26899862.486127745</c:v>
                </c:pt>
                <c:pt idx="68">
                  <c:v>23136146.484681845</c:v>
                </c:pt>
                <c:pt idx="69">
                  <c:v>24525792.032817613</c:v>
                </c:pt>
                <c:pt idx="70">
                  <c:v>24962131.678233385</c:v>
                </c:pt>
                <c:pt idx="71">
                  <c:v>29562065.347054869</c:v>
                </c:pt>
                <c:pt idx="72">
                  <c:v>30925565.211232107</c:v>
                </c:pt>
                <c:pt idx="73">
                  <c:v>28702376.649258882</c:v>
                </c:pt>
                <c:pt idx="74">
                  <c:v>28028486.897215493</c:v>
                </c:pt>
                <c:pt idx="75">
                  <c:v>24431023.510344543</c:v>
                </c:pt>
                <c:pt idx="76">
                  <c:v>24585565.208762284</c:v>
                </c:pt>
                <c:pt idx="77">
                  <c:v>25470818.126612261</c:v>
                </c:pt>
                <c:pt idx="78">
                  <c:v>26545158.383049473</c:v>
                </c:pt>
                <c:pt idx="79">
                  <c:v>28541805.438486394</c:v>
                </c:pt>
                <c:pt idx="80">
                  <c:v>23538218.79930874</c:v>
                </c:pt>
                <c:pt idx="81">
                  <c:v>24321786.520317305</c:v>
                </c:pt>
                <c:pt idx="82">
                  <c:v>26651680.152469769</c:v>
                </c:pt>
                <c:pt idx="83">
                  <c:v>28958571.788909547</c:v>
                </c:pt>
                <c:pt idx="84">
                  <c:v>34998750.803052835</c:v>
                </c:pt>
                <c:pt idx="85">
                  <c:v>29370189.045003392</c:v>
                </c:pt>
                <c:pt idx="86">
                  <c:v>29928911.361189991</c:v>
                </c:pt>
                <c:pt idx="87">
                  <c:v>25859134.002910465</c:v>
                </c:pt>
                <c:pt idx="88">
                  <c:v>25226518.159020104</c:v>
                </c:pt>
                <c:pt idx="89">
                  <c:v>25193865.778015062</c:v>
                </c:pt>
                <c:pt idx="90">
                  <c:v>28228779.668463774</c:v>
                </c:pt>
                <c:pt idx="91">
                  <c:v>28414124.289521124</c:v>
                </c:pt>
                <c:pt idx="92">
                  <c:v>24670361.782474302</c:v>
                </c:pt>
                <c:pt idx="93">
                  <c:v>25325120.169208877</c:v>
                </c:pt>
                <c:pt idx="94">
                  <c:v>27023218.041984633</c:v>
                </c:pt>
                <c:pt idx="95">
                  <c:v>30705951.775316387</c:v>
                </c:pt>
                <c:pt idx="96">
                  <c:v>31820275.507414386</c:v>
                </c:pt>
                <c:pt idx="97">
                  <c:v>29044772.760641649</c:v>
                </c:pt>
                <c:pt idx="98">
                  <c:v>30862584.830624714</c:v>
                </c:pt>
                <c:pt idx="99">
                  <c:v>26293919.835694067</c:v>
                </c:pt>
                <c:pt idx="100">
                  <c:v>25834698.340015166</c:v>
                </c:pt>
                <c:pt idx="101">
                  <c:v>26436757.455817714</c:v>
                </c:pt>
                <c:pt idx="102">
                  <c:v>29089348.515863977</c:v>
                </c:pt>
                <c:pt idx="103">
                  <c:v>27606149.352303177</c:v>
                </c:pt>
                <c:pt idx="104">
                  <c:v>25714522.926926106</c:v>
                </c:pt>
                <c:pt idx="105">
                  <c:v>26268533.756787639</c:v>
                </c:pt>
                <c:pt idx="106">
                  <c:v>28370438.983458329</c:v>
                </c:pt>
                <c:pt idx="107">
                  <c:v>29816972.209549032</c:v>
                </c:pt>
                <c:pt idx="108">
                  <c:v>32510735.800263386</c:v>
                </c:pt>
                <c:pt idx="109">
                  <c:v>29331340.552042548</c:v>
                </c:pt>
                <c:pt idx="110">
                  <c:v>29316778.332192428</c:v>
                </c:pt>
                <c:pt idx="111">
                  <c:v>25921561.161851782</c:v>
                </c:pt>
                <c:pt idx="112">
                  <c:v>25773181.295197867</c:v>
                </c:pt>
                <c:pt idx="113">
                  <c:v>26661405.217965912</c:v>
                </c:pt>
                <c:pt idx="114">
                  <c:v>29657508.657434188</c:v>
                </c:pt>
                <c:pt idx="115">
                  <c:v>28655150.702846173</c:v>
                </c:pt>
                <c:pt idx="116">
                  <c:v>25692604.288010355</c:v>
                </c:pt>
                <c:pt idx="117">
                  <c:v>26171511.578847393</c:v>
                </c:pt>
                <c:pt idx="118">
                  <c:v>27206452.611162972</c:v>
                </c:pt>
                <c:pt idx="119">
                  <c:v>31871303.400632042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Predicted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Monthly'!$D$2:$D$141</c:f>
              <c:numCache>
                <c:formatCode>_(* #,##0_);_(* \(#,##0\);_(* "-"??_);_(@_)</c:formatCode>
                <c:ptCount val="14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B-46C2-A9A1-5EC968DB1113}"/>
            </c:ext>
          </c:extLst>
        </c:ser>
        <c:ser>
          <c:idx val="1"/>
          <c:order val="1"/>
          <c:tx>
            <c:strRef>
              <c:f>'GS 1k-4,999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Monthly'!$O$2:$O$141</c:f>
              <c:numCache>
                <c:formatCode>_(* #,##0_);_(* \(#,##0\);_(* "-"??_);_(@_)</c:formatCode>
                <c:ptCount val="140"/>
                <c:pt idx="0">
                  <c:v>7097470.1634580093</c:v>
                </c:pt>
                <c:pt idx="1">
                  <c:v>6739224.5498548131</c:v>
                </c:pt>
                <c:pt idx="2">
                  <c:v>7059113.111528106</c:v>
                </c:pt>
                <c:pt idx="3">
                  <c:v>6914126.5390404407</c:v>
                </c:pt>
                <c:pt idx="4">
                  <c:v>7293749.1071042623</c:v>
                </c:pt>
                <c:pt idx="5">
                  <c:v>7285589.5987165365</c:v>
                </c:pt>
                <c:pt idx="6">
                  <c:v>8204663.1573647978</c:v>
                </c:pt>
                <c:pt idx="7">
                  <c:v>7841347.6107043633</c:v>
                </c:pt>
                <c:pt idx="8">
                  <c:v>7545780.5406234087</c:v>
                </c:pt>
                <c:pt idx="9">
                  <c:v>6944209.8522043638</c:v>
                </c:pt>
                <c:pt idx="10">
                  <c:v>6881249.0659576673</c:v>
                </c:pt>
                <c:pt idx="11">
                  <c:v>7070072.2692223638</c:v>
                </c:pt>
                <c:pt idx="12">
                  <c:v>7122676.2261548024</c:v>
                </c:pt>
                <c:pt idx="13">
                  <c:v>6911609.0165781248</c:v>
                </c:pt>
                <c:pt idx="14">
                  <c:v>7147882.2888515946</c:v>
                </c:pt>
                <c:pt idx="15">
                  <c:v>7027005.8632912952</c:v>
                </c:pt>
                <c:pt idx="16">
                  <c:v>7509433.2222132543</c:v>
                </c:pt>
                <c:pt idx="17">
                  <c:v>7884683.0217352258</c:v>
                </c:pt>
                <c:pt idx="18">
                  <c:v>8838687.0194746107</c:v>
                </c:pt>
                <c:pt idx="19">
                  <c:v>9001576.7257205565</c:v>
                </c:pt>
                <c:pt idx="20">
                  <c:v>7750520.4056248339</c:v>
                </c:pt>
                <c:pt idx="21">
                  <c:v>7298181.3129659947</c:v>
                </c:pt>
                <c:pt idx="22">
                  <c:v>7128926.0298478929</c:v>
                </c:pt>
                <c:pt idx="23">
                  <c:v>7248706.539638767</c:v>
                </c:pt>
                <c:pt idx="24">
                  <c:v>7246514.7080999147</c:v>
                </c:pt>
                <c:pt idx="25">
                  <c:v>6844432.4637196884</c:v>
                </c:pt>
                <c:pt idx="26">
                  <c:v>7111717.0684605446</c:v>
                </c:pt>
                <c:pt idx="27">
                  <c:v>6984403.2917305641</c:v>
                </c:pt>
                <c:pt idx="28">
                  <c:v>7225257.3569266815</c:v>
                </c:pt>
                <c:pt idx="29">
                  <c:v>7652587.8500358919</c:v>
                </c:pt>
                <c:pt idx="30">
                  <c:v>8370041.3479752885</c:v>
                </c:pt>
                <c:pt idx="31">
                  <c:v>8032721.1234446485</c:v>
                </c:pt>
                <c:pt idx="32">
                  <c:v>7706605.292720682</c:v>
                </c:pt>
                <c:pt idx="33">
                  <c:v>7276990.0675409054</c:v>
                </c:pt>
                <c:pt idx="34">
                  <c:v>7062075.1679129209</c:v>
                </c:pt>
                <c:pt idx="35">
                  <c:v>7164321.0253929812</c:v>
                </c:pt>
                <c:pt idx="36">
                  <c:v>7152265.9519292982</c:v>
                </c:pt>
                <c:pt idx="37">
                  <c:v>6818130.48525347</c:v>
                </c:pt>
                <c:pt idx="38">
                  <c:v>7190623.0038592005</c:v>
                </c:pt>
                <c:pt idx="39">
                  <c:v>7122350.5352313388</c:v>
                </c:pt>
                <c:pt idx="40">
                  <c:v>7723966.3157895189</c:v>
                </c:pt>
                <c:pt idx="41">
                  <c:v>7954007.0447134571</c:v>
                </c:pt>
                <c:pt idx="42">
                  <c:v>9031729.8975470159</c:v>
                </c:pt>
                <c:pt idx="43">
                  <c:v>8977089.2232652474</c:v>
                </c:pt>
                <c:pt idx="44">
                  <c:v>7991046.3574077059</c:v>
                </c:pt>
                <c:pt idx="45">
                  <c:v>7315565.0339304805</c:v>
                </c:pt>
                <c:pt idx="46">
                  <c:v>7131117.8613867443</c:v>
                </c:pt>
                <c:pt idx="47">
                  <c:v>7233363.7188668065</c:v>
                </c:pt>
                <c:pt idx="48">
                  <c:v>7264049.3604107276</c:v>
                </c:pt>
                <c:pt idx="49">
                  <c:v>6946352.630276286</c:v>
                </c:pt>
                <c:pt idx="50">
                  <c:v>7313365.5700348876</c:v>
                </c:pt>
                <c:pt idx="51">
                  <c:v>7190297.312935736</c:v>
                </c:pt>
                <c:pt idx="52">
                  <c:v>7309641.2717236392</c:v>
                </c:pt>
                <c:pt idx="53">
                  <c:v>7806544.7872065613</c:v>
                </c:pt>
                <c:pt idx="54">
                  <c:v>9028553.4346240386</c:v>
                </c:pt>
                <c:pt idx="55">
                  <c:v>8376609.2102351021</c:v>
                </c:pt>
                <c:pt idx="56">
                  <c:v>7363615.2112729857</c:v>
                </c:pt>
                <c:pt idx="57">
                  <c:v>7192906.9827898266</c:v>
                </c:pt>
                <c:pt idx="58">
                  <c:v>7032485.4421384241</c:v>
                </c:pt>
                <c:pt idx="59">
                  <c:v>7159937.3623152785</c:v>
                </c:pt>
                <c:pt idx="60">
                  <c:v>7165416.9411624074</c:v>
                </c:pt>
                <c:pt idx="61">
                  <c:v>6967500.72081884</c:v>
                </c:pt>
                <c:pt idx="62">
                  <c:v>6482371.2548311893</c:v>
                </c:pt>
                <c:pt idx="63">
                  <c:v>5613790.1125435503</c:v>
                </c:pt>
                <c:pt idx="64">
                  <c:v>5913764.4415742364</c:v>
                </c:pt>
                <c:pt idx="65">
                  <c:v>7205546.4071774781</c:v>
                </c:pt>
                <c:pt idx="66">
                  <c:v>8549184.7270476297</c:v>
                </c:pt>
                <c:pt idx="67">
                  <c:v>7805343.4892234839</c:v>
                </c:pt>
                <c:pt idx="68">
                  <c:v>6713104.6053826474</c:v>
                </c:pt>
                <c:pt idx="69">
                  <c:v>6539214.6984865423</c:v>
                </c:pt>
                <c:pt idx="70">
                  <c:v>6433825.2700529909</c:v>
                </c:pt>
                <c:pt idx="71">
                  <c:v>6540454.7906107549</c:v>
                </c:pt>
                <c:pt idx="72">
                  <c:v>6471412.0971369315</c:v>
                </c:pt>
                <c:pt idx="73">
                  <c:v>6110974.651994884</c:v>
                </c:pt>
                <c:pt idx="74">
                  <c:v>6440726.4555930095</c:v>
                </c:pt>
                <c:pt idx="75">
                  <c:v>6345858.9117671186</c:v>
                </c:pt>
                <c:pt idx="76">
                  <c:v>6754213.3372705486</c:v>
                </c:pt>
                <c:pt idx="77">
                  <c:v>7437364.7822480761</c:v>
                </c:pt>
                <c:pt idx="78">
                  <c:v>7629938.8922697045</c:v>
                </c:pt>
                <c:pt idx="79">
                  <c:v>8309002.8683128059</c:v>
                </c:pt>
                <c:pt idx="80">
                  <c:v>6860457.1412265599</c:v>
                </c:pt>
                <c:pt idx="81">
                  <c:v>6742938.3410558328</c:v>
                </c:pt>
                <c:pt idx="82">
                  <c:v>6525882.1946847569</c:v>
                </c:pt>
                <c:pt idx="83">
                  <c:v>6648950.4517839076</c:v>
                </c:pt>
                <c:pt idx="84">
                  <c:v>6967459.0637915758</c:v>
                </c:pt>
                <c:pt idx="85">
                  <c:v>6627844.0182686187</c:v>
                </c:pt>
                <c:pt idx="86">
                  <c:v>6982801.8845635364</c:v>
                </c:pt>
                <c:pt idx="87">
                  <c:v>6920008.9947828036</c:v>
                </c:pt>
                <c:pt idx="88">
                  <c:v>7427619.4183740048</c:v>
                </c:pt>
                <c:pt idx="89">
                  <c:v>7548170.8340108814</c:v>
                </c:pt>
                <c:pt idx="90">
                  <c:v>8477986.8461238034</c:v>
                </c:pt>
                <c:pt idx="91">
                  <c:v>8518992.6115139499</c:v>
                </c:pt>
                <c:pt idx="92">
                  <c:v>7408368.3622323368</c:v>
                </c:pt>
                <c:pt idx="93">
                  <c:v>7021158.9364934387</c:v>
                </c:pt>
                <c:pt idx="94">
                  <c:v>6904666.1740108421</c:v>
                </c:pt>
                <c:pt idx="95">
                  <c:v>7036501.7572653992</c:v>
                </c:pt>
                <c:pt idx="96">
                  <c:v>7393367.4212029697</c:v>
                </c:pt>
                <c:pt idx="97">
                  <c:v>7060327.8702965677</c:v>
                </c:pt>
                <c:pt idx="98">
                  <c:v>7369257.2742756028</c:v>
                </c:pt>
                <c:pt idx="99">
                  <c:v>7241077.7173332712</c:v>
                </c:pt>
                <c:pt idx="100">
                  <c:v>7470700.67044314</c:v>
                </c:pt>
                <c:pt idx="101">
                  <c:v>7989504.2473092629</c:v>
                </c:pt>
                <c:pt idx="102">
                  <c:v>8750168.3436401449</c:v>
                </c:pt>
                <c:pt idx="103">
                  <c:v>8276115.829122412</c:v>
                </c:pt>
                <c:pt idx="104">
                  <c:v>7745471.0343096135</c:v>
                </c:pt>
                <c:pt idx="105">
                  <c:v>7504748.5194838503</c:v>
                </c:pt>
                <c:pt idx="106">
                  <c:v>7236325.7752516195</c:v>
                </c:pt>
                <c:pt idx="107">
                  <c:v>7364873.6111979</c:v>
                </c:pt>
                <c:pt idx="108">
                  <c:v>7386791.9265864156</c:v>
                </c:pt>
                <c:pt idx="109">
                  <c:v>7172436.9697014606</c:v>
                </c:pt>
                <c:pt idx="110">
                  <c:v>7415285.7365914853</c:v>
                </c:pt>
                <c:pt idx="111">
                  <c:v>7326190.8683445333</c:v>
                </c:pt>
                <c:pt idx="112">
                  <c:v>7679928.0234912122</c:v>
                </c:pt>
                <c:pt idx="113">
                  <c:v>8142873.6710743187</c:v>
                </c:pt>
                <c:pt idx="114">
                  <c:v>8978695.2728609554</c:v>
                </c:pt>
                <c:pt idx="115">
                  <c:v>8608238.3030949626</c:v>
                </c:pt>
                <c:pt idx="116">
                  <c:v>7814201.088160635</c:v>
                </c:pt>
                <c:pt idx="117">
                  <c:v>7418390.7885650415</c:v>
                </c:pt>
                <c:pt idx="118">
                  <c:v>7291410.6385161094</c:v>
                </c:pt>
                <c:pt idx="119">
                  <c:v>7372545.0215838794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B-46C2-A9A1-5EC968DB1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Predicted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Monthly'!$D$2:$D$141</c:f>
              <c:numCache>
                <c:formatCode>_(* #,##0_);_(* \(#,##0\);_(* "-"??_);_(@_)</c:formatCode>
                <c:ptCount val="14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5-425E-851F-1A14672487B7}"/>
            </c:ext>
          </c:extLst>
        </c:ser>
        <c:ser>
          <c:idx val="1"/>
          <c:order val="1"/>
          <c:tx>
            <c:strRef>
              <c:f>'Large Use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Monthly'!$U$2:$U$141</c:f>
              <c:numCache>
                <c:formatCode>_(* #,##0_);_(* \(#,##0\);_(* "-"??_);_(@_)</c:formatCode>
                <c:ptCount val="140"/>
                <c:pt idx="0">
                  <c:v>3421403.9449253143</c:v>
                </c:pt>
                <c:pt idx="1">
                  <c:v>3248697.7441787142</c:v>
                </c:pt>
                <c:pt idx="2">
                  <c:v>3526634.7749318019</c:v>
                </c:pt>
                <c:pt idx="3">
                  <c:v>3359324.5194778466</c:v>
                </c:pt>
                <c:pt idx="4">
                  <c:v>3509894.5781808426</c:v>
                </c:pt>
                <c:pt idx="5">
                  <c:v>3318911.4892896614</c:v>
                </c:pt>
                <c:pt idx="6">
                  <c:v>3587523.1956388163</c:v>
                </c:pt>
                <c:pt idx="7">
                  <c:v>3516800.2855888512</c:v>
                </c:pt>
                <c:pt idx="8">
                  <c:v>3561316.6124937139</c:v>
                </c:pt>
                <c:pt idx="9">
                  <c:v>3408662.3106146306</c:v>
                </c:pt>
                <c:pt idx="10">
                  <c:v>3355557.463225598</c:v>
                </c:pt>
                <c:pt idx="11">
                  <c:v>3259417.4049494467</c:v>
                </c:pt>
                <c:pt idx="12">
                  <c:v>3347888.0423639668</c:v>
                </c:pt>
                <c:pt idx="13">
                  <c:v>3183337.0912007289</c:v>
                </c:pt>
                <c:pt idx="14">
                  <c:v>3453897.421902271</c:v>
                </c:pt>
                <c:pt idx="15">
                  <c:v>3332425.802043377</c:v>
                </c:pt>
                <c:pt idx="16">
                  <c:v>3467226.1505296077</c:v>
                </c:pt>
                <c:pt idx="17">
                  <c:v>3360845.7157604476</c:v>
                </c:pt>
                <c:pt idx="18">
                  <c:v>3633856.0059467875</c:v>
                </c:pt>
                <c:pt idx="19">
                  <c:v>3657653.0794455353</c:v>
                </c:pt>
                <c:pt idx="20">
                  <c:v>3499467.651542427</c:v>
                </c:pt>
                <c:pt idx="21">
                  <c:v>3392251.1908113477</c:v>
                </c:pt>
                <c:pt idx="22">
                  <c:v>3297682.4590766719</c:v>
                </c:pt>
                <c:pt idx="23">
                  <c:v>3277483.2381059607</c:v>
                </c:pt>
                <c:pt idx="24">
                  <c:v>3302398.3359891935</c:v>
                </c:pt>
                <c:pt idx="25">
                  <c:v>3065047.1228120634</c:v>
                </c:pt>
                <c:pt idx="26">
                  <c:v>3465593.4150845357</c:v>
                </c:pt>
                <c:pt idx="27">
                  <c:v>3290156.2480065534</c:v>
                </c:pt>
                <c:pt idx="28">
                  <c:v>3388155.092207964</c:v>
                </c:pt>
                <c:pt idx="29">
                  <c:v>3286164.2470841235</c:v>
                </c:pt>
                <c:pt idx="30">
                  <c:v>3491701.1160817323</c:v>
                </c:pt>
                <c:pt idx="31">
                  <c:v>3411692.9565085308</c:v>
                </c:pt>
                <c:pt idx="32">
                  <c:v>3438655.2733666217</c:v>
                </c:pt>
                <c:pt idx="33">
                  <c:v>3373386.5151102035</c:v>
                </c:pt>
                <c:pt idx="34">
                  <c:v>3303173.7580437767</c:v>
                </c:pt>
                <c:pt idx="35">
                  <c:v>3308068.2500303765</c:v>
                </c:pt>
                <c:pt idx="36">
                  <c:v>3314425.5251366785</c:v>
                </c:pt>
                <c:pt idx="37">
                  <c:v>3041917.4327078369</c:v>
                </c:pt>
                <c:pt idx="38">
                  <c:v>3410102.5565078021</c:v>
                </c:pt>
                <c:pt idx="39">
                  <c:v>3291074.5095400359</c:v>
                </c:pt>
                <c:pt idx="40">
                  <c:v>3438434.1216207854</c:v>
                </c:pt>
                <c:pt idx="41">
                  <c:v>3298111.2166355941</c:v>
                </c:pt>
                <c:pt idx="42">
                  <c:v>3580541.3899043538</c:v>
                </c:pt>
                <c:pt idx="43">
                  <c:v>3570153.2041634284</c:v>
                </c:pt>
                <c:pt idx="44">
                  <c:v>3462820.9406238515</c:v>
                </c:pt>
                <c:pt idx="45">
                  <c:v>3329125.4791782233</c:v>
                </c:pt>
                <c:pt idx="46">
                  <c:v>3290538.5492967097</c:v>
                </c:pt>
                <c:pt idx="47">
                  <c:v>3208987.3583138576</c:v>
                </c:pt>
                <c:pt idx="48">
                  <c:v>3277276.2375210873</c:v>
                </c:pt>
                <c:pt idx="49">
                  <c:v>3018547.3735731584</c:v>
                </c:pt>
                <c:pt idx="50">
                  <c:v>3379049.877278578</c:v>
                </c:pt>
                <c:pt idx="51">
                  <c:v>3225377.5137411687</c:v>
                </c:pt>
                <c:pt idx="52">
                  <c:v>3281495.3068650863</c:v>
                </c:pt>
                <c:pt idx="53">
                  <c:v>3223392.6418909789</c:v>
                </c:pt>
                <c:pt idx="54">
                  <c:v>3539957.4625917203</c:v>
                </c:pt>
                <c:pt idx="55">
                  <c:v>3411623.5175554869</c:v>
                </c:pt>
                <c:pt idx="56">
                  <c:v>3310808.577519706</c:v>
                </c:pt>
                <c:pt idx="57">
                  <c:v>3250924.8341676462</c:v>
                </c:pt>
                <c:pt idx="58">
                  <c:v>3256140.0782279023</c:v>
                </c:pt>
                <c:pt idx="59">
                  <c:v>3177077.0182888662</c:v>
                </c:pt>
                <c:pt idx="60">
                  <c:v>3154243.6861876263</c:v>
                </c:pt>
                <c:pt idx="61">
                  <c:v>3015983.0699486895</c:v>
                </c:pt>
                <c:pt idx="62">
                  <c:v>2921772.5534038632</c:v>
                </c:pt>
                <c:pt idx="63">
                  <c:v>2296585.4943717802</c:v>
                </c:pt>
                <c:pt idx="64">
                  <c:v>2433872.9784716032</c:v>
                </c:pt>
                <c:pt idx="65">
                  <c:v>2720591.5006896649</c:v>
                </c:pt>
                <c:pt idx="66">
                  <c:v>3390552.9547000276</c:v>
                </c:pt>
                <c:pt idx="67">
                  <c:v>3221757.8908619937</c:v>
                </c:pt>
                <c:pt idx="68">
                  <c:v>3071244.0026100981</c:v>
                </c:pt>
                <c:pt idx="69">
                  <c:v>2915331.6357488316</c:v>
                </c:pt>
                <c:pt idx="70">
                  <c:v>2857720.3353268276</c:v>
                </c:pt>
                <c:pt idx="71">
                  <c:v>2822092.7338181385</c:v>
                </c:pt>
                <c:pt idx="72">
                  <c:v>2835819.8308511046</c:v>
                </c:pt>
                <c:pt idx="73">
                  <c:v>2635065.4512176188</c:v>
                </c:pt>
                <c:pt idx="74">
                  <c:v>2945685.2755976575</c:v>
                </c:pt>
                <c:pt idx="75">
                  <c:v>2784650.9418936335</c:v>
                </c:pt>
                <c:pt idx="76">
                  <c:v>2920810.2272289335</c:v>
                </c:pt>
                <c:pt idx="77">
                  <c:v>2897953.2151783765</c:v>
                </c:pt>
                <c:pt idx="78">
                  <c:v>3033864.6643620236</c:v>
                </c:pt>
                <c:pt idx="79">
                  <c:v>3163006.3417618107</c:v>
                </c:pt>
                <c:pt idx="80">
                  <c:v>2958936.5509207873</c:v>
                </c:pt>
                <c:pt idx="81">
                  <c:v>2941151.4858210529</c:v>
                </c:pt>
                <c:pt idx="82">
                  <c:v>2846283.6017290768</c:v>
                </c:pt>
                <c:pt idx="83">
                  <c:v>2768148.3932725964</c:v>
                </c:pt>
                <c:pt idx="84">
                  <c:v>3031735.6142687993</c:v>
                </c:pt>
                <c:pt idx="85">
                  <c:v>2753206.5196455298</c:v>
                </c:pt>
                <c:pt idx="86">
                  <c:v>3087743.451387478</c:v>
                </c:pt>
                <c:pt idx="87">
                  <c:v>2947723.6882663937</c:v>
                </c:pt>
                <c:pt idx="88">
                  <c:v>3114279.8935547201</c:v>
                </c:pt>
                <c:pt idx="89">
                  <c:v>2951876.6019680416</c:v>
                </c:pt>
                <c:pt idx="90">
                  <c:v>3190548.0199836828</c:v>
                </c:pt>
                <c:pt idx="91">
                  <c:v>3199250.4521401804</c:v>
                </c:pt>
                <c:pt idx="92">
                  <c:v>3061165.7428635443</c:v>
                </c:pt>
                <c:pt idx="93">
                  <c:v>2967934.2175356434</c:v>
                </c:pt>
                <c:pt idx="94">
                  <c:v>2942248.7963119629</c:v>
                </c:pt>
                <c:pt idx="95">
                  <c:v>2884431.818158004</c:v>
                </c:pt>
                <c:pt idx="96">
                  <c:v>3081562.8825967833</c:v>
                </c:pt>
                <c:pt idx="97">
                  <c:v>2868228.6636181469</c:v>
                </c:pt>
                <c:pt idx="98">
                  <c:v>3230942.6484377873</c:v>
                </c:pt>
                <c:pt idx="99">
                  <c:v>3095734.5391285634</c:v>
                </c:pt>
                <c:pt idx="100">
                  <c:v>3188150.4176955968</c:v>
                </c:pt>
                <c:pt idx="101">
                  <c:v>3130364.6607962656</c:v>
                </c:pt>
                <c:pt idx="102">
                  <c:v>3333136.1162259849</c:v>
                </c:pt>
                <c:pt idx="103">
                  <c:v>3225640.8726892774</c:v>
                </c:pt>
                <c:pt idx="104">
                  <c:v>3220652.5838401509</c:v>
                </c:pt>
                <c:pt idx="105">
                  <c:v>3168164.5342594786</c:v>
                </c:pt>
                <c:pt idx="106">
                  <c:v>3087392.4304197989</c:v>
                </c:pt>
                <c:pt idx="107">
                  <c:v>2988631.6414806596</c:v>
                </c:pt>
                <c:pt idx="108">
                  <c:v>3052401.6542707565</c:v>
                </c:pt>
                <c:pt idx="109">
                  <c:v>2878836.383041318</c:v>
                </c:pt>
                <c:pt idx="110">
                  <c:v>3152596.1556102452</c:v>
                </c:pt>
                <c:pt idx="111">
                  <c:v>3028387.6912447065</c:v>
                </c:pt>
                <c:pt idx="112">
                  <c:v>3188108.4847417334</c:v>
                </c:pt>
                <c:pt idx="113">
                  <c:v>3093107.9917921098</c:v>
                </c:pt>
                <c:pt idx="114">
                  <c:v>3326616.0860161241</c:v>
                </c:pt>
                <c:pt idx="115">
                  <c:v>3251059.6822949466</c:v>
                </c:pt>
                <c:pt idx="116">
                  <c:v>3198173.7557080761</c:v>
                </c:pt>
                <c:pt idx="117">
                  <c:v>3097010.6012786678</c:v>
                </c:pt>
                <c:pt idx="118">
                  <c:v>3042961.6630050461</c:v>
                </c:pt>
                <c:pt idx="119">
                  <c:v>3003636.6304486436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5-425E-851F-1A146724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481012059.99999994</c:v>
                </c:pt>
                <c:pt idx="1">
                  <c:v>485657328.5</c:v>
                </c:pt>
                <c:pt idx="2">
                  <c:v>485732542.58580047</c:v>
                </c:pt>
                <c:pt idx="3">
                  <c:v>511063536.77024138</c:v>
                </c:pt>
                <c:pt idx="4">
                  <c:v>511763347</c:v>
                </c:pt>
                <c:pt idx="5">
                  <c:v>545038339</c:v>
                </c:pt>
                <c:pt idx="6">
                  <c:v>542034540.00392497</c:v>
                </c:pt>
                <c:pt idx="7">
                  <c:v>537135118.95118809</c:v>
                </c:pt>
                <c:pt idx="8">
                  <c:v>544689832.09207857</c:v>
                </c:pt>
                <c:pt idx="9">
                  <c:v>552752799.03415525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476971510.45629728</c:v>
                </c:pt>
                <c:pt idx="1">
                  <c:v>488740991.80774629</c:v>
                </c:pt>
                <c:pt idx="2">
                  <c:v>484767125.02619839</c:v>
                </c:pt>
                <c:pt idx="3">
                  <c:v>515982014.74413961</c:v>
                </c:pt>
                <c:pt idx="4">
                  <c:v>513701799.2237404</c:v>
                </c:pt>
                <c:pt idx="5">
                  <c:v>534472359.00402033</c:v>
                </c:pt>
                <c:pt idx="6">
                  <c:v>542141561.80760407</c:v>
                </c:pt>
                <c:pt idx="7">
                  <c:v>548798184.41880012</c:v>
                </c:pt>
                <c:pt idx="8">
                  <c:v>540574114.32524109</c:v>
                </c:pt>
                <c:pt idx="9">
                  <c:v>550733619.26904333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6256"/>
        <c:axId val="176354432"/>
      </c:lineChart>
      <c:catAx>
        <c:axId val="176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4432"/>
        <c:crosses val="autoZero"/>
        <c:auto val="1"/>
        <c:lblAlgn val="ctr"/>
        <c:lblOffset val="100"/>
        <c:noMultiLvlLbl val="0"/>
      </c:catAx>
      <c:valAx>
        <c:axId val="176354432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134898301.62</c:v>
                </c:pt>
                <c:pt idx="1">
                  <c:v>134192420.16500002</c:v>
                </c:pt>
                <c:pt idx="2">
                  <c:v>133352086.91229646</c:v>
                </c:pt>
                <c:pt idx="3">
                  <c:v>140606315.23148555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126114372.96049847</c:v>
                </c:pt>
                <c:pt idx="7">
                  <c:v>134204364.632713</c:v>
                </c:pt>
                <c:pt idx="8">
                  <c:v>135637444.65327078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Summary'!$J$4:$J$13</c:f>
              <c:numCache>
                <c:formatCode>#,##0</c:formatCode>
                <c:ptCount val="10"/>
                <c:pt idx="0">
                  <c:v>131328002.65475251</c:v>
                </c:pt>
                <c:pt idx="1">
                  <c:v>135065967.91239589</c:v>
                </c:pt>
                <c:pt idx="2">
                  <c:v>132272227.93232748</c:v>
                </c:pt>
                <c:pt idx="3">
                  <c:v>137252192.64233917</c:v>
                </c:pt>
                <c:pt idx="4">
                  <c:v>135154894.8502</c:v>
                </c:pt>
                <c:pt idx="5">
                  <c:v>126157532.48477975</c:v>
                </c:pt>
                <c:pt idx="6">
                  <c:v>126364848.3771904</c:v>
                </c:pt>
                <c:pt idx="7">
                  <c:v>132237627.96186778</c:v>
                </c:pt>
                <c:pt idx="8">
                  <c:v>136038619.40414456</c:v>
                </c:pt>
                <c:pt idx="9">
                  <c:v>137044432.22751307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616"/>
        <c:axId val="176009600"/>
      </c:lineChart>
      <c:catAx>
        <c:axId val="1759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09600"/>
        <c:crosses val="autoZero"/>
        <c:auto val="1"/>
        <c:lblAlgn val="ctr"/>
        <c:lblOffset val="100"/>
        <c:noMultiLvlLbl val="0"/>
      </c:catAx>
      <c:valAx>
        <c:axId val="17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99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Summary'!$O$4:$O$13</c:f>
              <c:numCache>
                <c:formatCode>#,##0</c:formatCode>
                <c:ptCount val="10"/>
                <c:pt idx="0">
                  <c:v>331966598.85181773</c:v>
                </c:pt>
                <c:pt idx="1">
                  <c:v>338382860.51643836</c:v>
                </c:pt>
                <c:pt idx="2">
                  <c:v>348869191.4106676</c:v>
                </c:pt>
                <c:pt idx="3">
                  <c:v>331859176.49686801</c:v>
                </c:pt>
                <c:pt idx="4">
                  <c:v>336690488.22027057</c:v>
                </c:pt>
                <c:pt idx="5">
                  <c:v>312300869.96593964</c:v>
                </c:pt>
                <c:pt idx="6">
                  <c:v>319106182.31291127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Summary'!$P$4:$P$13</c:f>
              <c:numCache>
                <c:formatCode>#,##0</c:formatCode>
                <c:ptCount val="10"/>
                <c:pt idx="0">
                  <c:v>333200743.8921085</c:v>
                </c:pt>
                <c:pt idx="1">
                  <c:v>336016997.62062865</c:v>
                </c:pt>
                <c:pt idx="2">
                  <c:v>331416764.87606466</c:v>
                </c:pt>
                <c:pt idx="3">
                  <c:v>343759765.92849463</c:v>
                </c:pt>
                <c:pt idx="4">
                  <c:v>341675151.25689608</c:v>
                </c:pt>
                <c:pt idx="5">
                  <c:v>319036530.00890112</c:v>
                </c:pt>
                <c:pt idx="6">
                  <c:v>320701056.68596685</c:v>
                </c:pt>
                <c:pt idx="7">
                  <c:v>334944924.87616098</c:v>
                </c:pt>
                <c:pt idx="8">
                  <c:v>337158974.47509593</c:v>
                </c:pt>
                <c:pt idx="9">
                  <c:v>338769533.59844702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Summary'!$U$3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Summary'!$U$4:$U$13</c:f>
              <c:numCache>
                <c:formatCode>#,##0</c:formatCode>
                <c:ptCount val="10"/>
                <c:pt idx="0">
                  <c:v>41948975.999999993</c:v>
                </c:pt>
                <c:pt idx="1">
                  <c:v>41438245.999999993</c:v>
                </c:pt>
                <c:pt idx="2">
                  <c:v>37675686.675000004</c:v>
                </c:pt>
                <c:pt idx="3">
                  <c:v>45152334.11666666</c:v>
                </c:pt>
                <c:pt idx="4">
                  <c:v>39157632.233333327</c:v>
                </c:pt>
                <c:pt idx="5">
                  <c:v>31076990.349999994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34367358.525683858</c:v>
                </c:pt>
                <c:pt idx="9">
                  <c:v>40379754.175561525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5-4D42-A096-83EF8D818264}"/>
            </c:ext>
          </c:extLst>
        </c:ser>
        <c:ser>
          <c:idx val="2"/>
          <c:order val="1"/>
          <c:tx>
            <c:strRef>
              <c:f>'Model Summary'!$V$3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Summary'!$V$4:$V$13</c:f>
              <c:numCache>
                <c:formatCode>#,##0</c:formatCode>
                <c:ptCount val="10"/>
                <c:pt idx="0">
                  <c:v>41074144.323495239</c:v>
                </c:pt>
                <c:pt idx="1">
                  <c:v>40904013.848729134</c:v>
                </c:pt>
                <c:pt idx="2">
                  <c:v>40124192.330325671</c:v>
                </c:pt>
                <c:pt idx="3">
                  <c:v>40236232.283629149</c:v>
                </c:pt>
                <c:pt idx="4">
                  <c:v>39351670.439221382</c:v>
                </c:pt>
                <c:pt idx="5">
                  <c:v>34821748.836139143</c:v>
                </c:pt>
                <c:pt idx="6">
                  <c:v>34731375.979834676</c:v>
                </c:pt>
                <c:pt idx="7">
                  <c:v>36132144.816083983</c:v>
                </c:pt>
                <c:pt idx="8">
                  <c:v>37618601.991188496</c:v>
                </c:pt>
                <c:pt idx="9">
                  <c:v>37312896.779452376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5-4D42-A096-83EF8D818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Weather!$ES$1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Weather!$ES$2:$ES$121</c:f>
              <c:numCache>
                <c:formatCode>_(* #,##0.00_);_(* \(#,##0.00\);_(* "-"??_);_(@_)</c:formatCode>
                <c:ptCount val="120"/>
                <c:pt idx="0">
                  <c:v>111.66629340698282</c:v>
                </c:pt>
                <c:pt idx="1">
                  <c:v>114.2079858128095</c:v>
                </c:pt>
                <c:pt idx="2">
                  <c:v>99.777658289654582</c:v>
                </c:pt>
                <c:pt idx="3">
                  <c:v>88.687838476947746</c:v>
                </c:pt>
                <c:pt idx="4">
                  <c:v>82.209111272821914</c:v>
                </c:pt>
                <c:pt idx="5">
                  <c:v>84.639056829837827</c:v>
                </c:pt>
                <c:pt idx="6">
                  <c:v>90.781089515140209</c:v>
                </c:pt>
                <c:pt idx="7">
                  <c:v>88.499714175345233</c:v>
                </c:pt>
                <c:pt idx="8">
                  <c:v>89.249927610339</c:v>
                </c:pt>
                <c:pt idx="9">
                  <c:v>79.661588202521642</c:v>
                </c:pt>
                <c:pt idx="10">
                  <c:v>87.311802135173224</c:v>
                </c:pt>
                <c:pt idx="11">
                  <c:v>88.527597911797372</c:v>
                </c:pt>
                <c:pt idx="12">
                  <c:v>99.423522492063412</c:v>
                </c:pt>
                <c:pt idx="13">
                  <c:v>96.791652581487341</c:v>
                </c:pt>
                <c:pt idx="14">
                  <c:v>90.848748355819367</c:v>
                </c:pt>
                <c:pt idx="15">
                  <c:v>83.444907570606773</c:v>
                </c:pt>
                <c:pt idx="16">
                  <c:v>79.391450052289088</c:v>
                </c:pt>
                <c:pt idx="17">
                  <c:v>83.997172916477737</c:v>
                </c:pt>
                <c:pt idx="18">
                  <c:v>91.587764496202254</c:v>
                </c:pt>
                <c:pt idx="19">
                  <c:v>95.317605798019187</c:v>
                </c:pt>
                <c:pt idx="20">
                  <c:v>85.086087111051967</c:v>
                </c:pt>
                <c:pt idx="21">
                  <c:v>78.045090988044507</c:v>
                </c:pt>
                <c:pt idx="22">
                  <c:v>84.118005413196457</c:v>
                </c:pt>
                <c:pt idx="23">
                  <c:v>92.425751785119004</c:v>
                </c:pt>
                <c:pt idx="24">
                  <c:v>96.039915326256491</c:v>
                </c:pt>
                <c:pt idx="25">
                  <c:v>95.310254930787167</c:v>
                </c:pt>
                <c:pt idx="26">
                  <c:v>94.701951531860018</c:v>
                </c:pt>
                <c:pt idx="27">
                  <c:v>82.773932249877376</c:v>
                </c:pt>
                <c:pt idx="28">
                  <c:v>79.522263799431471</c:v>
                </c:pt>
                <c:pt idx="29">
                  <c:v>82.424288610171104</c:v>
                </c:pt>
                <c:pt idx="30">
                  <c:v>88.194318933334301</c:v>
                </c:pt>
                <c:pt idx="31">
                  <c:v>85.430914503093035</c:v>
                </c:pt>
                <c:pt idx="32">
                  <c:v>84.867775390920912</c:v>
                </c:pt>
                <c:pt idx="33">
                  <c:v>77.934278655152767</c:v>
                </c:pt>
                <c:pt idx="34">
                  <c:v>88.350364421504807</c:v>
                </c:pt>
                <c:pt idx="35">
                  <c:v>98.161448380500929</c:v>
                </c:pt>
                <c:pt idx="36">
                  <c:v>105.55950258246534</c:v>
                </c:pt>
                <c:pt idx="37">
                  <c:v>100.02814749942614</c:v>
                </c:pt>
                <c:pt idx="38">
                  <c:v>92.774587718881492</c:v>
                </c:pt>
                <c:pt idx="39">
                  <c:v>88.650917167440937</c:v>
                </c:pt>
                <c:pt idx="40">
                  <c:v>81.662934892507693</c:v>
                </c:pt>
                <c:pt idx="41">
                  <c:v>86.014770610711466</c:v>
                </c:pt>
                <c:pt idx="42">
                  <c:v>94.941962001472007</c:v>
                </c:pt>
                <c:pt idx="43">
                  <c:v>97.951177951014841</c:v>
                </c:pt>
                <c:pt idx="44">
                  <c:v>88.283196396512579</c:v>
                </c:pt>
                <c:pt idx="45">
                  <c:v>83.864888067441058</c:v>
                </c:pt>
                <c:pt idx="46">
                  <c:v>90.435141298460763</c:v>
                </c:pt>
                <c:pt idx="47">
                  <c:v>91.024317546115796</c:v>
                </c:pt>
                <c:pt idx="48">
                  <c:v>95.083394730943922</c:v>
                </c:pt>
                <c:pt idx="49">
                  <c:v>91.792536520372764</c:v>
                </c:pt>
                <c:pt idx="50">
                  <c:v>85.81264086811548</c:v>
                </c:pt>
                <c:pt idx="51">
                  <c:v>76.195645058972318</c:v>
                </c:pt>
                <c:pt idx="52">
                  <c:v>70.891456935538926</c:v>
                </c:pt>
                <c:pt idx="53">
                  <c:v>74.846852385716574</c:v>
                </c:pt>
                <c:pt idx="54">
                  <c:v>86.444708741976982</c:v>
                </c:pt>
                <c:pt idx="55">
                  <c:v>80.465426741017112</c:v>
                </c:pt>
                <c:pt idx="56">
                  <c:v>72.586716189022312</c:v>
                </c:pt>
                <c:pt idx="57">
                  <c:v>69.77493093454369</c:v>
                </c:pt>
                <c:pt idx="58">
                  <c:v>82.460402324286889</c:v>
                </c:pt>
                <c:pt idx="59">
                  <c:v>84.812839550174445</c:v>
                </c:pt>
                <c:pt idx="60">
                  <c:v>93.640747627742016</c:v>
                </c:pt>
                <c:pt idx="61">
                  <c:v>92.961521118320334</c:v>
                </c:pt>
                <c:pt idx="62">
                  <c:v>81.121280767166922</c:v>
                </c:pt>
                <c:pt idx="63">
                  <c:v>67.5443697410646</c:v>
                </c:pt>
                <c:pt idx="64">
                  <c:v>64.672244724660473</c:v>
                </c:pt>
                <c:pt idx="65">
                  <c:v>74.677772194066762</c:v>
                </c:pt>
                <c:pt idx="66">
                  <c:v>89.505771767681438</c:v>
                </c:pt>
                <c:pt idx="67">
                  <c:v>82.766060630567807</c:v>
                </c:pt>
                <c:pt idx="68">
                  <c:v>72.082087399467738</c:v>
                </c:pt>
                <c:pt idx="69">
                  <c:v>69.891082922261901</c:v>
                </c:pt>
                <c:pt idx="70">
                  <c:v>75.527161233302607</c:v>
                </c:pt>
                <c:pt idx="71">
                  <c:v>82.693720577029694</c:v>
                </c:pt>
                <c:pt idx="72">
                  <c:v>81.676013100641342</c:v>
                </c:pt>
                <c:pt idx="73">
                  <c:v>84.944387950720511</c:v>
                </c:pt>
                <c:pt idx="74">
                  <c:v>88.396467513046275</c:v>
                </c:pt>
                <c:pt idx="75">
                  <c:v>72.912391647397698</c:v>
                </c:pt>
                <c:pt idx="76">
                  <c:v>68.11756280348088</c:v>
                </c:pt>
                <c:pt idx="77">
                  <c:v>79.308661937138567</c:v>
                </c:pt>
                <c:pt idx="78">
                  <c:v>82.525815916252654</c:v>
                </c:pt>
                <c:pt idx="79">
                  <c:v>91.305669712551577</c:v>
                </c:pt>
                <c:pt idx="80">
                  <c:v>77.411105363912924</c:v>
                </c:pt>
                <c:pt idx="81">
                  <c:v>72.576317544952246</c:v>
                </c:pt>
                <c:pt idx="82">
                  <c:v>80.398472364960369</c:v>
                </c:pt>
                <c:pt idx="83">
                  <c:v>91.136632215273167</c:v>
                </c:pt>
                <c:pt idx="84">
                  <c:v>95.250489894822593</c:v>
                </c:pt>
                <c:pt idx="85">
                  <c:v>96.782249928325854</c:v>
                </c:pt>
                <c:pt idx="86">
                  <c:v>89.707907880918867</c:v>
                </c:pt>
                <c:pt idx="87">
                  <c:v>79.697175300549262</c:v>
                </c:pt>
                <c:pt idx="88">
                  <c:v>76.425435690410197</c:v>
                </c:pt>
                <c:pt idx="89">
                  <c:v>81.16322343969793</c:v>
                </c:pt>
                <c:pt idx="90">
                  <c:v>87.727458019468756</c:v>
                </c:pt>
                <c:pt idx="91">
                  <c:v>91.197225729775411</c:v>
                </c:pt>
                <c:pt idx="92">
                  <c:v>80.65993420414982</c:v>
                </c:pt>
                <c:pt idx="93">
                  <c:v>73.690850654283025</c:v>
                </c:pt>
                <c:pt idx="94">
                  <c:v>82.461202130337838</c:v>
                </c:pt>
                <c:pt idx="95">
                  <c:v>90.754993749299501</c:v>
                </c:pt>
                <c:pt idx="96">
                  <c:v>88.8687153875928</c:v>
                </c:pt>
                <c:pt idx="97">
                  <c:v>93.152856765721907</c:v>
                </c:pt>
                <c:pt idx="98">
                  <c:v>88.274447629871077</c:v>
                </c:pt>
                <c:pt idx="99">
                  <c:v>77.165164484727214</c:v>
                </c:pt>
                <c:pt idx="100">
                  <c:v>77.293483648015382</c:v>
                </c:pt>
                <c:pt idx="101">
                  <c:v>83.796081043947211</c:v>
                </c:pt>
                <c:pt idx="102">
                  <c:v>91.41776939817295</c:v>
                </c:pt>
                <c:pt idx="103">
                  <c:v>85.485438724362467</c:v>
                </c:pt>
                <c:pt idx="104">
                  <c:v>81.812568884727014</c:v>
                </c:pt>
                <c:pt idx="105">
                  <c:v>76.923645774032522</c:v>
                </c:pt>
                <c:pt idx="106">
                  <c:v>83.184089785132429</c:v>
                </c:pt>
                <c:pt idx="107">
                  <c:v>88.005063526447032</c:v>
                </c:pt>
                <c:pt idx="108">
                  <c:v>94.790458400808589</c:v>
                </c:pt>
                <c:pt idx="109">
                  <c:v>91.983106131877193</c:v>
                </c:pt>
                <c:pt idx="110">
                  <c:v>86.244888707666803</c:v>
                </c:pt>
                <c:pt idx="111">
                  <c:v>81.286030517982425</c:v>
                </c:pt>
                <c:pt idx="112">
                  <c:v>78.64029764995432</c:v>
                </c:pt>
                <c:pt idx="113">
                  <c:v>86.763379825885536</c:v>
                </c:pt>
                <c:pt idx="114">
                  <c:v>95.852195215583961</c:v>
                </c:pt>
                <c:pt idx="115">
                  <c:v>90.969705408762607</c:v>
                </c:pt>
                <c:pt idx="116">
                  <c:v>83.654035736035951</c:v>
                </c:pt>
                <c:pt idx="117">
                  <c:v>76.327025147854272</c:v>
                </c:pt>
                <c:pt idx="118">
                  <c:v>83.009246461893085</c:v>
                </c:pt>
                <c:pt idx="119">
                  <c:v>97.39462076447829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Monthly'!$O$2:$O$145</c:f>
              <c:numCache>
                <c:formatCode>_(* #,##0.00_);_(* \(#,##0.00\);_(* "-"??_);_(@_)</c:formatCode>
                <c:ptCount val="144"/>
                <c:pt idx="0">
                  <c:v>44861366.119015791</c:v>
                </c:pt>
                <c:pt idx="1">
                  <c:v>42693914.706003696</c:v>
                </c:pt>
                <c:pt idx="2">
                  <c:v>39602389.869123831</c:v>
                </c:pt>
                <c:pt idx="3">
                  <c:v>33665810.971601732</c:v>
                </c:pt>
                <c:pt idx="4">
                  <c:v>34510412.438358434</c:v>
                </c:pt>
                <c:pt idx="5">
                  <c:v>39669583.907718599</c:v>
                </c:pt>
                <c:pt idx="6">
                  <c:v>45794991.846810631</c:v>
                </c:pt>
                <c:pt idx="7">
                  <c:v>44394862.891513824</c:v>
                </c:pt>
                <c:pt idx="8">
                  <c:v>37894479.099028282</c:v>
                </c:pt>
                <c:pt idx="9">
                  <c:v>33207705.961150445</c:v>
                </c:pt>
                <c:pt idx="10">
                  <c:v>36302918.980165221</c:v>
                </c:pt>
                <c:pt idx="11">
                  <c:v>41291597.073943689</c:v>
                </c:pt>
                <c:pt idx="12">
                  <c:v>45625452.372303143</c:v>
                </c:pt>
                <c:pt idx="13">
                  <c:v>43458000.959291048</c:v>
                </c:pt>
                <c:pt idx="14">
                  <c:v>40366476.122411191</c:v>
                </c:pt>
                <c:pt idx="15">
                  <c:v>34429897.224889085</c:v>
                </c:pt>
                <c:pt idx="16">
                  <c:v>35274498.691645786</c:v>
                </c:pt>
                <c:pt idx="17">
                  <c:v>40433670.161005951</c:v>
                </c:pt>
                <c:pt idx="18">
                  <c:v>46559078.100097992</c:v>
                </c:pt>
                <c:pt idx="19">
                  <c:v>45158949.144801185</c:v>
                </c:pt>
                <c:pt idx="20">
                  <c:v>38658565.352315634</c:v>
                </c:pt>
                <c:pt idx="21">
                  <c:v>33971792.214437798</c:v>
                </c:pt>
                <c:pt idx="22">
                  <c:v>37067005.233452573</c:v>
                </c:pt>
                <c:pt idx="23">
                  <c:v>42055683.32723105</c:v>
                </c:pt>
                <c:pt idx="24">
                  <c:v>46389538.625590496</c:v>
                </c:pt>
                <c:pt idx="25">
                  <c:v>44222087.212578401</c:v>
                </c:pt>
                <c:pt idx="26">
                  <c:v>41130562.375698544</c:v>
                </c:pt>
                <c:pt idx="27">
                  <c:v>35193983.478176437</c:v>
                </c:pt>
                <c:pt idx="28">
                  <c:v>36038584.944933139</c:v>
                </c:pt>
                <c:pt idx="29">
                  <c:v>41197756.414293304</c:v>
                </c:pt>
                <c:pt idx="30">
                  <c:v>47323164.353385344</c:v>
                </c:pt>
                <c:pt idx="31">
                  <c:v>45923035.398088537</c:v>
                </c:pt>
                <c:pt idx="32">
                  <c:v>39422651.605602995</c:v>
                </c:pt>
                <c:pt idx="33">
                  <c:v>34735878.46772515</c:v>
                </c:pt>
                <c:pt idx="34">
                  <c:v>37831091.486739926</c:v>
                </c:pt>
                <c:pt idx="35">
                  <c:v>42819769.580518402</c:v>
                </c:pt>
                <c:pt idx="36">
                  <c:v>47153624.878877856</c:v>
                </c:pt>
                <c:pt idx="37">
                  <c:v>44986173.465865754</c:v>
                </c:pt>
                <c:pt idx="38">
                  <c:v>41894648.628985897</c:v>
                </c:pt>
                <c:pt idx="39">
                  <c:v>35958069.73146379</c:v>
                </c:pt>
                <c:pt idx="40">
                  <c:v>36802671.198220499</c:v>
                </c:pt>
                <c:pt idx="41">
                  <c:v>41961842.667580664</c:v>
                </c:pt>
                <c:pt idx="42">
                  <c:v>48087250.606672697</c:v>
                </c:pt>
                <c:pt idx="43">
                  <c:v>46687121.65137589</c:v>
                </c:pt>
                <c:pt idx="44">
                  <c:v>40186737.858890347</c:v>
                </c:pt>
                <c:pt idx="45">
                  <c:v>35499964.72101251</c:v>
                </c:pt>
                <c:pt idx="46">
                  <c:v>38595177.740027279</c:v>
                </c:pt>
                <c:pt idx="47">
                  <c:v>43583855.833805755</c:v>
                </c:pt>
                <c:pt idx="48">
                  <c:v>47917711.132165208</c:v>
                </c:pt>
                <c:pt idx="49">
                  <c:v>45750259.719153114</c:v>
                </c:pt>
                <c:pt idx="50">
                  <c:v>42658734.882273257</c:v>
                </c:pt>
                <c:pt idx="51">
                  <c:v>36722155.98475115</c:v>
                </c:pt>
                <c:pt idx="52">
                  <c:v>37566757.451507851</c:v>
                </c:pt>
                <c:pt idx="53">
                  <c:v>42725928.920868017</c:v>
                </c:pt>
                <c:pt idx="54">
                  <c:v>48851336.859960057</c:v>
                </c:pt>
                <c:pt idx="55">
                  <c:v>47451207.904663242</c:v>
                </c:pt>
                <c:pt idx="56">
                  <c:v>40950824.1121777</c:v>
                </c:pt>
                <c:pt idx="57">
                  <c:v>36264050.974299863</c:v>
                </c:pt>
                <c:pt idx="58">
                  <c:v>39359263.993314639</c:v>
                </c:pt>
                <c:pt idx="59">
                  <c:v>44347942.087093107</c:v>
                </c:pt>
                <c:pt idx="60">
                  <c:v>48681797.385452561</c:v>
                </c:pt>
                <c:pt idx="61">
                  <c:v>46514345.972440466</c:v>
                </c:pt>
                <c:pt idx="62">
                  <c:v>43422821.135560609</c:v>
                </c:pt>
                <c:pt idx="63">
                  <c:v>37486242.238038503</c:v>
                </c:pt>
                <c:pt idx="64">
                  <c:v>39512392.51190991</c:v>
                </c:pt>
                <c:pt idx="65">
                  <c:v>46871821.04351519</c:v>
                </c:pt>
                <c:pt idx="66">
                  <c:v>55251671.708602749</c:v>
                </c:pt>
                <c:pt idx="67">
                  <c:v>52454112.663675077</c:v>
                </c:pt>
                <c:pt idx="68">
                  <c:v>43550850.485602051</c:v>
                </c:pt>
                <c:pt idx="69">
                  <c:v>37184092.877777189</c:v>
                </c:pt>
                <c:pt idx="70">
                  <c:v>40151147.457496591</c:v>
                </c:pt>
                <c:pt idx="71">
                  <c:v>45112028.340380467</c:v>
                </c:pt>
                <c:pt idx="72">
                  <c:v>49445883.638739914</c:v>
                </c:pt>
                <c:pt idx="73">
                  <c:v>47278432.225727819</c:v>
                </c:pt>
                <c:pt idx="74">
                  <c:v>44190279.14620591</c:v>
                </c:pt>
                <c:pt idx="75">
                  <c:v>38376318.241616361</c:v>
                </c:pt>
                <c:pt idx="76">
                  <c:v>40043850.121565923</c:v>
                </c:pt>
                <c:pt idx="77">
                  <c:v>47008589.741181731</c:v>
                </c:pt>
                <c:pt idx="78">
                  <c:v>53284444.543794431</c:v>
                </c:pt>
                <c:pt idx="79">
                  <c:v>52718469.363036871</c:v>
                </c:pt>
                <c:pt idx="80">
                  <c:v>44183586.176584005</c:v>
                </c:pt>
                <c:pt idx="81">
                  <c:v>38680990.226704463</c:v>
                </c:pt>
                <c:pt idx="82">
                  <c:v>40887436.499889344</c:v>
                </c:pt>
                <c:pt idx="83">
                  <c:v>45876114.59366782</c:v>
                </c:pt>
                <c:pt idx="84">
                  <c:v>50209969.892027274</c:v>
                </c:pt>
                <c:pt idx="85">
                  <c:v>48042518.479015179</c:v>
                </c:pt>
                <c:pt idx="86">
                  <c:v>44950993.642135315</c:v>
                </c:pt>
                <c:pt idx="87">
                  <c:v>39031542.6387977</c:v>
                </c:pt>
                <c:pt idx="88">
                  <c:v>40690558.061195269</c:v>
                </c:pt>
                <c:pt idx="89">
                  <c:v>46392895.927778155</c:v>
                </c:pt>
                <c:pt idx="90">
                  <c:v>53300413.543694332</c:v>
                </c:pt>
                <c:pt idx="91">
                  <c:v>51949134.191410236</c:v>
                </c:pt>
                <c:pt idx="92">
                  <c:v>44305265.589025892</c:v>
                </c:pt>
                <c:pt idx="93">
                  <c:v>38644481.980564497</c:v>
                </c:pt>
                <c:pt idx="94">
                  <c:v>41701513.409216084</c:v>
                </c:pt>
                <c:pt idx="95">
                  <c:v>46640200.846955173</c:v>
                </c:pt>
                <c:pt idx="96">
                  <c:v>50974056.145314626</c:v>
                </c:pt>
                <c:pt idx="97">
                  <c:v>48806604.732302532</c:v>
                </c:pt>
                <c:pt idx="98">
                  <c:v>45715079.895422675</c:v>
                </c:pt>
                <c:pt idx="99">
                  <c:v>39864805.322386533</c:v>
                </c:pt>
                <c:pt idx="100">
                  <c:v>40881635.521793149</c:v>
                </c:pt>
                <c:pt idx="101">
                  <c:v>46563160.274239868</c:v>
                </c:pt>
                <c:pt idx="102">
                  <c:v>52993419.402060956</c:v>
                </c:pt>
                <c:pt idx="103">
                  <c:v>51373020.882242039</c:v>
                </c:pt>
                <c:pt idx="104">
                  <c:v>44626401.070529252</c:v>
                </c:pt>
                <c:pt idx="105">
                  <c:v>39527925.278353728</c:v>
                </c:pt>
                <c:pt idx="106">
                  <c:v>42415609.006464057</c:v>
                </c:pt>
                <c:pt idx="107">
                  <c:v>47404287.100242533</c:v>
                </c:pt>
                <c:pt idx="108">
                  <c:v>51738142.398601979</c:v>
                </c:pt>
                <c:pt idx="109">
                  <c:v>49570690.985589884</c:v>
                </c:pt>
                <c:pt idx="110">
                  <c:v>46479166.148710027</c:v>
                </c:pt>
                <c:pt idx="111">
                  <c:v>40551641.923529446</c:v>
                </c:pt>
                <c:pt idx="112">
                  <c:v>41805286.630329683</c:v>
                </c:pt>
                <c:pt idx="113">
                  <c:v>47321975.188559167</c:v>
                </c:pt>
                <c:pt idx="114">
                  <c:v>53823452.796912603</c:v>
                </c:pt>
                <c:pt idx="115">
                  <c:v>52270312.542921491</c:v>
                </c:pt>
                <c:pt idx="116">
                  <c:v>45422052.038237929</c:v>
                </c:pt>
                <c:pt idx="117">
                  <c:v>40202652.046732187</c:v>
                </c:pt>
                <c:pt idx="118">
                  <c:v>43215803.140190236</c:v>
                </c:pt>
                <c:pt idx="119">
                  <c:v>48168373.353529885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Monthly'!$Q$2:$Q$145</c:f>
              <c:numCache>
                <c:formatCode>_(* #,##0.0_);_(* \(#,##0.0\);_(* "-"??_);_(@_)</c:formatCode>
                <c:ptCount val="144"/>
                <c:pt idx="0">
                  <c:v>12248181.040129852</c:v>
                </c:pt>
                <c:pt idx="1">
                  <c:v>11075031.584735097</c:v>
                </c:pt>
                <c:pt idx="2">
                  <c:v>11420649.637635665</c:v>
                </c:pt>
                <c:pt idx="3">
                  <c:v>10156142.032590227</c:v>
                </c:pt>
                <c:pt idx="4">
                  <c:v>10043732.885698909</c:v>
                </c:pt>
                <c:pt idx="5">
                  <c:v>10375773.679616401</c:v>
                </c:pt>
                <c:pt idx="6">
                  <c:v>11837067.725527575</c:v>
                </c:pt>
                <c:pt idx="7">
                  <c:v>11525373.031732831</c:v>
                </c:pt>
                <c:pt idx="8">
                  <c:v>10092989.27329766</c:v>
                </c:pt>
                <c:pt idx="9">
                  <c:v>10112336.202153437</c:v>
                </c:pt>
                <c:pt idx="10">
                  <c:v>10647832.37976571</c:v>
                </c:pt>
                <c:pt idx="11">
                  <c:v>11726275.748655125</c:v>
                </c:pt>
                <c:pt idx="12">
                  <c:v>12383551.41016335</c:v>
                </c:pt>
                <c:pt idx="13">
                  <c:v>11551057.637946704</c:v>
                </c:pt>
                <c:pt idx="14">
                  <c:v>11665533.116010875</c:v>
                </c:pt>
                <c:pt idx="15">
                  <c:v>10408630.587933611</c:v>
                </c:pt>
                <c:pt idx="16">
                  <c:v>10284053.317893215</c:v>
                </c:pt>
                <c:pt idx="17">
                  <c:v>10591757.865512548</c:v>
                </c:pt>
                <c:pt idx="18">
                  <c:v>12074346.12693461</c:v>
                </c:pt>
                <c:pt idx="19">
                  <c:v>11744399.248416249</c:v>
                </c:pt>
                <c:pt idx="20">
                  <c:v>10312015.489981078</c:v>
                </c:pt>
                <c:pt idx="21">
                  <c:v>10267479.772304188</c:v>
                </c:pt>
                <c:pt idx="22">
                  <c:v>10774076.657437403</c:v>
                </c:pt>
                <c:pt idx="23">
                  <c:v>11841872.918571373</c:v>
                </c:pt>
                <c:pt idx="24">
                  <c:v>12486980.456930522</c:v>
                </c:pt>
                <c:pt idx="25">
                  <c:v>11304704.909173958</c:v>
                </c:pt>
                <c:pt idx="26">
                  <c:v>11670096.162191778</c:v>
                </c:pt>
                <c:pt idx="27">
                  <c:v>10396462.464784531</c:v>
                </c:pt>
                <c:pt idx="28">
                  <c:v>10290137.379467752</c:v>
                </c:pt>
                <c:pt idx="29">
                  <c:v>10593278.880906183</c:v>
                </c:pt>
                <c:pt idx="30">
                  <c:v>12045446.834455548</c:v>
                </c:pt>
                <c:pt idx="31">
                  <c:v>11732231.12526717</c:v>
                </c:pt>
                <c:pt idx="32">
                  <c:v>10299847.366831999</c:v>
                </c:pt>
                <c:pt idx="33">
                  <c:v>10299421.095570521</c:v>
                </c:pt>
                <c:pt idx="34">
                  <c:v>10836438.28857643</c:v>
                </c:pt>
                <c:pt idx="35">
                  <c:v>11896629.472742228</c:v>
                </c:pt>
                <c:pt idx="36">
                  <c:v>12563031.226612262</c:v>
                </c:pt>
                <c:pt idx="37">
                  <c:v>11405091.925153859</c:v>
                </c:pt>
                <c:pt idx="38">
                  <c:v>11768962.162778044</c:v>
                </c:pt>
                <c:pt idx="39">
                  <c:v>10498370.496158065</c:v>
                </c:pt>
                <c:pt idx="40">
                  <c:v>10293179.410255022</c:v>
                </c:pt>
                <c:pt idx="41">
                  <c:v>10602404.973267991</c:v>
                </c:pt>
                <c:pt idx="42">
                  <c:v>12060656.988391897</c:v>
                </c:pt>
                <c:pt idx="43">
                  <c:v>11773298.540895309</c:v>
                </c:pt>
                <c:pt idx="44">
                  <c:v>10378940.16730101</c:v>
                </c:pt>
                <c:pt idx="45">
                  <c:v>10395245.065369517</c:v>
                </c:pt>
                <c:pt idx="46">
                  <c:v>10862295.550268222</c:v>
                </c:pt>
                <c:pt idx="47">
                  <c:v>11933133.842189465</c:v>
                </c:pt>
                <c:pt idx="48">
                  <c:v>12587367.472910419</c:v>
                </c:pt>
                <c:pt idx="49">
                  <c:v>11403570.909760222</c:v>
                </c:pt>
                <c:pt idx="50">
                  <c:v>11749188.962660789</c:v>
                </c:pt>
                <c:pt idx="51">
                  <c:v>10474034.249859909</c:v>
                </c:pt>
                <c:pt idx="52">
                  <c:v>10344893.933638606</c:v>
                </c:pt>
                <c:pt idx="53">
                  <c:v>10654119.496651577</c:v>
                </c:pt>
                <c:pt idx="54">
                  <c:v>12091077.296264593</c:v>
                </c:pt>
                <c:pt idx="55">
                  <c:v>11777861.587076215</c:v>
                </c:pt>
                <c:pt idx="56">
                  <c:v>10325704.628523793</c:v>
                </c:pt>
                <c:pt idx="57">
                  <c:v>10317673.280294139</c:v>
                </c:pt>
                <c:pt idx="58">
                  <c:v>10828833.211608255</c:v>
                </c:pt>
                <c:pt idx="59">
                  <c:v>11898150.488135863</c:v>
                </c:pt>
                <c:pt idx="60">
                  <c:v>12552384.118856817</c:v>
                </c:pt>
                <c:pt idx="61">
                  <c:v>11657528.715501145</c:v>
                </c:pt>
                <c:pt idx="62">
                  <c:v>10967299.200577434</c:v>
                </c:pt>
                <c:pt idx="63">
                  <c:v>8908733.7102995627</c:v>
                </c:pt>
                <c:pt idx="64">
                  <c:v>8788719.4864400718</c:v>
                </c:pt>
                <c:pt idx="65">
                  <c:v>9888960.9038982056</c:v>
                </c:pt>
                <c:pt idx="66">
                  <c:v>11339607.842053935</c:v>
                </c:pt>
                <c:pt idx="67">
                  <c:v>11023350.102078287</c:v>
                </c:pt>
                <c:pt idx="68">
                  <c:v>9609218.5283667333</c:v>
                </c:pt>
                <c:pt idx="69">
                  <c:v>9567724.8414771147</c:v>
                </c:pt>
                <c:pt idx="70">
                  <c:v>10133641.326962087</c:v>
                </c:pt>
                <c:pt idx="71">
                  <c:v>11209042.665064234</c:v>
                </c:pt>
                <c:pt idx="72">
                  <c:v>11858713.249604285</c:v>
                </c:pt>
                <c:pt idx="73">
                  <c:v>10699252.932752244</c:v>
                </c:pt>
                <c:pt idx="74">
                  <c:v>11066165.2011637</c:v>
                </c:pt>
                <c:pt idx="75">
                  <c:v>9786447.442181915</c:v>
                </c:pt>
                <c:pt idx="76">
                  <c:v>9672517.2798969597</c:v>
                </c:pt>
                <c:pt idx="77">
                  <c:v>9987826.9044844694</c:v>
                </c:pt>
                <c:pt idx="78">
                  <c:v>11438473.842640201</c:v>
                </c:pt>
                <c:pt idx="79">
                  <c:v>11132863.210419996</c:v>
                </c:pt>
                <c:pt idx="80">
                  <c:v>9691353.3596230149</c:v>
                </c:pt>
                <c:pt idx="81">
                  <c:v>9680279.980606094</c:v>
                </c:pt>
                <c:pt idx="82">
                  <c:v>10194481.942707479</c:v>
                </c:pt>
                <c:pt idx="83">
                  <c:v>11253152.111479644</c:v>
                </c:pt>
                <c:pt idx="84">
                  <c:v>12305935.700210452</c:v>
                </c:pt>
                <c:pt idx="85">
                  <c:v>11141912.337177508</c:v>
                </c:pt>
                <c:pt idx="86">
                  <c:v>11481446.328503534</c:v>
                </c:pt>
                <c:pt idx="87">
                  <c:v>10207812.631096289</c:v>
                </c:pt>
                <c:pt idx="88">
                  <c:v>10096924.499598604</c:v>
                </c:pt>
                <c:pt idx="89">
                  <c:v>10433528.339697002</c:v>
                </c:pt>
                <c:pt idx="90">
                  <c:v>11885696.293246366</c:v>
                </c:pt>
                <c:pt idx="91">
                  <c:v>11574001.599451624</c:v>
                </c:pt>
                <c:pt idx="92">
                  <c:v>10134012.764048278</c:v>
                </c:pt>
                <c:pt idx="93">
                  <c:v>10125981.415818624</c:v>
                </c:pt>
                <c:pt idx="94">
                  <c:v>10659956.578037266</c:v>
                </c:pt>
                <c:pt idx="95">
                  <c:v>11721668.777596697</c:v>
                </c:pt>
                <c:pt idx="96">
                  <c:v>12754679.166210253</c:v>
                </c:pt>
                <c:pt idx="97">
                  <c:v>11581529.7108155</c:v>
                </c:pt>
                <c:pt idx="98">
                  <c:v>11933231.825290605</c:v>
                </c:pt>
                <c:pt idx="99">
                  <c:v>10659598.12788336</c:v>
                </c:pt>
                <c:pt idx="100">
                  <c:v>10550231.01177931</c:v>
                </c:pt>
                <c:pt idx="101">
                  <c:v>11008516.083368495</c:v>
                </c:pt>
                <c:pt idx="102">
                  <c:v>12456120.990736954</c:v>
                </c:pt>
                <c:pt idx="103">
                  <c:v>12148989.343123116</c:v>
                </c:pt>
                <c:pt idx="104">
                  <c:v>10696832.384570692</c:v>
                </c:pt>
                <c:pt idx="105">
                  <c:v>10704011.190277388</c:v>
                </c:pt>
                <c:pt idx="106">
                  <c:v>11248633.460251473</c:v>
                </c:pt>
                <c:pt idx="107">
                  <c:v>12334681.906109061</c:v>
                </c:pt>
                <c:pt idx="108">
                  <c:v>12911343.751754642</c:v>
                </c:pt>
                <c:pt idx="109">
                  <c:v>12004320.225249887</c:v>
                </c:pt>
                <c:pt idx="110">
                  <c:v>12097501.487803169</c:v>
                </c:pt>
                <c:pt idx="111">
                  <c:v>10825388.805789556</c:v>
                </c:pt>
                <c:pt idx="112">
                  <c:v>10712979.658898238</c:v>
                </c:pt>
                <c:pt idx="113">
                  <c:v>11023726.237304844</c:v>
                </c:pt>
                <c:pt idx="114">
                  <c:v>12471331.144673303</c:v>
                </c:pt>
                <c:pt idx="115">
                  <c:v>12162678.481665831</c:v>
                </c:pt>
                <c:pt idx="116">
                  <c:v>10719647.615475215</c:v>
                </c:pt>
                <c:pt idx="117">
                  <c:v>10713137.282639198</c:v>
                </c:pt>
                <c:pt idx="118">
                  <c:v>11256238.537219645</c:v>
                </c:pt>
                <c:pt idx="119">
                  <c:v>12065462.181435695</c:v>
                </c:pt>
                <c:pt idx="120">
                  <c:v>12716653.781369381</c:v>
                </c:pt>
                <c:pt idx="121">
                  <c:v>11551109.402942803</c:v>
                </c:pt>
                <c:pt idx="122">
                  <c:v>11927147.763716068</c:v>
                </c:pt>
                <c:pt idx="123">
                  <c:v>10655035.081702454</c:v>
                </c:pt>
                <c:pt idx="124">
                  <c:v>10519810.703906614</c:v>
                </c:pt>
                <c:pt idx="125">
                  <c:v>10850330.482430471</c:v>
                </c:pt>
                <c:pt idx="126">
                  <c:v>12302291.99676875</c:v>
                </c:pt>
                <c:pt idx="127">
                  <c:v>11996480.17927026</c:v>
                </c:pt>
                <c:pt idx="128">
                  <c:v>10551732.37103695</c:v>
                </c:pt>
                <c:pt idx="129">
                  <c:v>10548073.405668985</c:v>
                </c:pt>
                <c:pt idx="130">
                  <c:v>11069695.049453998</c:v>
                </c:pt>
                <c:pt idx="131">
                  <c:v>12140353.218834393</c:v>
                </c:pt>
                <c:pt idx="132">
                  <c:v>12791469.49341258</c:v>
                </c:pt>
                <c:pt idx="133">
                  <c:v>11624234.625642288</c:v>
                </c:pt>
                <c:pt idx="134">
                  <c:v>11986419.660898343</c:v>
                </c:pt>
                <c:pt idx="135">
                  <c:v>10717190.114399044</c:v>
                </c:pt>
                <c:pt idx="136">
                  <c:v>10603106.353272865</c:v>
                </c:pt>
                <c:pt idx="137">
                  <c:v>10921309.710972559</c:v>
                </c:pt>
                <c:pt idx="138">
                  <c:v>12373334.672751626</c:v>
                </c:pt>
                <c:pt idx="139">
                  <c:v>12067586.359408794</c:v>
                </c:pt>
                <c:pt idx="140">
                  <c:v>10622902.112096708</c:v>
                </c:pt>
                <c:pt idx="141">
                  <c:v>10619306.764466275</c:v>
                </c:pt>
                <c:pt idx="142">
                  <c:v>11140992.082855921</c:v>
                </c:pt>
                <c:pt idx="143">
                  <c:v>12211713.983758876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Normalized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 50-999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Monthly'!$Q$2:$Q$145</c:f>
              <c:numCache>
                <c:formatCode>_(* #,##0_);_(* \(#,##0\);_(* "-"??_);_(@_)</c:formatCode>
                <c:ptCount val="144"/>
                <c:pt idx="0">
                  <c:v>32512610.640210614</c:v>
                </c:pt>
                <c:pt idx="1">
                  <c:v>28970744.68864727</c:v>
                </c:pt>
                <c:pt idx="2">
                  <c:v>29783233.020850725</c:v>
                </c:pt>
                <c:pt idx="3">
                  <c:v>25739958.940614827</c:v>
                </c:pt>
                <c:pt idx="4">
                  <c:v>25118367.008443017</c:v>
                </c:pt>
                <c:pt idx="5">
                  <c:v>25345816.977925122</c:v>
                </c:pt>
                <c:pt idx="6">
                  <c:v>28503325.513530746</c:v>
                </c:pt>
                <c:pt idx="7">
                  <c:v>27865860.188409135</c:v>
                </c:pt>
                <c:pt idx="8">
                  <c:v>24765870.40965943</c:v>
                </c:pt>
                <c:pt idx="9">
                  <c:v>25355057.545847274</c:v>
                </c:pt>
                <c:pt idx="10">
                  <c:v>27082546.746567078</c:v>
                </c:pt>
                <c:pt idx="11">
                  <c:v>30490512.243761919</c:v>
                </c:pt>
                <c:pt idx="12">
                  <c:v>32685025.768575661</c:v>
                </c:pt>
                <c:pt idx="13">
                  <c:v>29883921.723347869</c:v>
                </c:pt>
                <c:pt idx="14">
                  <c:v>29955648.149215773</c:v>
                </c:pt>
                <c:pt idx="15">
                  <c:v>25857969.068555698</c:v>
                </c:pt>
                <c:pt idx="16">
                  <c:v>25236377.136383887</c:v>
                </c:pt>
                <c:pt idx="17">
                  <c:v>25463827.105865993</c:v>
                </c:pt>
                <c:pt idx="18">
                  <c:v>28616861.224577609</c:v>
                </c:pt>
                <c:pt idx="19">
                  <c:v>27979395.899455998</c:v>
                </c:pt>
                <c:pt idx="20">
                  <c:v>24879406.120706294</c:v>
                </c:pt>
                <c:pt idx="21">
                  <c:v>25408080.433096703</c:v>
                </c:pt>
                <c:pt idx="22">
                  <c:v>27135569.633816507</c:v>
                </c:pt>
                <c:pt idx="23">
                  <c:v>30543535.131011348</c:v>
                </c:pt>
                <c:pt idx="24">
                  <c:v>32778667.426349632</c:v>
                </c:pt>
                <c:pt idx="25">
                  <c:v>29236801.474786289</c:v>
                </c:pt>
                <c:pt idx="26">
                  <c:v>30049289.806989744</c:v>
                </c:pt>
                <c:pt idx="27">
                  <c:v>26025581.702656973</c:v>
                </c:pt>
                <c:pt idx="28">
                  <c:v>25403989.770485163</c:v>
                </c:pt>
                <c:pt idx="29">
                  <c:v>25631439.739967268</c:v>
                </c:pt>
                <c:pt idx="30">
                  <c:v>28745676.964611966</c:v>
                </c:pt>
                <c:pt idx="31">
                  <c:v>28108211.639490351</c:v>
                </c:pt>
                <c:pt idx="32">
                  <c:v>25008221.860740647</c:v>
                </c:pt>
                <c:pt idx="33">
                  <c:v>25590079.608880583</c:v>
                </c:pt>
                <c:pt idx="34">
                  <c:v>27317568.80960039</c:v>
                </c:pt>
                <c:pt idx="35">
                  <c:v>30725534.306795228</c:v>
                </c:pt>
                <c:pt idx="36">
                  <c:v>32937519.69664127</c:v>
                </c:pt>
                <c:pt idx="37">
                  <c:v>29395653.745077923</c:v>
                </c:pt>
                <c:pt idx="38">
                  <c:v>30208142.077281378</c:v>
                </c:pt>
                <c:pt idx="39">
                  <c:v>26166948.147177175</c:v>
                </c:pt>
                <c:pt idx="40">
                  <c:v>25545356.215005361</c:v>
                </c:pt>
                <c:pt idx="41">
                  <c:v>25772806.184487469</c:v>
                </c:pt>
                <c:pt idx="42">
                  <c:v>28948666.11169114</c:v>
                </c:pt>
                <c:pt idx="43">
                  <c:v>28311200.786569528</c:v>
                </c:pt>
                <c:pt idx="44">
                  <c:v>25211211.007819824</c:v>
                </c:pt>
                <c:pt idx="45">
                  <c:v>25786779.442977697</c:v>
                </c:pt>
                <c:pt idx="46">
                  <c:v>27514268.6436975</c:v>
                </c:pt>
                <c:pt idx="47">
                  <c:v>30922234.140892342</c:v>
                </c:pt>
                <c:pt idx="48">
                  <c:v>33085957.255535308</c:v>
                </c:pt>
                <c:pt idx="49">
                  <c:v>29544091.303971961</c:v>
                </c:pt>
                <c:pt idx="50">
                  <c:v>30356579.636175416</c:v>
                </c:pt>
                <c:pt idx="51">
                  <c:v>26318659.499399275</c:v>
                </c:pt>
                <c:pt idx="52">
                  <c:v>25697067.567227464</c:v>
                </c:pt>
                <c:pt idx="53">
                  <c:v>25924517.536709569</c:v>
                </c:pt>
                <c:pt idx="54">
                  <c:v>29061796.961302973</c:v>
                </c:pt>
                <c:pt idx="55">
                  <c:v>28424331.636181362</c:v>
                </c:pt>
                <c:pt idx="56">
                  <c:v>25324341.857431658</c:v>
                </c:pt>
                <c:pt idx="57">
                  <c:v>25868903.490962099</c:v>
                </c:pt>
                <c:pt idx="58">
                  <c:v>27596392.691681907</c:v>
                </c:pt>
                <c:pt idx="59">
                  <c:v>31004358.188876744</c:v>
                </c:pt>
                <c:pt idx="60">
                  <c:v>33081782.994532786</c:v>
                </c:pt>
                <c:pt idx="61">
                  <c:v>30280678.94930499</c:v>
                </c:pt>
                <c:pt idx="62">
                  <c:v>28928580.097666666</c:v>
                </c:pt>
                <c:pt idx="63">
                  <c:v>22772336.773812488</c:v>
                </c:pt>
                <c:pt idx="64">
                  <c:v>22150744.841640674</c:v>
                </c:pt>
                <c:pt idx="65">
                  <c:v>23802020.088629011</c:v>
                </c:pt>
                <c:pt idx="66">
                  <c:v>27406767.882917915</c:v>
                </c:pt>
                <c:pt idx="67">
                  <c:v>26769302.557796303</c:v>
                </c:pt>
                <c:pt idx="68">
                  <c:v>23669312.779046599</c:v>
                </c:pt>
                <c:pt idx="69">
                  <c:v>24336756.838477377</c:v>
                </c:pt>
                <c:pt idx="70">
                  <c:v>26064246.03919718</c:v>
                </c:pt>
                <c:pt idx="71">
                  <c:v>29472211.536392022</c:v>
                </c:pt>
                <c:pt idx="72">
                  <c:v>31716997.68284484</c:v>
                </c:pt>
                <c:pt idx="73">
                  <c:v>28175131.731281493</c:v>
                </c:pt>
                <c:pt idx="74">
                  <c:v>28987620.063484944</c:v>
                </c:pt>
                <c:pt idx="75">
                  <c:v>24866130.94222353</c:v>
                </c:pt>
                <c:pt idx="76">
                  <c:v>24244539.01005172</c:v>
                </c:pt>
                <c:pt idx="77">
                  <c:v>24471988.979533825</c:v>
                </c:pt>
                <c:pt idx="78">
                  <c:v>27702309.750118226</c:v>
                </c:pt>
                <c:pt idx="79">
                  <c:v>27064844.424996614</c:v>
                </c:pt>
                <c:pt idx="80">
                  <c:v>23964854.64624691</c:v>
                </c:pt>
                <c:pt idx="81">
                  <c:v>24633548.19183062</c:v>
                </c:pt>
                <c:pt idx="82">
                  <c:v>26361037.392550424</c:v>
                </c:pt>
                <c:pt idx="83">
                  <c:v>29769002.889745265</c:v>
                </c:pt>
                <c:pt idx="84">
                  <c:v>32684629.180404641</c:v>
                </c:pt>
                <c:pt idx="85">
                  <c:v>29142763.228841294</c:v>
                </c:pt>
                <c:pt idx="86">
                  <c:v>29955251.561044745</c:v>
                </c:pt>
                <c:pt idx="87">
                  <c:v>25920800.667944618</c:v>
                </c:pt>
                <c:pt idx="88">
                  <c:v>25299208.735772807</c:v>
                </c:pt>
                <c:pt idx="89">
                  <c:v>25526658.705254912</c:v>
                </c:pt>
                <c:pt idx="90">
                  <c:v>28647471.438034017</c:v>
                </c:pt>
                <c:pt idx="91">
                  <c:v>28010006.112912405</c:v>
                </c:pt>
                <c:pt idx="92">
                  <c:v>24910016.334162701</c:v>
                </c:pt>
                <c:pt idx="93">
                  <c:v>25440617.228554271</c:v>
                </c:pt>
                <c:pt idx="94">
                  <c:v>27168106.429274078</c:v>
                </c:pt>
                <c:pt idx="95">
                  <c:v>30576071.926468916</c:v>
                </c:pt>
                <c:pt idx="96">
                  <c:v>33504318.725309834</c:v>
                </c:pt>
                <c:pt idx="97">
                  <c:v>29962452.773746487</c:v>
                </c:pt>
                <c:pt idx="98">
                  <c:v>30774941.105949938</c:v>
                </c:pt>
                <c:pt idx="99">
                  <c:v>26729614.797060631</c:v>
                </c:pt>
                <c:pt idx="100">
                  <c:v>26108022.864888817</c:v>
                </c:pt>
                <c:pt idx="101">
                  <c:v>26335472.834370926</c:v>
                </c:pt>
                <c:pt idx="102">
                  <c:v>29462149.077588357</c:v>
                </c:pt>
                <c:pt idx="103">
                  <c:v>28824683.752466746</c:v>
                </c:pt>
                <c:pt idx="104">
                  <c:v>25724693.973717041</c:v>
                </c:pt>
                <c:pt idx="105">
                  <c:v>26275014.412142266</c:v>
                </c:pt>
                <c:pt idx="106">
                  <c:v>28002503.612862073</c:v>
                </c:pt>
                <c:pt idx="107">
                  <c:v>31410469.110056911</c:v>
                </c:pt>
                <c:pt idx="108">
                  <c:v>33600256.924672149</c:v>
                </c:pt>
                <c:pt idx="109">
                  <c:v>30799152.879444353</c:v>
                </c:pt>
                <c:pt idx="110">
                  <c:v>30870879.305312257</c:v>
                </c:pt>
                <c:pt idx="111">
                  <c:v>26810810.455892302</c:v>
                </c:pt>
                <c:pt idx="112">
                  <c:v>26189218.523720488</c:v>
                </c:pt>
                <c:pt idx="113">
                  <c:v>26416668.493202593</c:v>
                </c:pt>
                <c:pt idx="114">
                  <c:v>29533097.553892095</c:v>
                </c:pt>
                <c:pt idx="115">
                  <c:v>28895632.228770483</c:v>
                </c:pt>
                <c:pt idx="116">
                  <c:v>25795642.450020779</c:v>
                </c:pt>
                <c:pt idx="117">
                  <c:v>26363028.858948577</c:v>
                </c:pt>
                <c:pt idx="118">
                  <c:v>28090518.059668384</c:v>
                </c:pt>
                <c:pt idx="119">
                  <c:v>31498483.556863222</c:v>
                </c:pt>
                <c:pt idx="120">
                  <c:v>33655189.766682431</c:v>
                </c:pt>
                <c:pt idx="121">
                  <c:v>30113323.81511908</c:v>
                </c:pt>
                <c:pt idx="122">
                  <c:v>30925812.147322536</c:v>
                </c:pt>
                <c:pt idx="123">
                  <c:v>26865914.99405288</c:v>
                </c:pt>
                <c:pt idx="124">
                  <c:v>26244323.061881065</c:v>
                </c:pt>
                <c:pt idx="125">
                  <c:v>26471773.031363171</c:v>
                </c:pt>
                <c:pt idx="126">
                  <c:v>29588247.953080744</c:v>
                </c:pt>
                <c:pt idx="127">
                  <c:v>28950782.627959132</c:v>
                </c:pt>
                <c:pt idx="128">
                  <c:v>25850792.849209428</c:v>
                </c:pt>
                <c:pt idx="129">
                  <c:v>26418450.645608231</c:v>
                </c:pt>
                <c:pt idx="130">
                  <c:v>28145939.846328039</c:v>
                </c:pt>
                <c:pt idx="131">
                  <c:v>31553905.343522877</c:v>
                </c:pt>
                <c:pt idx="132">
                  <c:v>33710617.004270792</c:v>
                </c:pt>
                <c:pt idx="133">
                  <c:v>30168751.052707452</c:v>
                </c:pt>
                <c:pt idx="134">
                  <c:v>30981239.384910904</c:v>
                </c:pt>
                <c:pt idx="135">
                  <c:v>26921515.473056901</c:v>
                </c:pt>
                <c:pt idx="136">
                  <c:v>26299923.540885091</c:v>
                </c:pt>
                <c:pt idx="137">
                  <c:v>26527373.510367192</c:v>
                </c:pt>
                <c:pt idx="138">
                  <c:v>29643894.70586209</c:v>
                </c:pt>
                <c:pt idx="139">
                  <c:v>29006429.380740479</c:v>
                </c:pt>
                <c:pt idx="140">
                  <c:v>25906439.601990774</c:v>
                </c:pt>
                <c:pt idx="141">
                  <c:v>26474371.228347827</c:v>
                </c:pt>
                <c:pt idx="142">
                  <c:v>28201860.42906763</c:v>
                </c:pt>
                <c:pt idx="143">
                  <c:v>31609825.926262472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C-4C0C-B932-C0D36881E3FE}"/>
            </c:ext>
          </c:extLst>
        </c:ser>
        <c:ser>
          <c:idx val="1"/>
          <c:order val="1"/>
          <c:tx>
            <c:strRef>
              <c:f>'GS 1k-4,999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Monthly'!$O$2:$O$145</c:f>
              <c:numCache>
                <c:formatCode>_(* #,##0_);_(* \(#,##0\);_(* "-"??_);_(@_)</c:formatCode>
                <c:ptCount val="144"/>
                <c:pt idx="0">
                  <c:v>7097470.1634580093</c:v>
                </c:pt>
                <c:pt idx="1">
                  <c:v>6739224.5498548131</c:v>
                </c:pt>
                <c:pt idx="2">
                  <c:v>7059113.111528106</c:v>
                </c:pt>
                <c:pt idx="3">
                  <c:v>6917983.5768053317</c:v>
                </c:pt>
                <c:pt idx="4">
                  <c:v>7266381.7483246084</c:v>
                </c:pt>
                <c:pt idx="5">
                  <c:v>7633826.940695839</c:v>
                </c:pt>
                <c:pt idx="6">
                  <c:v>8477048.6111181453</c:v>
                </c:pt>
                <c:pt idx="7">
                  <c:v>8228087.9142208518</c:v>
                </c:pt>
                <c:pt idx="8">
                  <c:v>7319958.2127644708</c:v>
                </c:pt>
                <c:pt idx="9">
                  <c:v>6999198.7014200455</c:v>
                </c:pt>
                <c:pt idx="10">
                  <c:v>6882593.0723602977</c:v>
                </c:pt>
                <c:pt idx="11">
                  <c:v>7070072.2692223638</c:v>
                </c:pt>
                <c:pt idx="12">
                  <c:v>7122676.2261548024</c:v>
                </c:pt>
                <c:pt idx="13">
                  <c:v>6911609.0165781248</c:v>
                </c:pt>
                <c:pt idx="14">
                  <c:v>7147882.2888515946</c:v>
                </c:pt>
                <c:pt idx="15">
                  <c:v>7030862.9010561872</c:v>
                </c:pt>
                <c:pt idx="16">
                  <c:v>7406658.9668111084</c:v>
                </c:pt>
                <c:pt idx="17">
                  <c:v>7786159.2326460229</c:v>
                </c:pt>
                <c:pt idx="18">
                  <c:v>8702807.2596198544</c:v>
                </c:pt>
                <c:pt idx="19">
                  <c:v>8516313.7615798321</c:v>
                </c:pt>
                <c:pt idx="20">
                  <c:v>7668459.4274418689</c:v>
                </c:pt>
                <c:pt idx="21">
                  <c:v>7297287.7907038582</c:v>
                </c:pt>
                <c:pt idx="22">
                  <c:v>7130270.0362505242</c:v>
                </c:pt>
                <c:pt idx="23">
                  <c:v>7248706.539638767</c:v>
                </c:pt>
                <c:pt idx="24">
                  <c:v>7246514.7080999147</c:v>
                </c:pt>
                <c:pt idx="25">
                  <c:v>6844432.4637196884</c:v>
                </c:pt>
                <c:pt idx="26">
                  <c:v>7111717.0684605446</c:v>
                </c:pt>
                <c:pt idx="27">
                  <c:v>6967299.7864294918</c:v>
                </c:pt>
                <c:pt idx="28">
                  <c:v>7371589.6621894836</c:v>
                </c:pt>
                <c:pt idx="29">
                  <c:v>7808077.5480345385</c:v>
                </c:pt>
                <c:pt idx="30">
                  <c:v>8708286.8384669833</c:v>
                </c:pt>
                <c:pt idx="31">
                  <c:v>8503162.772346722</c:v>
                </c:pt>
                <c:pt idx="32">
                  <c:v>7609279.9758928763</c:v>
                </c:pt>
                <c:pt idx="33">
                  <c:v>7249067.4968491234</c:v>
                </c:pt>
                <c:pt idx="34">
                  <c:v>7063419.1743155513</c:v>
                </c:pt>
                <c:pt idx="35">
                  <c:v>7164321.0253929812</c:v>
                </c:pt>
                <c:pt idx="36">
                  <c:v>7152265.9519292982</c:v>
                </c:pt>
                <c:pt idx="37">
                  <c:v>6818130.48525347</c:v>
                </c:pt>
                <c:pt idx="38">
                  <c:v>7190623.0038592005</c:v>
                </c:pt>
                <c:pt idx="39">
                  <c:v>7126207.5729962299</c:v>
                </c:pt>
                <c:pt idx="40">
                  <c:v>7540360.6906810543</c:v>
                </c:pt>
                <c:pt idx="41">
                  <c:v>7958218.0084458701</c:v>
                </c:pt>
                <c:pt idx="42">
                  <c:v>8849659.9727229103</c:v>
                </c:pt>
                <c:pt idx="43">
                  <c:v>8614946.1808281522</c:v>
                </c:pt>
                <c:pt idx="44">
                  <c:v>7702432.8162940675</c:v>
                </c:pt>
                <c:pt idx="45">
                  <c:v>7307151.0326286899</c:v>
                </c:pt>
                <c:pt idx="46">
                  <c:v>7132461.8677893756</c:v>
                </c:pt>
                <c:pt idx="47">
                  <c:v>7233363.7188668065</c:v>
                </c:pt>
                <c:pt idx="48">
                  <c:v>7264049.3604107276</c:v>
                </c:pt>
                <c:pt idx="49">
                  <c:v>6946352.630276286</c:v>
                </c:pt>
                <c:pt idx="50">
                  <c:v>7313365.5700348876</c:v>
                </c:pt>
                <c:pt idx="51">
                  <c:v>7194154.350700628</c:v>
                </c:pt>
                <c:pt idx="52">
                  <c:v>7551319.8483753121</c:v>
                </c:pt>
                <c:pt idx="53">
                  <c:v>7937395.6088267798</c:v>
                </c:pt>
                <c:pt idx="54">
                  <c:v>8817878.4154095612</c:v>
                </c:pt>
                <c:pt idx="55">
                  <c:v>8570013.6342816949</c:v>
                </c:pt>
                <c:pt idx="56">
                  <c:v>7630102.3755119666</c:v>
                </c:pt>
                <c:pt idx="57">
                  <c:v>7222765.5183829051</c:v>
                </c:pt>
                <c:pt idx="58">
                  <c:v>7033829.4485410554</c:v>
                </c:pt>
                <c:pt idx="59">
                  <c:v>7159937.3623152785</c:v>
                </c:pt>
                <c:pt idx="60">
                  <c:v>7165416.9411624074</c:v>
                </c:pt>
                <c:pt idx="61">
                  <c:v>6967500.72081884</c:v>
                </c:pt>
                <c:pt idx="62">
                  <c:v>6482371.2548311893</c:v>
                </c:pt>
                <c:pt idx="63">
                  <c:v>5617647.1503084414</c:v>
                </c:pt>
                <c:pt idx="64">
                  <c:v>5895906.7125844685</c:v>
                </c:pt>
                <c:pt idx="65">
                  <c:v>6943109.8439786406</c:v>
                </c:pt>
                <c:pt idx="66">
                  <c:v>7898114.9228823753</c:v>
                </c:pt>
                <c:pt idx="67">
                  <c:v>7758745.8029276598</c:v>
                </c:pt>
                <c:pt idx="68">
                  <c:v>6931713.8684087871</c:v>
                </c:pt>
                <c:pt idx="69">
                  <c:v>6601091.11513953</c:v>
                </c:pt>
                <c:pt idx="70">
                  <c:v>6435169.2764556222</c:v>
                </c:pt>
                <c:pt idx="71">
                  <c:v>6540454.7906107549</c:v>
                </c:pt>
                <c:pt idx="72">
                  <c:v>6471412.0971369315</c:v>
                </c:pt>
                <c:pt idx="73">
                  <c:v>6110974.651994884</c:v>
                </c:pt>
                <c:pt idx="74">
                  <c:v>6440726.4555930095</c:v>
                </c:pt>
                <c:pt idx="75">
                  <c:v>6347817.2147249691</c:v>
                </c:pt>
                <c:pt idx="76">
                  <c:v>6699503.1335525233</c:v>
                </c:pt>
                <c:pt idx="77">
                  <c:v>7092154.3886205461</c:v>
                </c:pt>
                <c:pt idx="78">
                  <c:v>8008802.4155943785</c:v>
                </c:pt>
                <c:pt idx="79">
                  <c:v>7823404.8333237814</c:v>
                </c:pt>
                <c:pt idx="80">
                  <c:v>6976646.4149552444</c:v>
                </c:pt>
                <c:pt idx="81">
                  <c:v>6643831.8301471351</c:v>
                </c:pt>
                <c:pt idx="82">
                  <c:v>6527226.2010873873</c:v>
                </c:pt>
                <c:pt idx="83">
                  <c:v>6648950.4517839076</c:v>
                </c:pt>
                <c:pt idx="84">
                  <c:v>6967459.0637915758</c:v>
                </c:pt>
                <c:pt idx="85">
                  <c:v>6627844.0182686187</c:v>
                </c:pt>
                <c:pt idx="86">
                  <c:v>6982801.8845635364</c:v>
                </c:pt>
                <c:pt idx="87">
                  <c:v>6923866.0325476946</c:v>
                </c:pt>
                <c:pt idx="88">
                  <c:v>7318292.6663828548</c:v>
                </c:pt>
                <c:pt idx="89">
                  <c:v>7719711.247606284</c:v>
                </c:pt>
                <c:pt idx="90">
                  <c:v>8604577.7172667682</c:v>
                </c:pt>
                <c:pt idx="91">
                  <c:v>8370959.8411414372</c:v>
                </c:pt>
                <c:pt idx="92">
                  <c:v>7462830.1396850562</c:v>
                </c:pt>
                <c:pt idx="93">
                  <c:v>7085083.0083304904</c:v>
                </c:pt>
                <c:pt idx="94">
                  <c:v>6906010.1804134734</c:v>
                </c:pt>
                <c:pt idx="95">
                  <c:v>7036501.7572653992</c:v>
                </c:pt>
                <c:pt idx="96">
                  <c:v>7393367.4212029697</c:v>
                </c:pt>
                <c:pt idx="97">
                  <c:v>7060327.8702965677</c:v>
                </c:pt>
                <c:pt idx="98">
                  <c:v>7369257.2742756028</c:v>
                </c:pt>
                <c:pt idx="99">
                  <c:v>7229223.6553222537</c:v>
                </c:pt>
                <c:pt idx="100">
                  <c:v>7558991.2587612923</c:v>
                </c:pt>
                <c:pt idx="101">
                  <c:v>7958218.0084458701</c:v>
                </c:pt>
                <c:pt idx="102">
                  <c:v>8859523.214647742</c:v>
                </c:pt>
                <c:pt idx="103">
                  <c:v>8671933.8008382916</c:v>
                </c:pt>
                <c:pt idx="104">
                  <c:v>7782434.6674621506</c:v>
                </c:pt>
                <c:pt idx="105">
                  <c:v>7393728.3784133261</c:v>
                </c:pt>
                <c:pt idx="106">
                  <c:v>7237669.7816542508</c:v>
                </c:pt>
                <c:pt idx="107">
                  <c:v>7364873.6111979</c:v>
                </c:pt>
                <c:pt idx="108">
                  <c:v>7386791.9265864156</c:v>
                </c:pt>
                <c:pt idx="109">
                  <c:v>7172436.9697014606</c:v>
                </c:pt>
                <c:pt idx="110">
                  <c:v>7415285.7365914853</c:v>
                </c:pt>
                <c:pt idx="111">
                  <c:v>7330047.9061094243</c:v>
                </c:pt>
                <c:pt idx="112">
                  <c:v>7699268.4772477923</c:v>
                </c:pt>
                <c:pt idx="113">
                  <c:v>8070001.4169272995</c:v>
                </c:pt>
                <c:pt idx="114">
                  <c:v>8932949.5711992681</c:v>
                </c:pt>
                <c:pt idx="115">
                  <c:v>8689468.4531491045</c:v>
                </c:pt>
                <c:pt idx="116">
                  <c:v>7815312.140544924</c:v>
                </c:pt>
                <c:pt idx="117">
                  <c:v>7455099.6615011701</c:v>
                </c:pt>
                <c:pt idx="118">
                  <c:v>7279314.5808924297</c:v>
                </c:pt>
                <c:pt idx="119">
                  <c:v>7372545.0215838794</c:v>
                </c:pt>
                <c:pt idx="120">
                  <c:v>7428700.0195881994</c:v>
                </c:pt>
                <c:pt idx="121">
                  <c:v>7101341.9700094424</c:v>
                </c:pt>
                <c:pt idx="122">
                  <c:v>7457671.1009108545</c:v>
                </c:pt>
                <c:pt idx="123">
                  <c:v>7372837.1153898276</c:v>
                </c:pt>
                <c:pt idx="124">
                  <c:v>7742002.616760781</c:v>
                </c:pt>
                <c:pt idx="125">
                  <c:v>8112331.711479255</c:v>
                </c:pt>
                <c:pt idx="126">
                  <c:v>8974710.8114879504</c:v>
                </c:pt>
                <c:pt idx="127">
                  <c:v>8730789.1352984775</c:v>
                </c:pt>
                <c:pt idx="128">
                  <c:v>7856963.2412987771</c:v>
                </c:pt>
                <c:pt idx="129">
                  <c:v>7497081.1808595052</c:v>
                </c:pt>
                <c:pt idx="130">
                  <c:v>7321296.1002507657</c:v>
                </c:pt>
                <c:pt idx="131">
                  <c:v>7414214.478926871</c:v>
                </c:pt>
                <c:pt idx="132">
                  <c:v>7458590.6541747591</c:v>
                </c:pt>
                <c:pt idx="133">
                  <c:v>7131376.6242983462</c:v>
                </c:pt>
                <c:pt idx="134">
                  <c:v>7487902.1457029553</c:v>
                </c:pt>
                <c:pt idx="135">
                  <c:v>7403356.1995866168</c:v>
                </c:pt>
                <c:pt idx="136">
                  <c:v>7772482.4228569316</c:v>
                </c:pt>
                <c:pt idx="137">
                  <c:v>8142523.4781707162</c:v>
                </c:pt>
                <c:pt idx="138">
                  <c:v>9004496.7044728044</c:v>
                </c:pt>
                <c:pt idx="139">
                  <c:v>8760260.8034782168</c:v>
                </c:pt>
                <c:pt idx="140">
                  <c:v>7886670.5780823529</c:v>
                </c:pt>
                <c:pt idx="141">
                  <c:v>7527024.1862469176</c:v>
                </c:pt>
                <c:pt idx="142">
                  <c:v>7351239.1056381781</c:v>
                </c:pt>
                <c:pt idx="143">
                  <c:v>7443934.9084106609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C-4C0C-B932-C0D36881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B72-A15E-1ACF88E0253E}"/>
            </c:ext>
          </c:extLst>
        </c:ser>
        <c:ser>
          <c:idx val="1"/>
          <c:order val="1"/>
          <c:tx>
            <c:strRef>
              <c:f>'Large Use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Monthly'!$U$2:$U$145</c:f>
              <c:numCache>
                <c:formatCode>_(* #,##0_);_(* \(#,##0\);_(* "-"??_);_(@_)</c:formatCode>
                <c:ptCount val="144"/>
                <c:pt idx="0">
                  <c:v>3379934.2250724826</c:v>
                </c:pt>
                <c:pt idx="1">
                  <c:v>3147884.380608324</c:v>
                </c:pt>
                <c:pt idx="2">
                  <c:v>3489840.0205149511</c:v>
                </c:pt>
                <c:pt idx="3">
                  <c:v>3366213.9115443677</c:v>
                </c:pt>
                <c:pt idx="4">
                  <c:v>3494112.5418826491</c:v>
                </c:pt>
                <c:pt idx="5">
                  <c:v>3394782.1870420906</c:v>
                </c:pt>
                <c:pt idx="6">
                  <c:v>3642385.760750086</c:v>
                </c:pt>
                <c:pt idx="7">
                  <c:v>3594419.8879059646</c:v>
                </c:pt>
                <c:pt idx="8">
                  <c:v>3509880.2287538582</c:v>
                </c:pt>
                <c:pt idx="9">
                  <c:v>3429469.2193931104</c:v>
                </c:pt>
                <c:pt idx="10">
                  <c:v>3373044.8524068752</c:v>
                </c:pt>
                <c:pt idx="11">
                  <c:v>3314872.3876271928</c:v>
                </c:pt>
                <c:pt idx="12">
                  <c:v>3356736.03627887</c:v>
                </c:pt>
                <c:pt idx="13">
                  <c:v>3194756.0393060725</c:v>
                </c:pt>
                <c:pt idx="14">
                  <c:v>3466641.8317213384</c:v>
                </c:pt>
                <c:pt idx="15">
                  <c:v>3315093.9884724845</c:v>
                </c:pt>
                <c:pt idx="16">
                  <c:v>3442992.6188107659</c:v>
                </c:pt>
                <c:pt idx="17">
                  <c:v>3343662.2639702079</c:v>
                </c:pt>
                <c:pt idx="18">
                  <c:v>3606286.0802361076</c:v>
                </c:pt>
                <c:pt idx="19">
                  <c:v>3558320.2073919866</c:v>
                </c:pt>
                <c:pt idx="20">
                  <c:v>3473780.5482398802</c:v>
                </c:pt>
                <c:pt idx="21">
                  <c:v>3376511.9256742024</c:v>
                </c:pt>
                <c:pt idx="22">
                  <c:v>3320087.5586879668</c:v>
                </c:pt>
                <c:pt idx="23">
                  <c:v>3261915.0939082848</c:v>
                </c:pt>
                <c:pt idx="24">
                  <c:v>3334201.4007703532</c:v>
                </c:pt>
                <c:pt idx="25">
                  <c:v>3102151.5563061945</c:v>
                </c:pt>
                <c:pt idx="26">
                  <c:v>3444107.1962128216</c:v>
                </c:pt>
                <c:pt idx="27">
                  <c:v>3302592.4466228066</c:v>
                </c:pt>
                <c:pt idx="28">
                  <c:v>3430491.076961088</c:v>
                </c:pt>
                <c:pt idx="29">
                  <c:v>3331160.7221205295</c:v>
                </c:pt>
                <c:pt idx="30">
                  <c:v>3559861.4266119357</c:v>
                </c:pt>
                <c:pt idx="31">
                  <c:v>3511895.5537678143</c:v>
                </c:pt>
                <c:pt idx="32">
                  <c:v>3427355.8946157079</c:v>
                </c:pt>
                <c:pt idx="33">
                  <c:v>3357757.0240681367</c:v>
                </c:pt>
                <c:pt idx="34">
                  <c:v>3301332.6570819016</c:v>
                </c:pt>
                <c:pt idx="35">
                  <c:v>3243160.1923022191</c:v>
                </c:pt>
                <c:pt idx="36">
                  <c:v>3292484.6157069006</c:v>
                </c:pt>
                <c:pt idx="37">
                  <c:v>3060434.771242741</c:v>
                </c:pt>
                <c:pt idx="38">
                  <c:v>3402390.4111493691</c:v>
                </c:pt>
                <c:pt idx="39">
                  <c:v>3262578.641667624</c:v>
                </c:pt>
                <c:pt idx="40">
                  <c:v>3390477.2720059054</c:v>
                </c:pt>
                <c:pt idx="41">
                  <c:v>3291146.9171653474</c:v>
                </c:pt>
                <c:pt idx="42">
                  <c:v>3543645.2462770157</c:v>
                </c:pt>
                <c:pt idx="43">
                  <c:v>3495679.3734328947</c:v>
                </c:pt>
                <c:pt idx="44">
                  <c:v>3411139.7142807883</c:v>
                </c:pt>
                <c:pt idx="45">
                  <c:v>3321111.3819904714</c:v>
                </c:pt>
                <c:pt idx="46">
                  <c:v>3264687.0150042358</c:v>
                </c:pt>
                <c:pt idx="47">
                  <c:v>3206514.5502245538</c:v>
                </c:pt>
                <c:pt idx="48">
                  <c:v>3243212.5625428814</c:v>
                </c:pt>
                <c:pt idx="49">
                  <c:v>3011162.7180787227</c:v>
                </c:pt>
                <c:pt idx="50">
                  <c:v>3353118.3579853498</c:v>
                </c:pt>
                <c:pt idx="51">
                  <c:v>3228809.7970601572</c:v>
                </c:pt>
                <c:pt idx="52">
                  <c:v>3356708.4273984386</c:v>
                </c:pt>
                <c:pt idx="53">
                  <c:v>3257378.0725578801</c:v>
                </c:pt>
                <c:pt idx="54">
                  <c:v>3497285.6880700528</c:v>
                </c:pt>
                <c:pt idx="55">
                  <c:v>3449319.8152259314</c:v>
                </c:pt>
                <c:pt idx="56">
                  <c:v>3364780.156073825</c:v>
                </c:pt>
                <c:pt idx="57">
                  <c:v>3277030.1633858187</c:v>
                </c:pt>
                <c:pt idx="58">
                  <c:v>3220605.7963995836</c:v>
                </c:pt>
                <c:pt idx="59">
                  <c:v>3162433.3316199011</c:v>
                </c:pt>
                <c:pt idx="60">
                  <c:v>3182498.4149152781</c:v>
                </c:pt>
                <c:pt idx="61">
                  <c:v>3020518.4179424806</c:v>
                </c:pt>
                <c:pt idx="62">
                  <c:v>2948208.6319637718</c:v>
                </c:pt>
                <c:pt idx="63">
                  <c:v>2296744.3732443117</c:v>
                </c:pt>
                <c:pt idx="64">
                  <c:v>2424643.0035825931</c:v>
                </c:pt>
                <c:pt idx="65">
                  <c:v>2669508.2271360103</c:v>
                </c:pt>
                <c:pt idx="66">
                  <c:v>3258961.4342424818</c:v>
                </c:pt>
                <c:pt idx="67">
                  <c:v>3210995.5613983609</c:v>
                </c:pt>
                <c:pt idx="68">
                  <c:v>3126455.9022462545</c:v>
                </c:pt>
                <c:pt idx="69">
                  <c:v>2935046.7072835392</c:v>
                </c:pt>
                <c:pt idx="70">
                  <c:v>2878622.3402973036</c:v>
                </c:pt>
                <c:pt idx="71">
                  <c:v>2820449.8755176216</c:v>
                </c:pt>
                <c:pt idx="72">
                  <c:v>2853895.2168276734</c:v>
                </c:pt>
                <c:pt idx="73">
                  <c:v>2621845.3723635147</c:v>
                </c:pt>
                <c:pt idx="74">
                  <c:v>2963801.0122701419</c:v>
                </c:pt>
                <c:pt idx="75">
                  <c:v>2789967.4379620058</c:v>
                </c:pt>
                <c:pt idx="76">
                  <c:v>2917866.0683002872</c:v>
                </c:pt>
                <c:pt idx="77">
                  <c:v>2818535.7134597292</c:v>
                </c:pt>
                <c:pt idx="78">
                  <c:v>3111571.688675181</c:v>
                </c:pt>
                <c:pt idx="79">
                  <c:v>3063605.8158310596</c:v>
                </c:pt>
                <c:pt idx="80">
                  <c:v>2979066.1566789532</c:v>
                </c:pt>
                <c:pt idx="81">
                  <c:v>2900668.9055473441</c:v>
                </c:pt>
                <c:pt idx="82">
                  <c:v>2844244.538561109</c:v>
                </c:pt>
                <c:pt idx="83">
                  <c:v>2786072.0737814265</c:v>
                </c:pt>
                <c:pt idx="84">
                  <c:v>2978883.8005937114</c:v>
                </c:pt>
                <c:pt idx="85">
                  <c:v>2746833.9561295523</c:v>
                </c:pt>
                <c:pt idx="86">
                  <c:v>3088789.5960361799</c:v>
                </c:pt>
                <c:pt idx="87">
                  <c:v>2953494.6085678637</c:v>
                </c:pt>
                <c:pt idx="88">
                  <c:v>3081393.2389061451</c:v>
                </c:pt>
                <c:pt idx="89">
                  <c:v>2982062.8840655871</c:v>
                </c:pt>
                <c:pt idx="90">
                  <c:v>3215973.32178587</c:v>
                </c:pt>
                <c:pt idx="91">
                  <c:v>3168007.4489417495</c:v>
                </c:pt>
                <c:pt idx="92">
                  <c:v>3083467.7897896427</c:v>
                </c:pt>
                <c:pt idx="93">
                  <c:v>2996471.6440299586</c:v>
                </c:pt>
                <c:pt idx="94">
                  <c:v>2940047.277043723</c:v>
                </c:pt>
                <c:pt idx="95">
                  <c:v>2881874.8122640415</c:v>
                </c:pt>
                <c:pt idx="96">
                  <c:v>3120024.4472362217</c:v>
                </c:pt>
                <c:pt idx="97">
                  <c:v>2887974.6027720631</c:v>
                </c:pt>
                <c:pt idx="98">
                  <c:v>3229930.2426786902</c:v>
                </c:pt>
                <c:pt idx="99">
                  <c:v>3087567.152812792</c:v>
                </c:pt>
                <c:pt idx="100">
                  <c:v>3215465.7831510729</c:v>
                </c:pt>
                <c:pt idx="101">
                  <c:v>3116135.4283105149</c:v>
                </c:pt>
                <c:pt idx="102">
                  <c:v>3355081.31152973</c:v>
                </c:pt>
                <c:pt idx="103">
                  <c:v>3307115.4386856086</c:v>
                </c:pt>
                <c:pt idx="104">
                  <c:v>3222575.7795335022</c:v>
                </c:pt>
                <c:pt idx="105">
                  <c:v>3139747.8403273541</c:v>
                </c:pt>
                <c:pt idx="106">
                  <c:v>3083323.4733411185</c:v>
                </c:pt>
                <c:pt idx="107">
                  <c:v>3025151.0085614361</c:v>
                </c:pt>
                <c:pt idx="108">
                  <c:v>3077285.0341669391</c:v>
                </c:pt>
                <c:pt idx="109">
                  <c:v>2915305.0371941417</c:v>
                </c:pt>
                <c:pt idx="110">
                  <c:v>3187190.8296094076</c:v>
                </c:pt>
                <c:pt idx="111">
                  <c:v>3048378.5897596441</c:v>
                </c:pt>
                <c:pt idx="112">
                  <c:v>3176277.2200979255</c:v>
                </c:pt>
                <c:pt idx="113">
                  <c:v>3076946.8652573675</c:v>
                </c:pt>
                <c:pt idx="114">
                  <c:v>3317245.0532727926</c:v>
                </c:pt>
                <c:pt idx="115">
                  <c:v>3269279.1804286717</c:v>
                </c:pt>
                <c:pt idx="116">
                  <c:v>3184739.5212765648</c:v>
                </c:pt>
                <c:pt idx="117">
                  <c:v>3110127.9928257898</c:v>
                </c:pt>
                <c:pt idx="118">
                  <c:v>3053703.6258395547</c:v>
                </c:pt>
                <c:pt idx="119">
                  <c:v>2995531.1610598727</c:v>
                </c:pt>
                <c:pt idx="120">
                  <c:v>3041468.522917524</c:v>
                </c:pt>
                <c:pt idx="121">
                  <c:v>2809418.6784533649</c:v>
                </c:pt>
                <c:pt idx="122">
                  <c:v>3151374.3183599925</c:v>
                </c:pt>
                <c:pt idx="123">
                  <c:v>3008068.2142833625</c:v>
                </c:pt>
                <c:pt idx="124">
                  <c:v>3135966.8446216434</c:v>
                </c:pt>
                <c:pt idx="125">
                  <c:v>3036636.4897810854</c:v>
                </c:pt>
                <c:pt idx="126">
                  <c:v>3286749.031954858</c:v>
                </c:pt>
                <c:pt idx="127">
                  <c:v>3238783.1591107366</c:v>
                </c:pt>
                <c:pt idx="128">
                  <c:v>3154243.4999586302</c:v>
                </c:pt>
                <c:pt idx="129">
                  <c:v>3067849.955075162</c:v>
                </c:pt>
                <c:pt idx="130">
                  <c:v>3011425.5880889264</c:v>
                </c:pt>
                <c:pt idx="131">
                  <c:v>2953253.1233092439</c:v>
                </c:pt>
                <c:pt idx="132">
                  <c:v>3006796.4870985416</c:v>
                </c:pt>
                <c:pt idx="133">
                  <c:v>2774746.6426343825</c:v>
                </c:pt>
                <c:pt idx="134">
                  <c:v>3116702.2825410101</c:v>
                </c:pt>
                <c:pt idx="135">
                  <c:v>2973316.1787710492</c:v>
                </c:pt>
                <c:pt idx="136">
                  <c:v>3101214.8091093306</c:v>
                </c:pt>
                <c:pt idx="137">
                  <c:v>3001884.4542687726</c:v>
                </c:pt>
                <c:pt idx="138">
                  <c:v>3252047.4715949371</c:v>
                </c:pt>
                <c:pt idx="139">
                  <c:v>3204081.5987508162</c:v>
                </c:pt>
                <c:pt idx="140">
                  <c:v>3119541.9395987093</c:v>
                </c:pt>
                <c:pt idx="141">
                  <c:v>3033110.1999938921</c:v>
                </c:pt>
                <c:pt idx="142">
                  <c:v>2976685.833007657</c:v>
                </c:pt>
                <c:pt idx="143">
                  <c:v>2918513.368227975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B72-A15E-1ACF88E0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Summary'!$C$5:$C$16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Summary'!$E$5:$E$16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473890033.86443418</c:v>
                </c:pt>
                <c:pt idx="1">
                  <c:v>483059068.90388244</c:v>
                </c:pt>
                <c:pt idx="2">
                  <c:v>492228103.94333065</c:v>
                </c:pt>
                <c:pt idx="3">
                  <c:v>501397138.98277897</c:v>
                </c:pt>
                <c:pt idx="4">
                  <c:v>510566174.02222723</c:v>
                </c:pt>
                <c:pt idx="5">
                  <c:v>536193323.82045138</c:v>
                </c:pt>
                <c:pt idx="6">
                  <c:v>541974394.51871467</c:v>
                </c:pt>
                <c:pt idx="7">
                  <c:v>545859488.20181513</c:v>
                </c:pt>
                <c:pt idx="8">
                  <c:v>551146004.63135195</c:v>
                </c:pt>
                <c:pt idx="9">
                  <c:v>560569549.19384456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Summary'!$K$5:$K$16</c:f>
              <c:numCache>
                <c:formatCode>#,##0</c:formatCode>
                <c:ptCount val="12"/>
                <c:pt idx="0">
                  <c:v>472144174.86443418</c:v>
                </c:pt>
                <c:pt idx="1">
                  <c:v>474929564.40388244</c:v>
                </c:pt>
                <c:pt idx="2">
                  <c:v>471009220.44333065</c:v>
                </c:pt>
                <c:pt idx="3">
                  <c:v>473744384.12673718</c:v>
                </c:pt>
                <c:pt idx="4">
                  <c:v>481333985.02222723</c:v>
                </c:pt>
                <c:pt idx="5">
                  <c:v>506962999.82045138</c:v>
                </c:pt>
                <c:pt idx="6">
                  <c:v>512648845.5147897</c:v>
                </c:pt>
                <c:pt idx="7">
                  <c:v>516358871.2506271</c:v>
                </c:pt>
                <c:pt idx="8">
                  <c:v>521492228.30251592</c:v>
                </c:pt>
                <c:pt idx="9">
                  <c:v>529802317.15968937</c:v>
                </c:pt>
                <c:pt idx="10">
                  <c:v>543766043.23787534</c:v>
                </c:pt>
                <c:pt idx="11">
                  <c:v>556872807.6816709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Summary'!$N$5:$N$16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131261385.22153848</c:v>
                </c:pt>
                <c:pt idx="1">
                  <c:v>133898774.14910521</c:v>
                </c:pt>
                <c:pt idx="2">
                  <c:v>133851674.43689862</c:v>
                </c:pt>
                <c:pt idx="3">
                  <c:v>134534610.34864065</c:v>
                </c:pt>
                <c:pt idx="4">
                  <c:v>134452475.51738438</c:v>
                </c:pt>
                <c:pt idx="5">
                  <c:v>125646211.44157562</c:v>
                </c:pt>
                <c:pt idx="6">
                  <c:v>126461527.45756</c:v>
                </c:pt>
                <c:pt idx="7">
                  <c:v>131768877.26448224</c:v>
                </c:pt>
                <c:pt idx="8">
                  <c:v>138077055.20041618</c:v>
                </c:pt>
                <c:pt idx="9">
                  <c:v>138963755.40990922</c:v>
                </c:pt>
                <c:pt idx="10">
                  <c:v>136828713.43710113</c:v>
                </c:pt>
                <c:pt idx="11">
                  <c:v>137679565.93393588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Summary'!$V$5:$V$16</c:f>
              <c:numCache>
                <c:formatCode>#,##0</c:formatCode>
                <c:ptCount val="12"/>
                <c:pt idx="0">
                  <c:v>130746257.60153848</c:v>
                </c:pt>
                <c:pt idx="1">
                  <c:v>131656502.9841052</c:v>
                </c:pt>
                <c:pt idx="2">
                  <c:v>129139749.52460214</c:v>
                </c:pt>
                <c:pt idx="3">
                  <c:v>128135888.11715513</c:v>
                </c:pt>
                <c:pt idx="4">
                  <c:v>127778721.77959138</c:v>
                </c:pt>
                <c:pt idx="5">
                  <c:v>119060909.93427914</c:v>
                </c:pt>
                <c:pt idx="6">
                  <c:v>119592909.49706157</c:v>
                </c:pt>
                <c:pt idx="7">
                  <c:v>123763253.63176927</c:v>
                </c:pt>
                <c:pt idx="8">
                  <c:v>129134542.67714538</c:v>
                </c:pt>
                <c:pt idx="9">
                  <c:v>128985128.6835542</c:v>
                </c:pt>
                <c:pt idx="10">
                  <c:v>128179737.43992142</c:v>
                </c:pt>
                <c:pt idx="11">
                  <c:v>130276902.35065086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Summary'!$Y$5:$Y$15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Summary'!$AA$5:$AA$15</c:f>
              <c:numCache>
                <c:formatCode>#,##0</c:formatCode>
                <c:ptCount val="11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Summary'!$AC$5:$AC$16</c:f>
              <c:numCache>
                <c:formatCode>#,##0</c:formatCode>
                <c:ptCount val="12"/>
                <c:pt idx="0">
                  <c:v>331533903.92446721</c:v>
                </c:pt>
                <c:pt idx="1">
                  <c:v>333645617.39460927</c:v>
                </c:pt>
                <c:pt idx="2">
                  <c:v>334621063.11135429</c:v>
                </c:pt>
                <c:pt idx="3">
                  <c:v>336720786.19931859</c:v>
                </c:pt>
                <c:pt idx="4">
                  <c:v>338206997.62545574</c:v>
                </c:pt>
                <c:pt idx="5">
                  <c:v>318734741.37941402</c:v>
                </c:pt>
                <c:pt idx="6">
                  <c:v>321958005.70490837</c:v>
                </c:pt>
                <c:pt idx="7">
                  <c:v>333281601.54866946</c:v>
                </c:pt>
                <c:pt idx="8">
                  <c:v>343114337.04016</c:v>
                </c:pt>
                <c:pt idx="9">
                  <c:v>344863389.29040772</c:v>
                </c:pt>
                <c:pt idx="10">
                  <c:v>344784456.0821296</c:v>
                </c:pt>
                <c:pt idx="11">
                  <c:v>345452241.23846954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Summary'!$AG$5:$AG$16</c:f>
              <c:numCache>
                <c:formatCode>#,##0</c:formatCode>
                <c:ptCount val="12"/>
                <c:pt idx="0">
                  <c:v>330815436.45446718</c:v>
                </c:pt>
                <c:pt idx="1">
                  <c:v>331398637.06460929</c:v>
                </c:pt>
                <c:pt idx="2">
                  <c:v>329801832.15272731</c:v>
                </c:pt>
                <c:pt idx="3">
                  <c:v>329494692.25764823</c:v>
                </c:pt>
                <c:pt idx="4">
                  <c:v>330391328.13140881</c:v>
                </c:pt>
                <c:pt idx="5">
                  <c:v>310949756.54078704</c:v>
                </c:pt>
                <c:pt idx="6">
                  <c:v>313321853.80133212</c:v>
                </c:pt>
                <c:pt idx="7">
                  <c:v>322600059.29068702</c:v>
                </c:pt>
                <c:pt idx="8">
                  <c:v>330636830.21801919</c:v>
                </c:pt>
                <c:pt idx="9">
                  <c:v>330668073.25240904</c:v>
                </c:pt>
                <c:pt idx="10">
                  <c:v>331421751.06413126</c:v>
                </c:pt>
                <c:pt idx="11">
                  <c:v>332715634.94292539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Summary'!$BH$5:$BH$16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Summary'!$BK$3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  <c:pt idx="10">
                  <c:v>4533005.3102651397</c:v>
                </c:pt>
                <c:pt idx="11">
                  <c:v>4595142.2306357278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Summary'!$BJ$3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Summary'!$BJ$5:$BJ$14</c:f>
              <c:numCache>
                <c:formatCode>#,##0</c:formatCode>
                <c:ptCount val="10"/>
                <c:pt idx="0">
                  <c:v>725.80593502241743</c:v>
                </c:pt>
                <c:pt idx="1">
                  <c:v>725.26045901301904</c:v>
                </c:pt>
                <c:pt idx="2">
                  <c:v>378.70923412736067</c:v>
                </c:pt>
                <c:pt idx="3">
                  <c:v>305.29858014126268</c:v>
                </c:pt>
                <c:pt idx="4">
                  <c:v>308.19233529496188</c:v>
                </c:pt>
                <c:pt idx="5">
                  <c:v>311.68639607041314</c:v>
                </c:pt>
                <c:pt idx="6">
                  <c:v>310.0454960998253</c:v>
                </c:pt>
                <c:pt idx="7">
                  <c:v>312.07709096029288</c:v>
                </c:pt>
                <c:pt idx="8">
                  <c:v>312.50596992097883</c:v>
                </c:pt>
                <c:pt idx="9">
                  <c:v>311.41382035499822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Summary'!$BJ$14:$BJ$16)</c:f>
              <c:numCache>
                <c:formatCode>General</c:formatCode>
                <c:ptCount val="12"/>
                <c:pt idx="9" formatCode="#,##0">
                  <c:v>311.41382035499822</c:v>
                </c:pt>
                <c:pt idx="10" formatCode="#,##0">
                  <c:v>311.99896041208996</c:v>
                </c:pt>
                <c:pt idx="11" formatCode="#,##0">
                  <c:v>311.99896041208996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Weather!$ET$1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Weather!$ET$2:$ET$121</c:f>
              <c:numCache>
                <c:formatCode>_(* #,##0_);_(* \(#,##0\);_(* "-"??_);_(@_)</c:formatCode>
                <c:ptCount val="120"/>
                <c:pt idx="0">
                  <c:v>2089.0638378200706</c:v>
                </c:pt>
                <c:pt idx="1">
                  <c:v>2412.012976719684</c:v>
                </c:pt>
                <c:pt idx="2">
                  <c:v>1879.5768428728024</c:v>
                </c:pt>
                <c:pt idx="3">
                  <c:v>1642.6123629344647</c:v>
                </c:pt>
                <c:pt idx="4">
                  <c:v>1604.4346990852487</c:v>
                </c:pt>
                <c:pt idx="5">
                  <c:v>1595.0875394585169</c:v>
                </c:pt>
                <c:pt idx="6">
                  <c:v>1741.6916032443003</c:v>
                </c:pt>
                <c:pt idx="7">
                  <c:v>1680.8151567821772</c:v>
                </c:pt>
                <c:pt idx="8">
                  <c:v>1648.3705122051635</c:v>
                </c:pt>
                <c:pt idx="9">
                  <c:v>1605.6899046523736</c:v>
                </c:pt>
                <c:pt idx="10">
                  <c:v>1760.7328860107086</c:v>
                </c:pt>
                <c:pt idx="11">
                  <c:v>1824.3569330578121</c:v>
                </c:pt>
                <c:pt idx="12">
                  <c:v>2034.9366381362518</c:v>
                </c:pt>
                <c:pt idx="13">
                  <c:v>1941.4139032580053</c:v>
                </c:pt>
                <c:pt idx="14">
                  <c:v>1946.1972634119625</c:v>
                </c:pt>
                <c:pt idx="15">
                  <c:v>1659.8056969318543</c:v>
                </c:pt>
                <c:pt idx="16">
                  <c:v>1604.3445157633951</c:v>
                </c:pt>
                <c:pt idx="17">
                  <c:v>1608.0094191934436</c:v>
                </c:pt>
                <c:pt idx="18">
                  <c:v>1879.3071222993417</c:v>
                </c:pt>
                <c:pt idx="19">
                  <c:v>1867.4816333446013</c:v>
                </c:pt>
                <c:pt idx="20">
                  <c:v>1624.3219122738244</c:v>
                </c:pt>
                <c:pt idx="21">
                  <c:v>1636.5235396771577</c:v>
                </c:pt>
                <c:pt idx="22">
                  <c:v>1694.4957381160057</c:v>
                </c:pt>
                <c:pt idx="23">
                  <c:v>1933.0841738183706</c:v>
                </c:pt>
                <c:pt idx="24">
                  <c:v>2142.7441769319425</c:v>
                </c:pt>
                <c:pt idx="25">
                  <c:v>1969.2823027241943</c:v>
                </c:pt>
                <c:pt idx="26">
                  <c:v>1905.1352857713171</c:v>
                </c:pt>
                <c:pt idx="27">
                  <c:v>1647.6382219939176</c:v>
                </c:pt>
                <c:pt idx="28">
                  <c:v>1705.2454176045751</c:v>
                </c:pt>
                <c:pt idx="29">
                  <c:v>1556.2109823696737</c:v>
                </c:pt>
                <c:pt idx="30">
                  <c:v>1929.9366762236671</c:v>
                </c:pt>
                <c:pt idx="31">
                  <c:v>1661.5143356058295</c:v>
                </c:pt>
                <c:pt idx="32">
                  <c:v>1758.833463887355</c:v>
                </c:pt>
                <c:pt idx="33">
                  <c:v>1760.5086495773464</c:v>
                </c:pt>
                <c:pt idx="34">
                  <c:v>1842.1529813897407</c:v>
                </c:pt>
                <c:pt idx="35">
                  <c:v>2007.1222592523125</c:v>
                </c:pt>
                <c:pt idx="36">
                  <c:v>2097.2511355401793</c:v>
                </c:pt>
                <c:pt idx="37">
                  <c:v>1853.5604037694459</c:v>
                </c:pt>
                <c:pt idx="38">
                  <c:v>1788.0304269652249</c:v>
                </c:pt>
                <c:pt idx="39">
                  <c:v>1739.492374746311</c:v>
                </c:pt>
                <c:pt idx="40">
                  <c:v>1430.8014394875709</c:v>
                </c:pt>
                <c:pt idx="41">
                  <c:v>1727.3716501167223</c:v>
                </c:pt>
                <c:pt idx="42">
                  <c:v>1816.7068362647929</c:v>
                </c:pt>
                <c:pt idx="43">
                  <c:v>1629.5544678282947</c:v>
                </c:pt>
                <c:pt idx="44">
                  <c:v>1715.5411450983468</c:v>
                </c:pt>
                <c:pt idx="45">
                  <c:v>1719.118301124385</c:v>
                </c:pt>
                <c:pt idx="46">
                  <c:v>1816.9454616359776</c:v>
                </c:pt>
                <c:pt idx="47">
                  <c:v>1834.9455614047167</c:v>
                </c:pt>
                <c:pt idx="48">
                  <c:v>2145.9546888026825</c:v>
                </c:pt>
                <c:pt idx="49">
                  <c:v>2059.5397223532013</c:v>
                </c:pt>
                <c:pt idx="50">
                  <c:v>1900.2208228686466</c:v>
                </c:pt>
                <c:pt idx="51">
                  <c:v>1633.3350222926399</c:v>
                </c:pt>
                <c:pt idx="52">
                  <c:v>1525.2581945280019</c:v>
                </c:pt>
                <c:pt idx="53">
                  <c:v>1579.6777746926202</c:v>
                </c:pt>
                <c:pt idx="54">
                  <c:v>1830.6248379997105</c:v>
                </c:pt>
                <c:pt idx="55">
                  <c:v>1612.0307343640463</c:v>
                </c:pt>
                <c:pt idx="56">
                  <c:v>1549.2897366666105</c:v>
                </c:pt>
                <c:pt idx="57">
                  <c:v>1475.9569999944445</c:v>
                </c:pt>
                <c:pt idx="58">
                  <c:v>1938.7133475740238</c:v>
                </c:pt>
                <c:pt idx="59">
                  <c:v>1846.8585723900962</c:v>
                </c:pt>
                <c:pt idx="60">
                  <c:v>1898.6200153358609</c:v>
                </c:pt>
                <c:pt idx="61">
                  <c:v>1868.9304817931634</c:v>
                </c:pt>
                <c:pt idx="62">
                  <c:v>1659.5709514710634</c:v>
                </c:pt>
                <c:pt idx="63">
                  <c:v>1375.9063479298288</c:v>
                </c:pt>
                <c:pt idx="64">
                  <c:v>1313.1302302186393</c:v>
                </c:pt>
                <c:pt idx="65">
                  <c:v>1500.5581224212392</c:v>
                </c:pt>
                <c:pt idx="66">
                  <c:v>1728.9164047290728</c:v>
                </c:pt>
                <c:pt idx="67">
                  <c:v>1608.0665646375444</c:v>
                </c:pt>
                <c:pt idx="68">
                  <c:v>1421.4703521275401</c:v>
                </c:pt>
                <c:pt idx="69">
                  <c:v>1330.87274503761</c:v>
                </c:pt>
                <c:pt idx="70">
                  <c:v>1428.6454278662177</c:v>
                </c:pt>
                <c:pt idx="71">
                  <c:v>1903.2304400896774</c:v>
                </c:pt>
                <c:pt idx="72">
                  <c:v>1800.0993260507209</c:v>
                </c:pt>
                <c:pt idx="73">
                  <c:v>1709.6364293284842</c:v>
                </c:pt>
                <c:pt idx="74">
                  <c:v>1792.6338119909433</c:v>
                </c:pt>
                <c:pt idx="75">
                  <c:v>1465.0934071198405</c:v>
                </c:pt>
                <c:pt idx="76">
                  <c:v>1394.273482788333</c:v>
                </c:pt>
                <c:pt idx="77">
                  <c:v>1569.1582716566834</c:v>
                </c:pt>
                <c:pt idx="78">
                  <c:v>1575.3367537804977</c:v>
                </c:pt>
                <c:pt idx="79">
                  <c:v>1758.2286473376278</c:v>
                </c:pt>
                <c:pt idx="80">
                  <c:v>1372.0439203010349</c:v>
                </c:pt>
                <c:pt idx="81">
                  <c:v>1585.9780619797657</c:v>
                </c:pt>
                <c:pt idx="82">
                  <c:v>1615.5602229524338</c:v>
                </c:pt>
                <c:pt idx="83">
                  <c:v>1837.3688262866294</c:v>
                </c:pt>
                <c:pt idx="84">
                  <c:v>2074.4708359540828</c:v>
                </c:pt>
                <c:pt idx="85">
                  <c:v>2185.293768950432</c:v>
                </c:pt>
                <c:pt idx="86">
                  <c:v>1783.5173778617752</c:v>
                </c:pt>
                <c:pt idx="87">
                  <c:v>1695.6974693884501</c:v>
                </c:pt>
                <c:pt idx="88">
                  <c:v>1538.904124500169</c:v>
                </c:pt>
                <c:pt idx="89">
                  <c:v>1666.0602696331594</c:v>
                </c:pt>
                <c:pt idx="90">
                  <c:v>1817.7173924926478</c:v>
                </c:pt>
                <c:pt idx="91">
                  <c:v>1681.9100163369117</c:v>
                </c:pt>
                <c:pt idx="92">
                  <c:v>1691.0035431226781</c:v>
                </c:pt>
                <c:pt idx="93">
                  <c:v>1591.9978850742034</c:v>
                </c:pt>
                <c:pt idx="94">
                  <c:v>1674.3402239518173</c:v>
                </c:pt>
                <c:pt idx="95">
                  <c:v>1972.949122351868</c:v>
                </c:pt>
                <c:pt idx="96">
                  <c:v>2003.4273907403553</c:v>
                </c:pt>
                <c:pt idx="97">
                  <c:v>1922.0598344242539</c:v>
                </c:pt>
                <c:pt idx="98">
                  <c:v>1714.0025065085886</c:v>
                </c:pt>
                <c:pt idx="99">
                  <c:v>1566.8882825689839</c:v>
                </c:pt>
                <c:pt idx="100">
                  <c:v>1544.9179040152837</c:v>
                </c:pt>
                <c:pt idx="101">
                  <c:v>1727.1680914828326</c:v>
                </c:pt>
                <c:pt idx="102">
                  <c:v>1881.4838216438477</c:v>
                </c:pt>
                <c:pt idx="103">
                  <c:v>1744.0164847905965</c:v>
                </c:pt>
                <c:pt idx="104">
                  <c:v>1705.220945807881</c:v>
                </c:pt>
                <c:pt idx="105">
                  <c:v>1615.3486011167606</c:v>
                </c:pt>
                <c:pt idx="106">
                  <c:v>1817.4370559253859</c:v>
                </c:pt>
                <c:pt idx="107">
                  <c:v>1837.5442328926104</c:v>
                </c:pt>
                <c:pt idx="108">
                  <c:v>2064.142633812191</c:v>
                </c:pt>
                <c:pt idx="109">
                  <c:v>1902.8192158218719</c:v>
                </c:pt>
                <c:pt idx="110">
                  <c:v>1759.0707528970795</c:v>
                </c:pt>
                <c:pt idx="111">
                  <c:v>1548.6963484221856</c:v>
                </c:pt>
                <c:pt idx="112">
                  <c:v>1608.7224122877508</c:v>
                </c:pt>
                <c:pt idx="113">
                  <c:v>1755.7516581454463</c:v>
                </c:pt>
                <c:pt idx="114">
                  <c:v>1842.7982430131106</c:v>
                </c:pt>
                <c:pt idx="115">
                  <c:v>1523.3494173253594</c:v>
                </c:pt>
                <c:pt idx="116">
                  <c:v>1532.4066936750253</c:v>
                </c:pt>
                <c:pt idx="117">
                  <c:v>1559.1385792000465</c:v>
                </c:pt>
                <c:pt idx="118">
                  <c:v>1801.5811409272608</c:v>
                </c:pt>
                <c:pt idx="119">
                  <c:v>2099.0855364655813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Summary'!$BT$3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2509347</c:v>
                </c:pt>
                <c:pt idx="1">
                  <c:v>2501224</c:v>
                </c:pt>
                <c:pt idx="2">
                  <c:v>2510071</c:v>
                </c:pt>
                <c:pt idx="3">
                  <c:v>2522886</c:v>
                </c:pt>
                <c:pt idx="4">
                  <c:v>2551978</c:v>
                </c:pt>
                <c:pt idx="5">
                  <c:v>2565642</c:v>
                </c:pt>
                <c:pt idx="6">
                  <c:v>2615361</c:v>
                </c:pt>
                <c:pt idx="7">
                  <c:v>2750057</c:v>
                </c:pt>
                <c:pt idx="8">
                  <c:v>2811443</c:v>
                </c:pt>
                <c:pt idx="9">
                  <c:v>2859026.0000000005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Summary'!$BW$3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Summary'!$BX$5:$BX$13,'Normalized Annual Summary'!$BW$14:$BW$16)</c:f>
              <c:numCache>
                <c:formatCode>General</c:formatCode>
                <c:ptCount val="12"/>
                <c:pt idx="9" formatCode="#,##0">
                  <c:v>2859026.0000000005</c:v>
                </c:pt>
                <c:pt idx="10" formatCode="#,##0">
                  <c:v>2879864.7535191379</c:v>
                </c:pt>
                <c:pt idx="11" formatCode="#,##0">
                  <c:v>2898787.7721564621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61440"/>
        <c:axId val="177662976"/>
      </c:line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Summary'!$BV$3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Summary'!$BV$5:$BV$14</c:f>
              <c:numCache>
                <c:formatCode>#,##0</c:formatCode>
                <c:ptCount val="10"/>
                <c:pt idx="0">
                  <c:v>9732.4382676147397</c:v>
                </c:pt>
                <c:pt idx="1">
                  <c:v>10157.254822335026</c:v>
                </c:pt>
                <c:pt idx="2">
                  <c:v>10200.085336945478</c:v>
                </c:pt>
                <c:pt idx="3">
                  <c:v>10176.346890756304</c:v>
                </c:pt>
                <c:pt idx="4">
                  <c:v>10342.362715298885</c:v>
                </c:pt>
                <c:pt idx="5">
                  <c:v>10134.201448321264</c:v>
                </c:pt>
                <c:pt idx="6">
                  <c:v>10402.496519721579</c:v>
                </c:pt>
                <c:pt idx="7">
                  <c:v>10884.130606860159</c:v>
                </c:pt>
                <c:pt idx="8">
                  <c:v>10844.524590163934</c:v>
                </c:pt>
                <c:pt idx="9">
                  <c:v>11017.441233140657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Summary'!$BV$14:$BV$16)</c:f>
              <c:numCache>
                <c:formatCode>General</c:formatCode>
                <c:ptCount val="12"/>
                <c:pt idx="9" formatCode="#,##0">
                  <c:v>11017.441233140657</c:v>
                </c:pt>
                <c:pt idx="10" formatCode="#,##0">
                  <c:v>10915.365476721583</c:v>
                </c:pt>
                <c:pt idx="11" formatCode="#,##0">
                  <c:v>10915.365476721583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02400"/>
        <c:axId val="177703936"/>
      </c:lineChart>
      <c:catAx>
        <c:axId val="177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3936"/>
        <c:crosses val="autoZero"/>
        <c:auto val="1"/>
        <c:lblAlgn val="ctr"/>
        <c:lblOffset val="100"/>
        <c:noMultiLvlLbl val="0"/>
      </c:catAx>
      <c:valAx>
        <c:axId val="1777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Connection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Summary'!$C$47:$C$58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Summary'!$E$47:$E$58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Summary'!$G$47:$G$58</c:f>
              <c:numCache>
                <c:formatCode>#,##0</c:formatCode>
                <c:ptCount val="12"/>
                <c:pt idx="0">
                  <c:v>477930583.40813684</c:v>
                </c:pt>
                <c:pt idx="1">
                  <c:v>479975405.59613615</c:v>
                </c:pt>
                <c:pt idx="2">
                  <c:v>493193521.50293279</c:v>
                </c:pt>
                <c:pt idx="3">
                  <c:v>496478661.00888073</c:v>
                </c:pt>
                <c:pt idx="4">
                  <c:v>508627721.79848683</c:v>
                </c:pt>
                <c:pt idx="5">
                  <c:v>546759303.81643105</c:v>
                </c:pt>
                <c:pt idx="6">
                  <c:v>541867372.71503544</c:v>
                </c:pt>
                <c:pt idx="7">
                  <c:v>534196422.7342031</c:v>
                </c:pt>
                <c:pt idx="8">
                  <c:v>555261722.39818954</c:v>
                </c:pt>
                <c:pt idx="9">
                  <c:v>562588728.95895648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Summary'!$K$47:$K$58</c:f>
              <c:numCache>
                <c:formatCode>#,##0</c:formatCode>
                <c:ptCount val="12"/>
                <c:pt idx="0">
                  <c:v>476184724.40813684</c:v>
                </c:pt>
                <c:pt idx="1">
                  <c:v>471845901.09613615</c:v>
                </c:pt>
                <c:pt idx="2">
                  <c:v>471974638.00293279</c:v>
                </c:pt>
                <c:pt idx="3">
                  <c:v>468825906.15283895</c:v>
                </c:pt>
                <c:pt idx="4">
                  <c:v>479395532.79848683</c:v>
                </c:pt>
                <c:pt idx="5">
                  <c:v>517528979.81643105</c:v>
                </c:pt>
                <c:pt idx="6">
                  <c:v>512541823.71111047</c:v>
                </c:pt>
                <c:pt idx="7">
                  <c:v>504695805.78301507</c:v>
                </c:pt>
                <c:pt idx="8">
                  <c:v>525607946.06935352</c:v>
                </c:pt>
                <c:pt idx="9">
                  <c:v>531821496.92480129</c:v>
                </c:pt>
                <c:pt idx="10">
                  <c:v>543766043.23787534</c:v>
                </c:pt>
                <c:pt idx="11">
                  <c:v>556872807.6816709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Summary'!$N$47:$N$58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Summary'!$P$47:$P$58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Summary'!$R$47:$R$58</c:f>
              <c:numCache>
                <c:formatCode>#,##0</c:formatCode>
                <c:ptCount val="12"/>
                <c:pt idx="0">
                  <c:v>134831684.18678597</c:v>
                </c:pt>
                <c:pt idx="1">
                  <c:v>133025226.40170933</c:v>
                </c:pt>
                <c:pt idx="2">
                  <c:v>134931533.41686761</c:v>
                </c:pt>
                <c:pt idx="3">
                  <c:v>137888732.93778703</c:v>
                </c:pt>
                <c:pt idx="4">
                  <c:v>123162404.40497735</c:v>
                </c:pt>
                <c:pt idx="5">
                  <c:v>121129087.46409236</c:v>
                </c:pt>
                <c:pt idx="6">
                  <c:v>126211052.04086807</c:v>
                </c:pt>
                <c:pt idx="7">
                  <c:v>133735613.93532746</c:v>
                </c:pt>
                <c:pt idx="8">
                  <c:v>137675880.44954243</c:v>
                </c:pt>
                <c:pt idx="9">
                  <c:v>143246624.90875113</c:v>
                </c:pt>
                <c:pt idx="10">
                  <c:v>136828713.43710113</c:v>
                </c:pt>
                <c:pt idx="11">
                  <c:v>137679565.93393588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Summary'!$V$47:$V$58</c:f>
              <c:numCache>
                <c:formatCode>#,##0</c:formatCode>
                <c:ptCount val="12"/>
                <c:pt idx="0">
                  <c:v>134316556.56678596</c:v>
                </c:pt>
                <c:pt idx="1">
                  <c:v>130782955.23670933</c:v>
                </c:pt>
                <c:pt idx="2">
                  <c:v>130219608.50457114</c:v>
                </c:pt>
                <c:pt idx="3">
                  <c:v>131490010.70630151</c:v>
                </c:pt>
                <c:pt idx="4">
                  <c:v>116488650.66718435</c:v>
                </c:pt>
                <c:pt idx="5">
                  <c:v>114543785.95679589</c:v>
                </c:pt>
                <c:pt idx="6">
                  <c:v>119342434.08036964</c:v>
                </c:pt>
                <c:pt idx="7">
                  <c:v>125729990.30261448</c:v>
                </c:pt>
                <c:pt idx="8">
                  <c:v>128733367.92627163</c:v>
                </c:pt>
                <c:pt idx="9">
                  <c:v>133267998.18239611</c:v>
                </c:pt>
                <c:pt idx="10">
                  <c:v>128179737.43992142</c:v>
                </c:pt>
                <c:pt idx="11">
                  <c:v>130276902.35065086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Summary'!$Y$47:$Y$57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Summary'!$AA$47:$AA$58</c:f>
              <c:numCache>
                <c:formatCode>#,##0</c:formatCode>
                <c:ptCount val="12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Summary'!$AC$47:$AC$58</c:f>
              <c:numCache>
                <c:formatCode>#,##0</c:formatCode>
                <c:ptCount val="12"/>
                <c:pt idx="0">
                  <c:v>330299758.88417631</c:v>
                </c:pt>
                <c:pt idx="1">
                  <c:v>336011480.29041922</c:v>
                </c:pt>
                <c:pt idx="2">
                  <c:v>352073489.64595705</c:v>
                </c:pt>
                <c:pt idx="3">
                  <c:v>324820196.76769185</c:v>
                </c:pt>
                <c:pt idx="4">
                  <c:v>333222334.58883011</c:v>
                </c:pt>
                <c:pt idx="5">
                  <c:v>311999081.33645248</c:v>
                </c:pt>
                <c:pt idx="6">
                  <c:v>320363131.33185291</c:v>
                </c:pt>
                <c:pt idx="7">
                  <c:v>351078898.94876093</c:v>
                </c:pt>
                <c:pt idx="8">
                  <c:v>339800244.34116364</c:v>
                </c:pt>
                <c:pt idx="9">
                  <c:v>336951064.72995925</c:v>
                </c:pt>
                <c:pt idx="10">
                  <c:v>344784456.0821296</c:v>
                </c:pt>
                <c:pt idx="11">
                  <c:v>345452241.23846954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Summary'!$AG$47:$AG$58</c:f>
              <c:numCache>
                <c:formatCode>#,##0</c:formatCode>
                <c:ptCount val="12"/>
                <c:pt idx="0">
                  <c:v>329581291.41417629</c:v>
                </c:pt>
                <c:pt idx="1">
                  <c:v>333764499.96041924</c:v>
                </c:pt>
                <c:pt idx="2">
                  <c:v>347254258.68733007</c:v>
                </c:pt>
                <c:pt idx="3">
                  <c:v>317594102.82602149</c:v>
                </c:pt>
                <c:pt idx="4">
                  <c:v>325406665.09478319</c:v>
                </c:pt>
                <c:pt idx="5">
                  <c:v>304214096.4978255</c:v>
                </c:pt>
                <c:pt idx="6">
                  <c:v>311726979.42827666</c:v>
                </c:pt>
                <c:pt idx="7">
                  <c:v>340397356.69077849</c:v>
                </c:pt>
                <c:pt idx="8">
                  <c:v>327322737.51902282</c:v>
                </c:pt>
                <c:pt idx="9">
                  <c:v>322755748.69196057</c:v>
                </c:pt>
                <c:pt idx="10">
                  <c:v>331421751.06413126</c:v>
                </c:pt>
                <c:pt idx="11">
                  <c:v>332715634.94292539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Sentinel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9-4B38-A113-12096AF46510}"/>
            </c:ext>
          </c:extLst>
        </c:ser>
        <c:ser>
          <c:idx val="3"/>
          <c:order val="1"/>
          <c:tx>
            <c:strRef>
              <c:f>'Normalized Annual Summary'!$BQ$3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9-4B38-A113-12096AF46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Sentinel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Summary'!$BP$3</c:f>
              <c:strCache>
                <c:ptCount val="1"/>
                <c:pt idx="0">
                  <c:v>Average per Connection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1095.5338546633609</c:v>
                </c:pt>
                <c:pt idx="1">
                  <c:v>1119.042367048404</c:v>
                </c:pt>
                <c:pt idx="2">
                  <c:v>1115.984874242261</c:v>
                </c:pt>
                <c:pt idx="3">
                  <c:v>1115.1041969002147</c:v>
                </c:pt>
                <c:pt idx="4">
                  <c:v>1358.7277615266471</c:v>
                </c:pt>
                <c:pt idx="5">
                  <c:v>1420.4652631578945</c:v>
                </c:pt>
                <c:pt idx="6">
                  <c:v>1416.5842105263157</c:v>
                </c:pt>
                <c:pt idx="7">
                  <c:v>1416.5842105263157</c:v>
                </c:pt>
                <c:pt idx="8">
                  <c:v>1416.5842105263157</c:v>
                </c:pt>
                <c:pt idx="9">
                  <c:v>1189.1052631578948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5-40A2-93F1-2BBC9D4093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Summary'!$BP$14:$BP$16)</c:f>
              <c:numCache>
                <c:formatCode>General</c:formatCode>
                <c:ptCount val="12"/>
                <c:pt idx="9" formatCode="#,##0">
                  <c:v>1189.1052631578948</c:v>
                </c:pt>
                <c:pt idx="10" formatCode="#,##0">
                  <c:v>1340.757894736842</c:v>
                </c:pt>
                <c:pt idx="11" formatCode="#,##0">
                  <c:v>1340.757894736842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5-40A2-93F1-2BBC9D40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D-47B0-8F32-B6F5FE0CE02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Summary'!$AN$5:$AN$15</c:f>
              <c:numCache>
                <c:formatCode>#,##0</c:formatCode>
                <c:ptCount val="11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D-47B0-8F32-B6F5FE0CE02B}"/>
            </c:ext>
          </c:extLst>
        </c:ser>
        <c:ser>
          <c:idx val="2"/>
          <c:order val="2"/>
          <c:tx>
            <c:strRef>
              <c:f>'Normalized Annual Summary'!$AP$3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Summary'!$AP$5:$AP$16</c:f>
              <c:numCache>
                <c:formatCode>#,##0</c:formatCode>
                <c:ptCount val="12"/>
                <c:pt idx="0">
                  <c:v>87690958.87177287</c:v>
                </c:pt>
                <c:pt idx="1">
                  <c:v>89969693.447332546</c:v>
                </c:pt>
                <c:pt idx="2">
                  <c:v>89647168.520197898</c:v>
                </c:pt>
                <c:pt idx="3">
                  <c:v>90625821.302295119</c:v>
                </c:pt>
                <c:pt idx="4">
                  <c:v>90641164.123067081</c:v>
                </c:pt>
                <c:pt idx="5">
                  <c:v>81237242.400108725</c:v>
                </c:pt>
                <c:pt idx="6">
                  <c:v>81791450.088514701</c:v>
                </c:pt>
                <c:pt idx="7">
                  <c:v>88005937.557263196</c:v>
                </c:pt>
                <c:pt idx="8">
                  <c:v>91879548.942518219</c:v>
                </c:pt>
                <c:pt idx="9">
                  <c:v>92618521.862034649</c:v>
                </c:pt>
                <c:pt idx="10">
                  <c:v>93009939.482260704</c:v>
                </c:pt>
                <c:pt idx="11">
                  <c:v>93369857.811119437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D-47B0-8F32-B6F5FE0CE02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Summary'!$AT$5:$AT$16</c:f>
              <c:numCache>
                <c:formatCode>#,##0</c:formatCode>
                <c:ptCount val="12"/>
                <c:pt idx="0">
                  <c:v>82865540.461772874</c:v>
                </c:pt>
                <c:pt idx="1">
                  <c:v>80011562.442332551</c:v>
                </c:pt>
                <c:pt idx="2">
                  <c:v>79381758.521771416</c:v>
                </c:pt>
                <c:pt idx="3">
                  <c:v>80358755.283868641</c:v>
                </c:pt>
                <c:pt idx="4">
                  <c:v>80374098.104640603</c:v>
                </c:pt>
                <c:pt idx="5">
                  <c:v>70970308.051682234</c:v>
                </c:pt>
                <c:pt idx="6">
                  <c:v>71394980.440309331</c:v>
                </c:pt>
                <c:pt idx="7">
                  <c:v>77235901.918604329</c:v>
                </c:pt>
                <c:pt idx="8">
                  <c:v>80563761.373952091</c:v>
                </c:pt>
                <c:pt idx="9">
                  <c:v>79972313.529479399</c:v>
                </c:pt>
                <c:pt idx="10">
                  <c:v>81054511.108828157</c:v>
                </c:pt>
                <c:pt idx="11">
                  <c:v>81591070.490146488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D-47B0-8F32-B6F5FE0C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Summary'!$AW$5:$AW$15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B-460C-BBDE-061182CFAFA2}"/>
            </c:ext>
          </c:extLst>
        </c:ser>
        <c:ser>
          <c:idx val="1"/>
          <c:order val="1"/>
          <c:tx>
            <c:strRef>
              <c:f>'Normalized Annual Summary'!$AY$3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Summary'!$AY$5:$AY$15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B-460C-BBDE-061182CFAFA2}"/>
            </c:ext>
          </c:extLst>
        </c:ser>
        <c:ser>
          <c:idx val="2"/>
          <c:order val="2"/>
          <c:tx>
            <c:strRef>
              <c:f>'Normalized Annual Summary'!$BA$3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Summary'!$BA$5:$BA$16</c:f>
              <c:numCache>
                <c:formatCode>#,##0</c:formatCode>
                <c:ptCount val="12"/>
                <c:pt idx="0">
                  <c:v>41136839.603501953</c:v>
                </c:pt>
                <c:pt idx="1">
                  <c:v>40716784.192698166</c:v>
                </c:pt>
                <c:pt idx="2">
                  <c:v>40346067.147441521</c:v>
                </c:pt>
                <c:pt idx="3">
                  <c:v>39942289.910147846</c:v>
                </c:pt>
                <c:pt idx="4">
                  <c:v>39421844.886398546</c:v>
                </c:pt>
                <c:pt idx="5">
                  <c:v>34772652.889770009</c:v>
                </c:pt>
                <c:pt idx="6">
                  <c:v>34651140.000258423</c:v>
                </c:pt>
                <c:pt idx="7">
                  <c:v>36117300.378154024</c:v>
                </c:pt>
                <c:pt idx="8">
                  <c:v>37790092.508940101</c:v>
                </c:pt>
                <c:pt idx="9">
                  <c:v>37412010.110788673</c:v>
                </c:pt>
                <c:pt idx="10">
                  <c:v>36895237.425914533</c:v>
                </c:pt>
                <c:pt idx="11">
                  <c:v>36478641.265597075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B-460C-BBDE-061182CFAFA2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Summary'!$BE$5:$BE$16</c:f>
              <c:numCache>
                <c:formatCode>#,##0</c:formatCode>
                <c:ptCount val="12"/>
                <c:pt idx="0">
                  <c:v>41136839.603501953</c:v>
                </c:pt>
                <c:pt idx="1">
                  <c:v>40716784.192698166</c:v>
                </c:pt>
                <c:pt idx="2">
                  <c:v>40206623.472441524</c:v>
                </c:pt>
                <c:pt idx="3">
                  <c:v>39663375.793481179</c:v>
                </c:pt>
                <c:pt idx="4">
                  <c:v>39143150.653065212</c:v>
                </c:pt>
                <c:pt idx="5">
                  <c:v>34494178.539770007</c:v>
                </c:pt>
                <c:pt idx="6">
                  <c:v>34327512.306018122</c:v>
                </c:pt>
                <c:pt idx="7">
                  <c:v>35702555.923387952</c:v>
                </c:pt>
                <c:pt idx="8">
                  <c:v>37272893.983256243</c:v>
                </c:pt>
                <c:pt idx="9">
                  <c:v>36750440.935227141</c:v>
                </c:pt>
                <c:pt idx="10">
                  <c:v>36251504.113428049</c:v>
                </c:pt>
                <c:pt idx="11">
                  <c:v>35862204.751314573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B-460C-BBDE-061182CF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3-4524-AB09-C40CAF9C56A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Summary'!$AN$47:$AN$58</c:f>
              <c:numCache>
                <c:formatCode>#,##0</c:formatCode>
                <c:ptCount val="12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3-4524-AB09-C40CAF9C56AB}"/>
            </c:ext>
          </c:extLst>
        </c:ser>
        <c:ser>
          <c:idx val="2"/>
          <c:order val="2"/>
          <c:tx>
            <c:strRef>
              <c:f>'Normalized Annual Summary'!$AP$45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Summary'!$AP$47:$AP$58</c:f>
              <c:numCache>
                <c:formatCode>#,##0</c:formatCode>
                <c:ptCount val="12"/>
                <c:pt idx="0">
                  <c:v>86901805.334176049</c:v>
                </c:pt>
                <c:pt idx="1">
                  <c:v>93537420.693797156</c:v>
                </c:pt>
                <c:pt idx="2">
                  <c:v>93692992.228767946</c:v>
                </c:pt>
                <c:pt idx="3">
                  <c:v>86017195.866369158</c:v>
                </c:pt>
                <c:pt idx="4">
                  <c:v>87799145.839306474</c:v>
                </c:pt>
                <c:pt idx="5">
                  <c:v>80446491.162310734</c:v>
                </c:pt>
                <c:pt idx="6">
                  <c:v>80170871.202040881</c:v>
                </c:pt>
                <c:pt idx="7">
                  <c:v>92751073.755052686</c:v>
                </c:pt>
                <c:pt idx="8">
                  <c:v>88866898.559220448</c:v>
                </c:pt>
                <c:pt idx="9">
                  <c:v>94165498.886018872</c:v>
                </c:pt>
                <c:pt idx="10">
                  <c:v>93009939.482260704</c:v>
                </c:pt>
                <c:pt idx="11">
                  <c:v>93369857.811119437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3-4524-AB09-C40CAF9C56A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Summary'!$AT$47:$AT$58</c:f>
              <c:numCache>
                <c:formatCode>#,##0</c:formatCode>
                <c:ptCount val="12"/>
                <c:pt idx="0">
                  <c:v>82076386.924176052</c:v>
                </c:pt>
                <c:pt idx="1">
                  <c:v>83579289.688797161</c:v>
                </c:pt>
                <c:pt idx="2">
                  <c:v>83427582.230341464</c:v>
                </c:pt>
                <c:pt idx="3">
                  <c:v>75750129.84794268</c:v>
                </c:pt>
                <c:pt idx="4">
                  <c:v>77532079.820879996</c:v>
                </c:pt>
                <c:pt idx="5">
                  <c:v>70179556.813884258</c:v>
                </c:pt>
                <c:pt idx="6">
                  <c:v>69774401.553835511</c:v>
                </c:pt>
                <c:pt idx="7">
                  <c:v>81981038.116393819</c:v>
                </c:pt>
                <c:pt idx="8">
                  <c:v>77551110.99065432</c:v>
                </c:pt>
                <c:pt idx="9">
                  <c:v>81519290.553463623</c:v>
                </c:pt>
                <c:pt idx="10">
                  <c:v>81054511.108828157</c:v>
                </c:pt>
                <c:pt idx="11">
                  <c:v>81591070.490146488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A3-4524-AB09-C40CAF9C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Weather!$D$2:$D$120</c:f>
              <c:numCache>
                <c:formatCode>0.0</c:formatCode>
                <c:ptCount val="119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</c:numCache>
            </c:numRef>
          </c:xVal>
          <c:yVal>
            <c:numRef>
              <c:f>Weather!$DP$2:$DP$121</c:f>
              <c:numCache>
                <c:formatCode>_(* #,##0_);_(* \(#,##0\);_(* "-"??_);_(@_)</c:formatCode>
                <c:ptCount val="120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Weather!$DU$2:$DU$121</c:f>
              <c:numCache>
                <c:formatCode>_(* #,##0_);_(* \(#,##0\);_(* "-"??_);_(@_)</c:formatCode>
                <c:ptCount val="120"/>
                <c:pt idx="0">
                  <c:v>50723562.852158681</c:v>
                </c:pt>
                <c:pt idx="1">
                  <c:v>53193008.933252774</c:v>
                </c:pt>
                <c:pt idx="2">
                  <c:v>45779518.003270239</c:v>
                </c:pt>
                <c:pt idx="3">
                  <c:v>37022524.646336846</c:v>
                </c:pt>
                <c:pt idx="4">
                  <c:v>38429677.126181826</c:v>
                </c:pt>
                <c:pt idx="5">
                  <c:v>40663878.505782694</c:v>
                </c:pt>
                <c:pt idx="6">
                  <c:v>48726618.233603686</c:v>
                </c:pt>
                <c:pt idx="7">
                  <c:v>46082693.942921996</c:v>
                </c:pt>
                <c:pt idx="8">
                  <c:v>43386093.52777151</c:v>
                </c:pt>
                <c:pt idx="9">
                  <c:v>35748527.076179162</c:v>
                </c:pt>
                <c:pt idx="10">
                  <c:v>37944527.042227276</c:v>
                </c:pt>
                <c:pt idx="11">
                  <c:v>39597631.087954842</c:v>
                </c:pt>
                <c:pt idx="12">
                  <c:v>46955499.855967805</c:v>
                </c:pt>
                <c:pt idx="13">
                  <c:v>44973740.745190352</c:v>
                </c:pt>
                <c:pt idx="14">
                  <c:v>41989591.055261105</c:v>
                </c:pt>
                <c:pt idx="15">
                  <c:v>38996198.234642431</c:v>
                </c:pt>
                <c:pt idx="16">
                  <c:v>39151538.867063969</c:v>
                </c:pt>
                <c:pt idx="17">
                  <c:v>44370850.515978768</c:v>
                </c:pt>
                <c:pt idx="18">
                  <c:v>51939881.42451752</c:v>
                </c:pt>
                <c:pt idx="19">
                  <c:v>52980397.345631421</c:v>
                </c:pt>
                <c:pt idx="20">
                  <c:v>42479932.360903695</c:v>
                </c:pt>
                <c:pt idx="21">
                  <c:v>37362558.799700454</c:v>
                </c:pt>
                <c:pt idx="22">
                  <c:v>37952701.47800497</c:v>
                </c:pt>
                <c:pt idx="23">
                  <c:v>45126995.410532594</c:v>
                </c:pt>
                <c:pt idx="24">
                  <c:v>45236499.793577306</c:v>
                </c:pt>
                <c:pt idx="25">
                  <c:v>42823543.047567382</c:v>
                </c:pt>
                <c:pt idx="26">
                  <c:v>44602249.377563924</c:v>
                </c:pt>
                <c:pt idx="27">
                  <c:v>36159693.032891601</c:v>
                </c:pt>
                <c:pt idx="28">
                  <c:v>36468476.015011474</c:v>
                </c:pt>
                <c:pt idx="29">
                  <c:v>41896730.437385842</c:v>
                </c:pt>
                <c:pt idx="30">
                  <c:v>48208264.90652667</c:v>
                </c:pt>
                <c:pt idx="31">
                  <c:v>45202396.554541409</c:v>
                </c:pt>
                <c:pt idx="32">
                  <c:v>41776209.000308424</c:v>
                </c:pt>
                <c:pt idx="33">
                  <c:v>36625979.062205553</c:v>
                </c:pt>
                <c:pt idx="34">
                  <c:v>39875136.656743273</c:v>
                </c:pt>
                <c:pt idx="35">
                  <c:v>48821835.42786029</c:v>
                </c:pt>
                <c:pt idx="36">
                  <c:v>49261139.733047888</c:v>
                </c:pt>
                <c:pt idx="37">
                  <c:v>44256879.502015151</c:v>
                </c:pt>
                <c:pt idx="38">
                  <c:v>43601654.685959131</c:v>
                </c:pt>
                <c:pt idx="39">
                  <c:v>40181025.99679628</c:v>
                </c:pt>
                <c:pt idx="40">
                  <c:v>39557531.258676767</c:v>
                </c:pt>
                <c:pt idx="41">
                  <c:v>43952593.101550728</c:v>
                </c:pt>
                <c:pt idx="42">
                  <c:v>52303422.456011623</c:v>
                </c:pt>
                <c:pt idx="43">
                  <c:v>52011378.435148835</c:v>
                </c:pt>
                <c:pt idx="44">
                  <c:v>43238477.261475757</c:v>
                </c:pt>
                <c:pt idx="45">
                  <c:v>37692133.908729576</c:v>
                </c:pt>
                <c:pt idx="46">
                  <c:v>41756293.514109284</c:v>
                </c:pt>
                <c:pt idx="47">
                  <c:v>44146345.700563431</c:v>
                </c:pt>
                <c:pt idx="48">
                  <c:v>50168958.090721741</c:v>
                </c:pt>
                <c:pt idx="49">
                  <c:v>46196561.135406442</c:v>
                </c:pt>
                <c:pt idx="50">
                  <c:v>44966020.107137844</c:v>
                </c:pt>
                <c:pt idx="51">
                  <c:v>37588856.026344009</c:v>
                </c:pt>
                <c:pt idx="52">
                  <c:v>34715705.599216796</c:v>
                </c:pt>
                <c:pt idx="53">
                  <c:v>42405710.773998953</c:v>
                </c:pt>
                <c:pt idx="54">
                  <c:v>52528559.680084363</c:v>
                </c:pt>
                <c:pt idx="55">
                  <c:v>47638926.006294541</c:v>
                </c:pt>
                <c:pt idx="56">
                  <c:v>39344455.982231297</c:v>
                </c:pt>
                <c:pt idx="57">
                  <c:v>34954021.631707989</c:v>
                </c:pt>
                <c:pt idx="58">
                  <c:v>42565416.382011928</c:v>
                </c:pt>
                <c:pt idx="59">
                  <c:v>45057767.02266179</c:v>
                </c:pt>
                <c:pt idx="60">
                  <c:v>45502218.419884391</c:v>
                </c:pt>
                <c:pt idx="61">
                  <c:v>45489222.012496009</c:v>
                </c:pt>
                <c:pt idx="62">
                  <c:v>40954762.60695827</c:v>
                </c:pt>
                <c:pt idx="63">
                  <c:v>37931489.422897741</c:v>
                </c:pt>
                <c:pt idx="64">
                  <c:v>39149083.225152761</c:v>
                </c:pt>
                <c:pt idx="65">
                  <c:v>45667937.36732012</c:v>
                </c:pt>
                <c:pt idx="66">
                  <c:v>55994699.593026161</c:v>
                </c:pt>
                <c:pt idx="67">
                  <c:v>49527869.568469286</c:v>
                </c:pt>
                <c:pt idx="68">
                  <c:v>39148330.644853011</c:v>
                </c:pt>
                <c:pt idx="69">
                  <c:v>35814706.421520591</c:v>
                </c:pt>
                <c:pt idx="70">
                  <c:v>37647093.680778973</c:v>
                </c:pt>
                <c:pt idx="71">
                  <c:v>44084194.564240769</c:v>
                </c:pt>
                <c:pt idx="72">
                  <c:v>46264502.750268497</c:v>
                </c:pt>
                <c:pt idx="73">
                  <c:v>46633549.249178298</c:v>
                </c:pt>
                <c:pt idx="74">
                  <c:v>41316063.987081125</c:v>
                </c:pt>
                <c:pt idx="75">
                  <c:v>36974174.210148327</c:v>
                </c:pt>
                <c:pt idx="76">
                  <c:v>38341977.02504015</c:v>
                </c:pt>
                <c:pt idx="77">
                  <c:v>46907839.770535827</c:v>
                </c:pt>
                <c:pt idx="78">
                  <c:v>47836128.826601394</c:v>
                </c:pt>
                <c:pt idx="79">
                  <c:v>52983034.530449785</c:v>
                </c:pt>
                <c:pt idx="80">
                  <c:v>40614522.378538944</c:v>
                </c:pt>
                <c:pt idx="81">
                  <c:v>37642647.670567647</c:v>
                </c:pt>
                <c:pt idx="82">
                  <c:v>39989428.692744821</c:v>
                </c:pt>
                <c:pt idx="83">
                  <c:v>42544441.981969289</c:v>
                </c:pt>
                <c:pt idx="84">
                  <c:v>51575915.698490098</c:v>
                </c:pt>
                <c:pt idx="85">
                  <c:v>46120770.205191009</c:v>
                </c:pt>
                <c:pt idx="86">
                  <c:v>42904995.77902133</c:v>
                </c:pt>
                <c:pt idx="87">
                  <c:v>37307398.188612826</c:v>
                </c:pt>
                <c:pt idx="88">
                  <c:v>38822703.405023031</c:v>
                </c:pt>
                <c:pt idx="89">
                  <c:v>42635424.845186099</c:v>
                </c:pt>
                <c:pt idx="90">
                  <c:v>49874098.719624922</c:v>
                </c:pt>
                <c:pt idx="91">
                  <c:v>50326217.336211629</c:v>
                </c:pt>
                <c:pt idx="92">
                  <c:v>40448053.248360656</c:v>
                </c:pt>
                <c:pt idx="93">
                  <c:v>35276397.502830252</c:v>
                </c:pt>
                <c:pt idx="94">
                  <c:v>39458587.481092498</c:v>
                </c:pt>
                <c:pt idx="95">
                  <c:v>44152650.88830632</c:v>
                </c:pt>
                <c:pt idx="96">
                  <c:v>44737875.252686284</c:v>
                </c:pt>
                <c:pt idx="97">
                  <c:v>44162301.685871951</c:v>
                </c:pt>
                <c:pt idx="98">
                  <c:v>43099941.8898471</c:v>
                </c:pt>
                <c:pt idx="99">
                  <c:v>37473546.177579165</c:v>
                </c:pt>
                <c:pt idx="100">
                  <c:v>36821673.060656354</c:v>
                </c:pt>
                <c:pt idx="101">
                  <c:v>44366765.687770486</c:v>
                </c:pt>
                <c:pt idx="102">
                  <c:v>50009755.158007458</c:v>
                </c:pt>
                <c:pt idx="103">
                  <c:v>45932425.368368119</c:v>
                </c:pt>
                <c:pt idx="104">
                  <c:v>41447271.332824133</c:v>
                </c:pt>
                <c:pt idx="105">
                  <c:v>37187186.993067026</c:v>
                </c:pt>
                <c:pt idx="106">
                  <c:v>40121621.841114029</c:v>
                </c:pt>
                <c:pt idx="107">
                  <c:v>41205168.634461224</c:v>
                </c:pt>
                <c:pt idx="108">
                  <c:v>45754683.284201339</c:v>
                </c:pt>
                <c:pt idx="109">
                  <c:v>43097883.053033099</c:v>
                </c:pt>
                <c:pt idx="110">
                  <c:v>40292074.50745149</c:v>
                </c:pt>
                <c:pt idx="111">
                  <c:v>35894790.666490853</c:v>
                </c:pt>
                <c:pt idx="112">
                  <c:v>38131930.776832335</c:v>
                </c:pt>
                <c:pt idx="113">
                  <c:v>44345109.457007177</c:v>
                </c:pt>
                <c:pt idx="114">
                  <c:v>51230478.708376512</c:v>
                </c:pt>
                <c:pt idx="115">
                  <c:v>48398142.21344918</c:v>
                </c:pt>
                <c:pt idx="116">
                  <c:v>42037859.46810323</c:v>
                </c:pt>
                <c:pt idx="117">
                  <c:v>35869062.503464371</c:v>
                </c:pt>
                <c:pt idx="118">
                  <c:v>38356540.488131545</c:v>
                </c:pt>
                <c:pt idx="119">
                  <c:v>44568149.892832026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Summary'!$AW$45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Summary'!$AW$47:$AW$58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B-4E9E-9FAC-787EF2B8EDDB}"/>
            </c:ext>
          </c:extLst>
        </c:ser>
        <c:ser>
          <c:idx val="1"/>
          <c:order val="1"/>
          <c:tx>
            <c:strRef>
              <c:f>'Normalized Annual Summary'!$AY$45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Summary'!$AY$47:$AY$58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B-4E9E-9FAC-787EF2B8EDDB}"/>
            </c:ext>
          </c:extLst>
        </c:ser>
        <c:ser>
          <c:idx val="2"/>
          <c:order val="2"/>
          <c:tx>
            <c:strRef>
              <c:f>'Normalized Annual Summary'!$BA$45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Summary'!$BA$47:$BA$58</c:f>
              <c:numCache>
                <c:formatCode>#,##0</c:formatCode>
                <c:ptCount val="12"/>
                <c:pt idx="0">
                  <c:v>42011671.280006714</c:v>
                </c:pt>
                <c:pt idx="1">
                  <c:v>41251016.34396904</c:v>
                </c:pt>
                <c:pt idx="2">
                  <c:v>37897561.492115833</c:v>
                </c:pt>
                <c:pt idx="3">
                  <c:v>44858391.743185356</c:v>
                </c:pt>
                <c:pt idx="4">
                  <c:v>39227806.680510491</c:v>
                </c:pt>
                <c:pt idx="5">
                  <c:v>31027894.403630864</c:v>
                </c:pt>
                <c:pt idx="6">
                  <c:v>36390023.714664057</c:v>
                </c:pt>
                <c:pt idx="7">
                  <c:v>34250060.016836122</c:v>
                </c:pt>
                <c:pt idx="8">
                  <c:v>34538849.043435469</c:v>
                </c:pt>
                <c:pt idx="9">
                  <c:v>40478867.506897829</c:v>
                </c:pt>
                <c:pt idx="10">
                  <c:v>36895237.425914533</c:v>
                </c:pt>
                <c:pt idx="11">
                  <c:v>36478641.265597075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B-4E9E-9FAC-787EF2B8EDDB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Summary'!$BE$47:$BE$58</c:f>
              <c:numCache>
                <c:formatCode>#,##0</c:formatCode>
                <c:ptCount val="12"/>
                <c:pt idx="0">
                  <c:v>42011671.280006714</c:v>
                </c:pt>
                <c:pt idx="1">
                  <c:v>41251016.34396904</c:v>
                </c:pt>
                <c:pt idx="2">
                  <c:v>37758117.817115836</c:v>
                </c:pt>
                <c:pt idx="3">
                  <c:v>44579477.626518689</c:v>
                </c:pt>
                <c:pt idx="4">
                  <c:v>38949112.447177157</c:v>
                </c:pt>
                <c:pt idx="5">
                  <c:v>30749420.053630862</c:v>
                </c:pt>
                <c:pt idx="6">
                  <c:v>36066396.020423755</c:v>
                </c:pt>
                <c:pt idx="7">
                  <c:v>33835315.562070049</c:v>
                </c:pt>
                <c:pt idx="8">
                  <c:v>34021650.517751612</c:v>
                </c:pt>
                <c:pt idx="9">
                  <c:v>39817298.331336297</c:v>
                </c:pt>
                <c:pt idx="10">
                  <c:v>36251504.113428049</c:v>
                </c:pt>
                <c:pt idx="11">
                  <c:v>35862204.751314573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B-4E9E-9FAC-787EF2B8E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2.6064080576697554E-3</c:v>
                </c:pt>
                <c:pt idx="10" formatCode="_-* #,##0.000000_-;\-* #,##0.000000_-;_-* &quot;-&quot;??_-;_-@_-">
                  <c:v>2.621131938153165E-3</c:v>
                </c:pt>
                <c:pt idx="11" formatCode="_-* #,##0.000000_-;\-* #,##0.000000_-;_-* &quot;-&quot;??_-;_-@_-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2.54015059549442E-3</c:v>
                </c:pt>
                <c:pt idx="10" formatCode="_-* #,##0.000000_-;\-* #,##0.000000_-;_-* &quot;-&quot;??_-;_-@_-">
                  <c:v>2.54015059549442E-3</c:v>
                </c:pt>
                <c:pt idx="11" formatCode="_-* #,##0.000000_-;\-* #,##0.000000_-;_-* &quot;-&quot;??_-;_-@_-">
                  <c:v>2.54015059549442E-3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Forecast'!$AG$5:$AG$14</c:f>
              <c:numCache>
                <c:formatCode>0.000000</c:formatCode>
                <c:ptCount val="10"/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2.8442805334985225E-3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Forecast'!$AG$19:$AG$21)</c:f>
              <c:numCache>
                <c:formatCode>0.000000</c:formatCode>
                <c:ptCount val="12"/>
                <c:pt idx="9" formatCode="_-* #,##0.000000_-;\-* #,##0.000000_-;_-* &quot;-&quot;??_-;_-@_-">
                  <c:v>2.8378661247038745E-3</c:v>
                </c:pt>
                <c:pt idx="10" formatCode="_-* #,##0.000000_-;\-* #,##0.000000_-;_-* &quot;-&quot;??_-;_-@_-">
                  <c:v>2.8374261241219294E-3</c:v>
                </c:pt>
                <c:pt idx="11" formatCode="_-* #,##0.000000_-;\-* #,##0.000000_-;_-* &quot;-&quot;??_-;_-@_-">
                  <c:v>2.8369861235399839E-3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Forecast'!$AF$19:$AF$21)</c:f>
              <c:numCache>
                <c:formatCode>0.000000</c:formatCode>
                <c:ptCount val="12"/>
                <c:pt idx="9" formatCode="_-* #,##0.000000_-;\-* #,##0.000000_-;_-* &quot;-&quot;??_-;_-@_-">
                  <c:v>2.8351676307111244E-3</c:v>
                </c:pt>
                <c:pt idx="10" formatCode="_-* #,##0.000000_-;\-* #,##0.000000_-;_-* &quot;-&quot;??_-;_-@_-">
                  <c:v>2.8351676307111244E-3</c:v>
                </c:pt>
                <c:pt idx="11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6-4953-81B3-DD8FA6D0CEDF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6-4953-81B3-DD8FA6D0CEDF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6-4953-81B3-DD8FA6D0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5-4C18-B365-ED97547B7975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5-4C18-B365-ED97547B7975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5-4C18-B365-ED97547B7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8-41BC-96A2-52DBAFA8EB98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8-41BC-96A2-52DBAFA8EB9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8-41BC-96A2-52DBAFA8EB9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8-41BC-96A2-52DBAFA8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2.4738931333190793E-3</c:v>
                </c:pt>
                <c:pt idx="1">
                  <c:v>2.4886170138024889E-3</c:v>
                </c:pt>
                <c:pt idx="2">
                  <c:v>2.5033408942858985E-3</c:v>
                </c:pt>
                <c:pt idx="3">
                  <c:v>2.5180647747693047E-3</c:v>
                </c:pt>
                <c:pt idx="4">
                  <c:v>2.5327886552527143E-3</c:v>
                </c:pt>
                <c:pt idx="5">
                  <c:v>2.5475125357361239E-3</c:v>
                </c:pt>
                <c:pt idx="6">
                  <c:v>2.56223641621953E-3</c:v>
                </c:pt>
                <c:pt idx="7">
                  <c:v>2.5769602967029397E-3</c:v>
                </c:pt>
                <c:pt idx="8">
                  <c:v>2.5916841771863493E-3</c:v>
                </c:pt>
                <c:pt idx="9">
                  <c:v>2.6064080576697554E-3</c:v>
                </c:pt>
                <c:pt idx="10">
                  <c:v>2.621131938153165E-3</c:v>
                </c:pt>
                <c:pt idx="11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0544"/>
        <c:axId val="177426432"/>
      </c:lineChart>
      <c:catAx>
        <c:axId val="17742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6432"/>
        <c:crosses val="autoZero"/>
        <c:auto val="1"/>
        <c:lblAlgn val="ctr"/>
        <c:lblOffset val="100"/>
        <c:noMultiLvlLbl val="0"/>
      </c:catAx>
      <c:valAx>
        <c:axId val="1774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Normal)'!$AG$5:$AG$14</c:f>
              <c:numCache>
                <c:formatCode>0.000000</c:formatCode>
                <c:ptCount val="10"/>
                <c:pt idx="1">
                  <c:v>2.8302986818430978E-3</c:v>
                </c:pt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2.8447486564279526E-3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Normal)'!$AH$5:$AH$9,'kW Forecast (Weather Normal)'!$AG$23:$AG$24)</c:f>
              <c:numCache>
                <c:formatCode>0.000000</c:formatCode>
                <c:ptCount val="7"/>
                <c:pt idx="5" formatCode="_-* #,##0.000000_-;\-* #,##0.000000_-;_-* &quot;-&quot;??_-;_-@_-">
                  <c:v>2.8396651372757753E-3</c:v>
                </c:pt>
                <c:pt idx="6" formatCode="_-* #,##0.000000_-;\-* #,##0.000000_-;_-* &quot;-&quot;??_-;_-@_-">
                  <c:v>2.839264146937949E-3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Normal)'!$AH$5:$AH$9,'kW Forecast (Weather Normal)'!$AF$23:$AF$24)</c:f>
              <c:numCache>
                <c:formatCode>0.000000</c:formatCode>
                <c:ptCount val="7"/>
                <c:pt idx="5" formatCode="_-* #,##0.000000_-;\-* #,##0.000000_-;_-* &quot;-&quot;??_-;_-@_-">
                  <c:v>2.8351676307111244E-3</c:v>
                </c:pt>
                <c:pt idx="6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94176"/>
        <c:axId val="178595712"/>
      </c:lineChart>
      <c:catAx>
        <c:axId val="1785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5712"/>
        <c:crosses val="autoZero"/>
        <c:auto val="1"/>
        <c:lblAlgn val="ctr"/>
        <c:lblOffset val="100"/>
        <c:noMultiLvlLbl val="0"/>
      </c:catAx>
      <c:valAx>
        <c:axId val="178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C7F-85DA-7CB77B415C92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C7F-85DA-7CB77B415C92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C-4C7F-85DA-7CB77B415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A-4A7B-882D-3516C06DD043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A-4A7B-882D-3516C06DD043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A-4A7B-882D-3516C06D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Weather!$DQ$2:$DQ$121</c:f>
              <c:numCache>
                <c:formatCode>_(* #,##0_);_(* \(#,##0\);_(* "-"??_);_(@_)</c:formatCode>
                <c:ptCount val="12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Weather!$DV$2:$DV$121</c:f>
              <c:numCache>
                <c:formatCode>_(* #,##0_);_(* \(#,##0\);_(* "-"??_);_(@_)</c:formatCode>
                <c:ptCount val="120"/>
                <c:pt idx="0">
                  <c:v>12760752.530177468</c:v>
                </c:pt>
                <c:pt idx="1">
                  <c:v>13174413.317765638</c:v>
                </c:pt>
                <c:pt idx="2">
                  <c:v>11865383.662735397</c:v>
                </c:pt>
                <c:pt idx="3">
                  <c:v>10248773.975898584</c:v>
                </c:pt>
                <c:pt idx="4">
                  <c:v>9865936.5842065029</c:v>
                </c:pt>
                <c:pt idx="5">
                  <c:v>10028838.266573653</c:v>
                </c:pt>
                <c:pt idx="6">
                  <c:v>11407055.217029551</c:v>
                </c:pt>
                <c:pt idx="7">
                  <c:v>10904588.804162504</c:v>
                </c:pt>
                <c:pt idx="8">
                  <c:v>10562744.910593191</c:v>
                </c:pt>
                <c:pt idx="9">
                  <c:v>9911575.8531355411</c:v>
                </c:pt>
                <c:pt idx="10">
                  <c:v>10392348.97934277</c:v>
                </c:pt>
                <c:pt idx="11">
                  <c:v>10745841.009867806</c:v>
                </c:pt>
                <c:pt idx="12">
                  <c:v>12078354.53410987</c:v>
                </c:pt>
                <c:pt idx="13">
                  <c:v>11697085.63964026</c:v>
                </c:pt>
                <c:pt idx="14">
                  <c:v>11179026.0946219</c:v>
                </c:pt>
                <c:pt idx="15">
                  <c:v>10591253.110112613</c:v>
                </c:pt>
                <c:pt idx="16">
                  <c:v>10164746.144510783</c:v>
                </c:pt>
                <c:pt idx="17">
                  <c:v>10701876.165723311</c:v>
                </c:pt>
                <c:pt idx="18">
                  <c:v>12021063.990057852</c:v>
                </c:pt>
                <c:pt idx="19">
                  <c:v>12219891.744300377</c:v>
                </c:pt>
                <c:pt idx="20">
                  <c:v>10354682.300396537</c:v>
                </c:pt>
                <c:pt idx="21">
                  <c:v>9908825.3329624534</c:v>
                </c:pt>
                <c:pt idx="22">
                  <c:v>10419829.683101879</c:v>
                </c:pt>
                <c:pt idx="23">
                  <c:v>11747211.511653228</c:v>
                </c:pt>
                <c:pt idx="24">
                  <c:v>11767042.807368258</c:v>
                </c:pt>
                <c:pt idx="25">
                  <c:v>11296498.126900662</c:v>
                </c:pt>
                <c:pt idx="26">
                  <c:v>11652179.756158631</c:v>
                </c:pt>
                <c:pt idx="27">
                  <c:v>10011404.545390276</c:v>
                </c:pt>
                <c:pt idx="28">
                  <c:v>9780375.3489389475</c:v>
                </c:pt>
                <c:pt idx="29">
                  <c:v>10273140.461569482</c:v>
                </c:pt>
                <c:pt idx="30">
                  <c:v>11308005.28820527</c:v>
                </c:pt>
                <c:pt idx="31">
                  <c:v>10753993.988021415</c:v>
                </c:pt>
                <c:pt idx="32">
                  <c:v>10368342.277335614</c:v>
                </c:pt>
                <c:pt idx="33">
                  <c:v>9741296.2906173114</c:v>
                </c:pt>
                <c:pt idx="34">
                  <c:v>10784911.710305803</c:v>
                </c:pt>
                <c:pt idx="35">
                  <c:v>12416348.791513892</c:v>
                </c:pt>
                <c:pt idx="36">
                  <c:v>12495907.009576309</c:v>
                </c:pt>
                <c:pt idx="37">
                  <c:v>11556076.038733494</c:v>
                </c:pt>
                <c:pt idx="38">
                  <c:v>11470971.58285653</c:v>
                </c:pt>
                <c:pt idx="39">
                  <c:v>10840308.414894242</c:v>
                </c:pt>
                <c:pt idx="40">
                  <c:v>10027148.466792278</c:v>
                </c:pt>
                <c:pt idx="41">
                  <c:v>10589473.943704931</c:v>
                </c:pt>
                <c:pt idx="42">
                  <c:v>12090531.496897731</c:v>
                </c:pt>
                <c:pt idx="43">
                  <c:v>12034726.049206031</c:v>
                </c:pt>
                <c:pt idx="44">
                  <c:v>10646130.972312057</c:v>
                </c:pt>
                <c:pt idx="45">
                  <c:v>10243791.393804584</c:v>
                </c:pt>
                <c:pt idx="46">
                  <c:v>11125590.109539859</c:v>
                </c:pt>
                <c:pt idx="47">
                  <c:v>11569615.383986648</c:v>
                </c:pt>
                <c:pt idx="48">
                  <c:v>12660313.344793174</c:v>
                </c:pt>
                <c:pt idx="49">
                  <c:v>11907353.302668149</c:v>
                </c:pt>
                <c:pt idx="50">
                  <c:v>11718058.807846522</c:v>
                </c:pt>
                <c:pt idx="51">
                  <c:v>10360092.773531536</c:v>
                </c:pt>
                <c:pt idx="52">
                  <c:v>9611855.3531620856</c:v>
                </c:pt>
                <c:pt idx="53">
                  <c:v>10364315.89354516</c:v>
                </c:pt>
                <c:pt idx="54">
                  <c:v>12133552.009847555</c:v>
                </c:pt>
                <c:pt idx="55">
                  <c:v>11199212.743431062</c:v>
                </c:pt>
                <c:pt idx="56">
                  <c:v>9790510.5995545015</c:v>
                </c:pt>
                <c:pt idx="57">
                  <c:v>9771417.9623861052</c:v>
                </c:pt>
                <c:pt idx="58">
                  <c:v>11272122.644740941</c:v>
                </c:pt>
                <c:pt idx="59">
                  <c:v>11734674.217769928</c:v>
                </c:pt>
                <c:pt idx="60">
                  <c:v>11815164.576641515</c:v>
                </c:pt>
                <c:pt idx="61">
                  <c:v>11790439.541678354</c:v>
                </c:pt>
                <c:pt idx="62">
                  <c:v>10991618.171742305</c:v>
                </c:pt>
                <c:pt idx="63">
                  <c:v>10432916.274247723</c:v>
                </c:pt>
                <c:pt idx="64">
                  <c:v>10249612.687361646</c:v>
                </c:pt>
                <c:pt idx="65">
                  <c:v>10948860.316430124</c:v>
                </c:pt>
                <c:pt idx="66">
                  <c:v>12795881.918305678</c:v>
                </c:pt>
                <c:pt idx="67">
                  <c:v>11560162.920873817</c:v>
                </c:pt>
                <c:pt idx="68">
                  <c:v>9921258.1844255216</c:v>
                </c:pt>
                <c:pt idx="69">
                  <c:v>9962156.5843437035</c:v>
                </c:pt>
                <c:pt idx="70">
                  <c:v>10358116.027098183</c:v>
                </c:pt>
                <c:pt idx="71">
                  <c:v>11558359.783715956</c:v>
                </c:pt>
                <c:pt idx="72">
                  <c:v>11953214.630479176</c:v>
                </c:pt>
                <c:pt idx="73">
                  <c:v>11986492.057366444</c:v>
                </c:pt>
                <c:pt idx="74">
                  <c:v>11053282.32585831</c:v>
                </c:pt>
                <c:pt idx="75">
                  <c:v>10149042.785229301</c:v>
                </c:pt>
                <c:pt idx="76">
                  <c:v>10079980.781979864</c:v>
                </c:pt>
                <c:pt idx="77">
                  <c:v>11104682.034747129</c:v>
                </c:pt>
                <c:pt idx="78">
                  <c:v>11241066.720300948</c:v>
                </c:pt>
                <c:pt idx="79">
                  <c:v>12220395.672711579</c:v>
                </c:pt>
                <c:pt idx="80">
                  <c:v>10037343.497195935</c:v>
                </c:pt>
                <c:pt idx="81">
                  <c:v>9850309.3343152888</c:v>
                </c:pt>
                <c:pt idx="82">
                  <c:v>10805610.052242439</c:v>
                </c:pt>
                <c:pt idx="83">
                  <c:v>11279509.86065359</c:v>
                </c:pt>
                <c:pt idx="84">
                  <c:v>12915114.034979023</c:v>
                </c:pt>
                <c:pt idx="85">
                  <c:v>11893627.529253162</c:v>
                </c:pt>
                <c:pt idx="86">
                  <c:v>11344806.324335754</c:v>
                </c:pt>
                <c:pt idx="87">
                  <c:v>10291184.264213853</c:v>
                </c:pt>
                <c:pt idx="88">
                  <c:v>10012571.941715753</c:v>
                </c:pt>
                <c:pt idx="89">
                  <c:v>10304612.708157621</c:v>
                </c:pt>
                <c:pt idx="90">
                  <c:v>11626322.374257168</c:v>
                </c:pt>
                <c:pt idx="91">
                  <c:v>11712715.794447161</c:v>
                </c:pt>
                <c:pt idx="92">
                  <c:v>10160773.185684757</c:v>
                </c:pt>
                <c:pt idx="93">
                  <c:v>9834466.341119932</c:v>
                </c:pt>
                <c:pt idx="94">
                  <c:v>10643792.436688377</c:v>
                </c:pt>
                <c:pt idx="95">
                  <c:v>11570757.256477877</c:v>
                </c:pt>
                <c:pt idx="96">
                  <c:v>11676741.666480187</c:v>
                </c:pt>
                <c:pt idx="97">
                  <c:v>11538947.951365048</c:v>
                </c:pt>
                <c:pt idx="98">
                  <c:v>11380111.157482959</c:v>
                </c:pt>
                <c:pt idx="99">
                  <c:v>10162420.061237236</c:v>
                </c:pt>
                <c:pt idx="100">
                  <c:v>9778881.0907607805</c:v>
                </c:pt>
                <c:pt idx="101">
                  <c:v>10624711.859384967</c:v>
                </c:pt>
                <c:pt idx="102">
                  <c:v>11652244.385102773</c:v>
                </c:pt>
                <c:pt idx="103">
                  <c:v>10882143.269412646</c:v>
                </c:pt>
                <c:pt idx="104">
                  <c:v>10145830.934308531</c:v>
                </c:pt>
                <c:pt idx="105">
                  <c:v>10000313.047488526</c:v>
                </c:pt>
                <c:pt idx="106">
                  <c:v>10829550.294120613</c:v>
                </c:pt>
                <c:pt idx="107">
                  <c:v>11036966.822108289</c:v>
                </c:pt>
                <c:pt idx="108">
                  <c:v>11860886.083331166</c:v>
                </c:pt>
                <c:pt idx="109">
                  <c:v>11357366.92173928</c:v>
                </c:pt>
                <c:pt idx="110">
                  <c:v>10871605.04256203</c:v>
                </c:pt>
                <c:pt idx="111">
                  <c:v>10033715.32096176</c:v>
                </c:pt>
                <c:pt idx="112">
                  <c:v>9707574.440123044</c:v>
                </c:pt>
                <c:pt idx="113">
                  <c:v>10672891.919459417</c:v>
                </c:pt>
                <c:pt idx="114">
                  <c:v>11885507.247444183</c:v>
                </c:pt>
                <c:pt idx="115">
                  <c:v>11354122.219348619</c:v>
                </c:pt>
                <c:pt idx="116">
                  <c:v>10236196.754295383</c:v>
                </c:pt>
                <c:pt idx="117">
                  <c:v>9786582.3951994833</c:v>
                </c:pt>
                <c:pt idx="118">
                  <c:v>10440443.430429829</c:v>
                </c:pt>
                <c:pt idx="119">
                  <c:v>11646004.323297899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9-4953-8945-1F5860D9AB5E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9-4953-8945-1F5860D9AB5E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9-4953-8945-1F5860D9AB5E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9-4953-8945-1F5860D9A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512708990.99999994</c:v>
                </c:pt>
                <c:pt idx="1">
                  <c:v>507634502.00000006</c:v>
                </c:pt>
                <c:pt idx="2">
                  <c:v>515036055.76324266</c:v>
                </c:pt>
                <c:pt idx="3">
                  <c:v>521985566.99999994</c:v>
                </c:pt>
                <c:pt idx="4">
                  <c:v>540900649.98211288</c:v>
                </c:pt>
                <c:pt idx="5">
                  <c:v>550241794.14455068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119245755.00000001</c:v>
                </c:pt>
                <c:pt idx="1">
                  <c:v>126198741.00000001</c:v>
                </c:pt>
                <c:pt idx="2">
                  <c:v>126694932.13</c:v>
                </c:pt>
                <c:pt idx="3">
                  <c:v>131348675</c:v>
                </c:pt>
                <c:pt idx="4">
                  <c:v>125950801.90733734</c:v>
                </c:pt>
                <c:pt idx="5">
                  <c:v>125682650.1030491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6"/>
          <c:order val="2"/>
          <c:tx>
            <c:strRef>
              <c:f>'Summary Tables'!$R$6</c:f>
              <c:strCache>
                <c:ptCount val="1"/>
                <c:pt idx="0">
                  <c:v>GS 50-999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316908766.39933515</c:v>
                </c:pt>
                <c:pt idx="1">
                  <c:v>348496887.1782701</c:v>
                </c:pt>
                <c:pt idx="2">
                  <c:v>327578058.36395878</c:v>
                </c:pt>
                <c:pt idx="3">
                  <c:v>322872882.55999994</c:v>
                </c:pt>
                <c:pt idx="4">
                  <c:v>334392418.93346643</c:v>
                </c:pt>
                <c:pt idx="5">
                  <c:v>332076482.13314188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5-4A2E-9F74-D04481FFEFFF}"/>
            </c:ext>
          </c:extLst>
        </c:ser>
        <c:ser>
          <c:idx val="7"/>
          <c:order val="3"/>
          <c:tx>
            <c:strRef>
              <c:f>'Summary Tables'!$R$7</c:f>
              <c:strCache>
                <c:ptCount val="1"/>
                <c:pt idx="0">
                  <c:v>GS 1,000-4,999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70260671.590664953</c:v>
                </c:pt>
                <c:pt idx="1">
                  <c:v>81816679.460561812</c:v>
                </c:pt>
                <c:pt idx="2">
                  <c:v>77073500.362002477</c:v>
                </c:pt>
                <c:pt idx="3">
                  <c:v>81507757</c:v>
                </c:pt>
                <c:pt idx="4">
                  <c:v>78866726.422592267</c:v>
                </c:pt>
                <c:pt idx="5">
                  <c:v>74407628.446597368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5-4A2E-9F74-D04481FFEFFF}"/>
            </c:ext>
          </c:extLst>
        </c:ser>
        <c:ser>
          <c:idx val="2"/>
          <c:order val="4"/>
          <c:tx>
            <c:strRef>
              <c:f>'Summary Tables'!$R$8</c:f>
              <c:strCache>
                <c:ptCount val="1"/>
                <c:pt idx="0">
                  <c:v>Large Use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36146632</c:v>
                </c:pt>
                <c:pt idx="1">
                  <c:v>33850160</c:v>
                </c:pt>
                <c:pt idx="2">
                  <c:v>33850160.000000007</c:v>
                </c:pt>
                <c:pt idx="3">
                  <c:v>39718185</c:v>
                </c:pt>
                <c:pt idx="4">
                  <c:v>36036136.426540934</c:v>
                </c:pt>
                <c:pt idx="5">
                  <c:v>34949625.751541801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5"/>
          <c:tx>
            <c:strRef>
              <c:f>'Summary Tables'!$R$10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Tables'!$S$10:$X$10</c:f>
              <c:numCache>
                <c:formatCode>#,##0</c:formatCode>
                <c:ptCount val="6"/>
                <c:pt idx="0">
                  <c:v>26915.1</c:v>
                </c:pt>
                <c:pt idx="1">
                  <c:v>26915.1</c:v>
                </c:pt>
                <c:pt idx="2">
                  <c:v>26915.1</c:v>
                </c:pt>
                <c:pt idx="3">
                  <c:v>22593</c:v>
                </c:pt>
                <c:pt idx="4">
                  <c:v>25474.399999999998</c:v>
                </c:pt>
                <c:pt idx="5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8"/>
          <c:order val="6"/>
          <c:tx>
            <c:strRef>
              <c:f>'Summary Tables'!$R$9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Tables'!$S$9:$X$9</c:f>
              <c:numCache>
                <c:formatCode>#,##0</c:formatCode>
                <c:ptCount val="6"/>
                <c:pt idx="0">
                  <c:v>4352366.9999999981</c:v>
                </c:pt>
                <c:pt idx="1">
                  <c:v>4432743</c:v>
                </c:pt>
                <c:pt idx="2">
                  <c:v>4495190.04</c:v>
                </c:pt>
                <c:pt idx="3">
                  <c:v>4498710.0000000009</c:v>
                </c:pt>
                <c:pt idx="4">
                  <c:v>4533005.3102651397</c:v>
                </c:pt>
                <c:pt idx="5">
                  <c:v>4595142.2306357278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5-4A2E-9F74-D04481FFEFFF}"/>
            </c:ext>
          </c:extLst>
        </c:ser>
        <c:ser>
          <c:idx val="4"/>
          <c:order val="7"/>
          <c:tx>
            <c:strRef>
              <c:f>'Summary Tables'!$R$11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Tables'!$S$11:$X$11</c:f>
              <c:numCache>
                <c:formatCode>#,##0</c:formatCode>
                <c:ptCount val="6"/>
                <c:pt idx="0">
                  <c:v>2615361</c:v>
                </c:pt>
                <c:pt idx="1">
                  <c:v>2750057</c:v>
                </c:pt>
                <c:pt idx="2">
                  <c:v>2811443</c:v>
                </c:pt>
                <c:pt idx="3">
                  <c:v>2859026.0000000005</c:v>
                </c:pt>
                <c:pt idx="4">
                  <c:v>2879864.7535191379</c:v>
                </c:pt>
                <c:pt idx="5">
                  <c:v>2898787.7721564621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8"/>
          <c:tx>
            <c:strRef>
              <c:f>'Summary Tables'!$R$12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Tables'!$S$12:$X$12</c:f>
              <c:numCache>
                <c:formatCode>#,##0</c:formatCode>
                <c:ptCount val="6"/>
                <c:pt idx="0">
                  <c:v>1062265459.0900002</c:v>
                </c:pt>
                <c:pt idx="1">
                  <c:v>1105206684.738832</c:v>
                </c:pt>
                <c:pt idx="2">
                  <c:v>1087566254.7592039</c:v>
                </c:pt>
                <c:pt idx="3">
                  <c:v>1104813395.5599999</c:v>
                </c:pt>
                <c:pt idx="4">
                  <c:v>1123585078.135834</c:v>
                </c:pt>
                <c:pt idx="5">
                  <c:v>1124877584.9816732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510624"/>
        <c:axId val="406503424"/>
      </c:lineChart>
      <c:catAx>
        <c:axId val="4065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03424"/>
        <c:crosses val="autoZero"/>
        <c:auto val="1"/>
        <c:lblAlgn val="ctr"/>
        <c:lblOffset val="100"/>
        <c:noMultiLvlLbl val="0"/>
      </c:catAx>
      <c:valAx>
        <c:axId val="40650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WN'!$R$1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WN'!$R$2:$R$145</c:f>
              <c:numCache>
                <c:formatCode>_(* #,##0.00_);_(* \(#,##0.00\);_(* "-"??_);_(@_)</c:formatCode>
                <c:ptCount val="144"/>
                <c:pt idx="0">
                  <c:v>45850367.71433688</c:v>
                </c:pt>
                <c:pt idx="1">
                  <c:v>41604731.575170204</c:v>
                </c:pt>
                <c:pt idx="2">
                  <c:v>38617393.336537264</c:v>
                </c:pt>
                <c:pt idx="3">
                  <c:v>37551666.810469151</c:v>
                </c:pt>
                <c:pt idx="4">
                  <c:v>31306714.798153676</c:v>
                </c:pt>
                <c:pt idx="5">
                  <c:v>37420432.945145331</c:v>
                </c:pt>
                <c:pt idx="6">
                  <c:v>42623981.860447377</c:v>
                </c:pt>
                <c:pt idx="7">
                  <c:v>47906686.167442717</c:v>
                </c:pt>
                <c:pt idx="8">
                  <c:v>38895138.433254786</c:v>
                </c:pt>
                <c:pt idx="9">
                  <c:v>33417836.940322846</c:v>
                </c:pt>
                <c:pt idx="10">
                  <c:v>37645967.496574454</c:v>
                </c:pt>
                <c:pt idx="11">
                  <c:v>45089665.330282129</c:v>
                </c:pt>
                <c:pt idx="12">
                  <c:v>45607373.705298856</c:v>
                </c:pt>
                <c:pt idx="13">
                  <c:v>45064020.625849105</c:v>
                </c:pt>
                <c:pt idx="14">
                  <c:v>39475263.485563911</c:v>
                </c:pt>
                <c:pt idx="15">
                  <c:v>34853809.720812321</c:v>
                </c:pt>
                <c:pt idx="16">
                  <c:v>31331096.108111519</c:v>
                </c:pt>
                <c:pt idx="17">
                  <c:v>38240852.586414494</c:v>
                </c:pt>
                <c:pt idx="18">
                  <c:v>46323132.381752566</c:v>
                </c:pt>
                <c:pt idx="19">
                  <c:v>48969719.85387408</c:v>
                </c:pt>
                <c:pt idx="20">
                  <c:v>41177106.817126252</c:v>
                </c:pt>
                <c:pt idx="21">
                  <c:v>30814980.051196817</c:v>
                </c:pt>
                <c:pt idx="22">
                  <c:v>37045699.615471087</c:v>
                </c:pt>
                <c:pt idx="23">
                  <c:v>41072350.6446651</c:v>
                </c:pt>
                <c:pt idx="24">
                  <c:v>49206992.242107943</c:v>
                </c:pt>
                <c:pt idx="25">
                  <c:v>46116771.87869779</c:v>
                </c:pt>
                <c:pt idx="26">
                  <c:v>38950099.932607554</c:v>
                </c:pt>
                <c:pt idx="27">
                  <c:v>38408092.089980967</c:v>
                </c:pt>
                <c:pt idx="28">
                  <c:v>34718318.987641916</c:v>
                </c:pt>
                <c:pt idx="29">
                  <c:v>38757807.987276196</c:v>
                </c:pt>
                <c:pt idx="30">
                  <c:v>45220758.7336291</c:v>
                </c:pt>
                <c:pt idx="31">
                  <c:v>46500953.983077548</c:v>
                </c:pt>
                <c:pt idx="32">
                  <c:v>39905148.661524236</c:v>
                </c:pt>
                <c:pt idx="33">
                  <c:v>36443717.442843348</c:v>
                </c:pt>
                <c:pt idx="34">
                  <c:v>38888326.047158614</c:v>
                </c:pt>
                <c:pt idx="35">
                  <c:v>40076533.516387567</c:v>
                </c:pt>
                <c:pt idx="36">
                  <c:v>47276557.309166819</c:v>
                </c:pt>
                <c:pt idx="37">
                  <c:v>43922454.089006424</c:v>
                </c:pt>
                <c:pt idx="38">
                  <c:v>42705409.161518157</c:v>
                </c:pt>
                <c:pt idx="39">
                  <c:v>37978433.9408186</c:v>
                </c:pt>
                <c:pt idx="40">
                  <c:v>30940651.551113568</c:v>
                </c:pt>
                <c:pt idx="41">
                  <c:v>39209104.077215374</c:v>
                </c:pt>
                <c:pt idx="42">
                  <c:v>47684581.003387049</c:v>
                </c:pt>
                <c:pt idx="43">
                  <c:v>48932944.813268907</c:v>
                </c:pt>
                <c:pt idx="44">
                  <c:v>43524494.110795908</c:v>
                </c:pt>
                <c:pt idx="45">
                  <c:v>33795773.231849529</c:v>
                </c:pt>
                <c:pt idx="46">
                  <c:v>37280774.838456616</c:v>
                </c:pt>
                <c:pt idx="47">
                  <c:v>43227482.88228377</c:v>
                </c:pt>
                <c:pt idx="48">
                  <c:v>46827465.422030136</c:v>
                </c:pt>
                <c:pt idx="49">
                  <c:v>46380819.105087779</c:v>
                </c:pt>
                <c:pt idx="50">
                  <c:v>38219402.492720872</c:v>
                </c:pt>
                <c:pt idx="51">
                  <c:v>38538306.18516314</c:v>
                </c:pt>
                <c:pt idx="52">
                  <c:v>37307278.662515111</c:v>
                </c:pt>
                <c:pt idx="53">
                  <c:v>37835322.92185276</c:v>
                </c:pt>
                <c:pt idx="54">
                  <c:v>50012871.913984403</c:v>
                </c:pt>
                <c:pt idx="55">
                  <c:v>51629490.43887125</c:v>
                </c:pt>
                <c:pt idx="56">
                  <c:v>42378253.755147964</c:v>
                </c:pt>
                <c:pt idx="57">
                  <c:v>36887569.41914846</c:v>
                </c:pt>
                <c:pt idx="58">
                  <c:v>37566843.554286197</c:v>
                </c:pt>
                <c:pt idx="59">
                  <c:v>45044097.927678742</c:v>
                </c:pt>
                <c:pt idx="60">
                  <c:v>50793430.941127941</c:v>
                </c:pt>
                <c:pt idx="61">
                  <c:v>46063280.422230579</c:v>
                </c:pt>
                <c:pt idx="62">
                  <c:v>42659961.839854777</c:v>
                </c:pt>
                <c:pt idx="63">
                  <c:v>41419153.359751344</c:v>
                </c:pt>
                <c:pt idx="64">
                  <c:v>38372447.834298566</c:v>
                </c:pt>
                <c:pt idx="65">
                  <c:v>45505255.785295427</c:v>
                </c:pt>
                <c:pt idx="66">
                  <c:v>55920549.382460967</c:v>
                </c:pt>
                <c:pt idx="67">
                  <c:v>55313121.446752399</c:v>
                </c:pt>
                <c:pt idx="68">
                  <c:v>46337241.488910243</c:v>
                </c:pt>
                <c:pt idx="69">
                  <c:v>36910040.2381173</c:v>
                </c:pt>
                <c:pt idx="70">
                  <c:v>41540235.57129202</c:v>
                </c:pt>
                <c:pt idx="71">
                  <c:v>45924585.506339408</c:v>
                </c:pt>
                <c:pt idx="72">
                  <c:v>53156054.303193256</c:v>
                </c:pt>
                <c:pt idx="73">
                  <c:v>49275342.889859974</c:v>
                </c:pt>
                <c:pt idx="74">
                  <c:v>43233345.261160932</c:v>
                </c:pt>
                <c:pt idx="75">
                  <c:v>39822655.368707381</c:v>
                </c:pt>
                <c:pt idx="76">
                  <c:v>38324001.322136305</c:v>
                </c:pt>
                <c:pt idx="77">
                  <c:v>43509751.213171147</c:v>
                </c:pt>
                <c:pt idx="78">
                  <c:v>52015307.674016356</c:v>
                </c:pt>
                <c:pt idx="79">
                  <c:v>52068155.471224077</c:v>
                </c:pt>
                <c:pt idx="80">
                  <c:v>48430879.454924896</c:v>
                </c:pt>
                <c:pt idx="81">
                  <c:v>35614155.005219407</c:v>
                </c:pt>
                <c:pt idx="82">
                  <c:v>39153770.261300601</c:v>
                </c:pt>
                <c:pt idx="83">
                  <c:v>47263954.490121089</c:v>
                </c:pt>
                <c:pt idx="84">
                  <c:v>46802262.320213057</c:v>
                </c:pt>
                <c:pt idx="85">
                  <c:v>45432598.496693291</c:v>
                </c:pt>
                <c:pt idx="86">
                  <c:v>48891294.705578029</c:v>
                </c:pt>
                <c:pt idx="87">
                  <c:v>41255112.652732819</c:v>
                </c:pt>
                <c:pt idx="88">
                  <c:v>36356231.98960866</c:v>
                </c:pt>
                <c:pt idx="89">
                  <c:v>42514020.090831518</c:v>
                </c:pt>
                <c:pt idx="90">
                  <c:v>50957729.456479155</c:v>
                </c:pt>
                <c:pt idx="91">
                  <c:v>53562453.238085605</c:v>
                </c:pt>
                <c:pt idx="92">
                  <c:v>46443883.242628612</c:v>
                </c:pt>
                <c:pt idx="93">
                  <c:v>37013098.036657505</c:v>
                </c:pt>
                <c:pt idx="94">
                  <c:v>39274041.497889169</c:v>
                </c:pt>
                <c:pt idx="95">
                  <c:v>45693697.006805681</c:v>
                </c:pt>
                <c:pt idx="96">
                  <c:v>53128116.714399181</c:v>
                </c:pt>
                <c:pt idx="97">
                  <c:v>49893210.089690715</c:v>
                </c:pt>
                <c:pt idx="98">
                  <c:v>43908878.970198832</c:v>
                </c:pt>
                <c:pt idx="99">
                  <c:v>41534078.144382171</c:v>
                </c:pt>
                <c:pt idx="100">
                  <c:v>38538350.381375723</c:v>
                </c:pt>
                <c:pt idx="101">
                  <c:v>43675474.64590089</c:v>
                </c:pt>
                <c:pt idx="102">
                  <c:v>53860803.636023387</c:v>
                </c:pt>
                <c:pt idx="103">
                  <c:v>55001883.369176805</c:v>
                </c:pt>
                <c:pt idx="104">
                  <c:v>46478778.324616887</c:v>
                </c:pt>
                <c:pt idx="105">
                  <c:v>38466307.347292468</c:v>
                </c:pt>
                <c:pt idx="106">
                  <c:v>41269195.614923432</c:v>
                </c:pt>
                <c:pt idx="107">
                  <c:v>49506645.160209015</c:v>
                </c:pt>
                <c:pt idx="108">
                  <c:v>51638255.407663122</c:v>
                </c:pt>
                <c:pt idx="109">
                  <c:v>46239063.99607335</c:v>
                </c:pt>
                <c:pt idx="110">
                  <c:v>48092104.363879167</c:v>
                </c:pt>
                <c:pt idx="111">
                  <c:v>42761246.448710017</c:v>
                </c:pt>
                <c:pt idx="112">
                  <c:v>40458825.797737353</c:v>
                </c:pt>
                <c:pt idx="113">
                  <c:v>45408017.301788814</c:v>
                </c:pt>
                <c:pt idx="114">
                  <c:v>55339276.358156361</c:v>
                </c:pt>
                <c:pt idx="115">
                  <c:v>56007019.706386454</c:v>
                </c:pt>
                <c:pt idx="116">
                  <c:v>46737123.132093452</c:v>
                </c:pt>
                <c:pt idx="117">
                  <c:v>40296575.558065385</c:v>
                </c:pt>
                <c:pt idx="118">
                  <c:v>42370158.698904715</c:v>
                </c:pt>
                <c:pt idx="119">
                  <c:v>47241062.189498231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WN'!$S$2:$S$145</c:f>
              <c:numCache>
                <c:formatCode>_(* #,##0.0_);_(* \(#,##0.0\);_(* "-"??_);_(@_)</c:formatCode>
                <c:ptCount val="144"/>
                <c:pt idx="0">
                  <c:v>13279112.830614297</c:v>
                </c:pt>
                <c:pt idx="1">
                  <c:v>11460395.994298978</c:v>
                </c:pt>
                <c:pt idx="2">
                  <c:v>11833883.072721032</c:v>
                </c:pt>
                <c:pt idx="3">
                  <c:v>10684314.863911534</c:v>
                </c:pt>
                <c:pt idx="4">
                  <c:v>10252379.585533068</c:v>
                </c:pt>
                <c:pt idx="5">
                  <c:v>10683952.700379744</c:v>
                </c:pt>
                <c:pt idx="6">
                  <c:v>11700221.441629939</c:v>
                </c:pt>
                <c:pt idx="7">
                  <c:v>11576068.188073432</c:v>
                </c:pt>
                <c:pt idx="8">
                  <c:v>10479768.613487447</c:v>
                </c:pt>
                <c:pt idx="9">
                  <c:v>9991426.7610954866</c:v>
                </c:pt>
                <c:pt idx="10">
                  <c:v>10951655.175851282</c:v>
                </c:pt>
                <c:pt idx="11">
                  <c:v>11938504.959189724</c:v>
                </c:pt>
                <c:pt idx="12">
                  <c:v>12697164.933124287</c:v>
                </c:pt>
                <c:pt idx="13">
                  <c:v>11708499.115359107</c:v>
                </c:pt>
                <c:pt idx="14">
                  <c:v>11847013.913277004</c:v>
                </c:pt>
                <c:pt idx="15">
                  <c:v>10141286.808663193</c:v>
                </c:pt>
                <c:pt idx="16">
                  <c:v>10004709.412659733</c:v>
                </c:pt>
                <c:pt idx="17">
                  <c:v>10332861.684106827</c:v>
                </c:pt>
                <c:pt idx="18">
                  <c:v>11666925.289672472</c:v>
                </c:pt>
                <c:pt idx="19">
                  <c:v>11615970.112160159</c:v>
                </c:pt>
                <c:pt idx="20">
                  <c:v>10539433.843882754</c:v>
                </c:pt>
                <c:pt idx="21">
                  <c:v>10045119.068316862</c:v>
                </c:pt>
                <c:pt idx="22">
                  <c:v>10744982.453717932</c:v>
                </c:pt>
                <c:pt idx="23">
                  <c:v>11681259.766769012</c:v>
                </c:pt>
                <c:pt idx="24">
                  <c:v>12772172.614954386</c:v>
                </c:pt>
                <c:pt idx="25">
                  <c:v>11564572.802306116</c:v>
                </c:pt>
                <c:pt idx="26">
                  <c:v>11894115.816014759</c:v>
                </c:pt>
                <c:pt idx="27">
                  <c:v>10599555.775026895</c:v>
                </c:pt>
                <c:pt idx="28">
                  <c:v>10389033.445649102</c:v>
                </c:pt>
                <c:pt idx="29">
                  <c:v>10541183.421844358</c:v>
                </c:pt>
                <c:pt idx="30">
                  <c:v>11845381.44803652</c:v>
                </c:pt>
                <c:pt idx="31">
                  <c:v>11694707.419914609</c:v>
                </c:pt>
                <c:pt idx="32">
                  <c:v>10475658.281160045</c:v>
                </c:pt>
                <c:pt idx="33">
                  <c:v>10245164.245194253</c:v>
                </c:pt>
                <c:pt idx="34">
                  <c:v>11027662.635887824</c:v>
                </c:pt>
                <c:pt idx="35">
                  <c:v>11882325.510878727</c:v>
                </c:pt>
                <c:pt idx="36">
                  <c:v>13456409.346333656</c:v>
                </c:pt>
                <c:pt idx="37">
                  <c:v>12046101.709566558</c:v>
                </c:pt>
                <c:pt idx="38">
                  <c:v>12008146.506100981</c:v>
                </c:pt>
                <c:pt idx="39">
                  <c:v>10706869.505980946</c:v>
                </c:pt>
                <c:pt idx="40">
                  <c:v>10450476.75928876</c:v>
                </c:pt>
                <c:pt idx="41">
                  <c:v>10708848.685077665</c:v>
                </c:pt>
                <c:pt idx="42">
                  <c:v>12009507.34632571</c:v>
                </c:pt>
                <c:pt idx="43">
                  <c:v>12187631.902455809</c:v>
                </c:pt>
                <c:pt idx="44">
                  <c:v>10780219.534233937</c:v>
                </c:pt>
                <c:pt idx="45">
                  <c:v>10686008.505641123</c:v>
                </c:pt>
                <c:pt idx="46">
                  <c:v>11006686.603159048</c:v>
                </c:pt>
                <c:pt idx="47">
                  <c:v>11841826.533622837</c:v>
                </c:pt>
                <c:pt idx="48">
                  <c:v>11980766.621996019</c:v>
                </c:pt>
                <c:pt idx="49">
                  <c:v>10733387.43603058</c:v>
                </c:pt>
                <c:pt idx="50">
                  <c:v>10825197.483044649</c:v>
                </c:pt>
                <c:pt idx="51">
                  <c:v>9558088.8838117402</c:v>
                </c:pt>
                <c:pt idx="52">
                  <c:v>9511763.4394420646</c:v>
                </c:pt>
                <c:pt idx="53">
                  <c:v>9600810.1547104605</c:v>
                </c:pt>
                <c:pt idx="54">
                  <c:v>10924778.768042348</c:v>
                </c:pt>
                <c:pt idx="55">
                  <c:v>10711980.399817467</c:v>
                </c:pt>
                <c:pt idx="56">
                  <c:v>9521911.8716225326</c:v>
                </c:pt>
                <c:pt idx="57">
                  <c:v>9178008.2766795941</c:v>
                </c:pt>
                <c:pt idx="58">
                  <c:v>9804461.2368342578</c:v>
                </c:pt>
                <c:pt idx="59">
                  <c:v>10811249.832945656</c:v>
                </c:pt>
                <c:pt idx="60">
                  <c:v>12541857.667979755</c:v>
                </c:pt>
                <c:pt idx="61">
                  <c:v>11348408.312846405</c:v>
                </c:pt>
                <c:pt idx="62">
                  <c:v>10915825.791529829</c:v>
                </c:pt>
                <c:pt idx="63">
                  <c:v>8395136.025931403</c:v>
                </c:pt>
                <c:pt idx="64">
                  <c:v>8110961.1552903168</c:v>
                </c:pt>
                <c:pt idx="65">
                  <c:v>9056398.1467535328</c:v>
                </c:pt>
                <c:pt idx="66">
                  <c:v>10755526.289457843</c:v>
                </c:pt>
                <c:pt idx="67">
                  <c:v>10717721.698676653</c:v>
                </c:pt>
                <c:pt idx="68">
                  <c:v>9424979.5024567116</c:v>
                </c:pt>
                <c:pt idx="69">
                  <c:v>9053113.2047320772</c:v>
                </c:pt>
                <c:pt idx="70">
                  <c:v>9946273.3471522052</c:v>
                </c:pt>
                <c:pt idx="71">
                  <c:v>10862886.32128562</c:v>
                </c:pt>
                <c:pt idx="72">
                  <c:v>11000144.10509865</c:v>
                </c:pt>
                <c:pt idx="73">
                  <c:v>9971172.7855352536</c:v>
                </c:pt>
                <c:pt idx="74">
                  <c:v>11982058.10444049</c:v>
                </c:pt>
                <c:pt idx="75">
                  <c:v>9485018.8263103496</c:v>
                </c:pt>
                <c:pt idx="76">
                  <c:v>8866068.0934437979</c:v>
                </c:pt>
                <c:pt idx="77">
                  <c:v>9650337.5372860096</c:v>
                </c:pt>
                <c:pt idx="78">
                  <c:v>11471694.701338217</c:v>
                </c:pt>
                <c:pt idx="79">
                  <c:v>11414508.905982949</c:v>
                </c:pt>
                <c:pt idx="80">
                  <c:v>10121302.883587087</c:v>
                </c:pt>
                <c:pt idx="81">
                  <c:v>9692477.8526094519</c:v>
                </c:pt>
                <c:pt idx="82">
                  <c:v>10230253.757306144</c:v>
                </c:pt>
                <c:pt idx="83">
                  <c:v>12326014.487929652</c:v>
                </c:pt>
                <c:pt idx="84">
                  <c:v>11969069.512606684</c:v>
                </c:pt>
                <c:pt idx="85">
                  <c:v>11565035.852778964</c:v>
                </c:pt>
                <c:pt idx="86">
                  <c:v>11918417.410019794</c:v>
                </c:pt>
                <c:pt idx="87">
                  <c:v>10262111.755687905</c:v>
                </c:pt>
                <c:pt idx="88">
                  <c:v>10089111.608994083</c:v>
                </c:pt>
                <c:pt idx="89">
                  <c:v>10726671.004982905</c:v>
                </c:pt>
                <c:pt idx="90">
                  <c:v>11899565.527406532</c:v>
                </c:pt>
                <c:pt idx="91">
                  <c:v>11970313.07969345</c:v>
                </c:pt>
                <c:pt idx="92">
                  <c:v>10501355.088999268</c:v>
                </c:pt>
                <c:pt idx="93">
                  <c:v>9922878.5590399913</c:v>
                </c:pt>
                <c:pt idx="94">
                  <c:v>10773528.720282711</c:v>
                </c:pt>
                <c:pt idx="95">
                  <c:v>12137555.814835146</c:v>
                </c:pt>
                <c:pt idx="96">
                  <c:v>12421695.436663704</c:v>
                </c:pt>
                <c:pt idx="97">
                  <c:v>11554748.474654585</c:v>
                </c:pt>
                <c:pt idx="98">
                  <c:v>11803448.797817372</c:v>
                </c:pt>
                <c:pt idx="99">
                  <c:v>10157875.701851988</c:v>
                </c:pt>
                <c:pt idx="100">
                  <c:v>10515999.434539944</c:v>
                </c:pt>
                <c:pt idx="101">
                  <c:v>11070565.100767994</c:v>
                </c:pt>
                <c:pt idx="102">
                  <c:v>12702684.462765956</c:v>
                </c:pt>
                <c:pt idx="103">
                  <c:v>12307772.802185241</c:v>
                </c:pt>
                <c:pt idx="104">
                  <c:v>10946455.678284155</c:v>
                </c:pt>
                <c:pt idx="105">
                  <c:v>10500501.206350325</c:v>
                </c:pt>
                <c:pt idx="106">
                  <c:v>11011583.134827035</c:v>
                </c:pt>
                <c:pt idx="107">
                  <c:v>12682550.218834143</c:v>
                </c:pt>
                <c:pt idx="108">
                  <c:v>13340621.007123666</c:v>
                </c:pt>
                <c:pt idx="109">
                  <c:v>12255801.780649662</c:v>
                </c:pt>
                <c:pt idx="110">
                  <c:v>12311421.134841412</c:v>
                </c:pt>
                <c:pt idx="111">
                  <c:v>11078372.362314856</c:v>
                </c:pt>
                <c:pt idx="112">
                  <c:v>11034913.807409288</c:v>
                </c:pt>
                <c:pt idx="113">
                  <c:v>11444523.004515432</c:v>
                </c:pt>
                <c:pt idx="114">
                  <c:v>13121988.588868771</c:v>
                </c:pt>
                <c:pt idx="115">
                  <c:v>12643103.868765026</c:v>
                </c:pt>
                <c:pt idx="116">
                  <c:v>11144586.172136888</c:v>
                </c:pt>
                <c:pt idx="117">
                  <c:v>10630711.633149674</c:v>
                </c:pt>
                <c:pt idx="118">
                  <c:v>11378484.387716016</c:v>
                </c:pt>
                <c:pt idx="119">
                  <c:v>12862097.161260456</c:v>
                </c:pt>
                <c:pt idx="120">
                  <c:v>12716653.781369381</c:v>
                </c:pt>
                <c:pt idx="121">
                  <c:v>11551109.402942803</c:v>
                </c:pt>
                <c:pt idx="122">
                  <c:v>11927147.763716068</c:v>
                </c:pt>
                <c:pt idx="123">
                  <c:v>10655035.081702454</c:v>
                </c:pt>
                <c:pt idx="124">
                  <c:v>10519810.703906614</c:v>
                </c:pt>
                <c:pt idx="125">
                  <c:v>10850330.482430471</c:v>
                </c:pt>
                <c:pt idx="126">
                  <c:v>12302291.99676875</c:v>
                </c:pt>
                <c:pt idx="127">
                  <c:v>11996480.17927026</c:v>
                </c:pt>
                <c:pt idx="128">
                  <c:v>10551732.37103695</c:v>
                </c:pt>
                <c:pt idx="129">
                  <c:v>10548073.405668985</c:v>
                </c:pt>
                <c:pt idx="130">
                  <c:v>11069695.049453998</c:v>
                </c:pt>
                <c:pt idx="131">
                  <c:v>12140353.218834393</c:v>
                </c:pt>
                <c:pt idx="132">
                  <c:v>12791469.49341258</c:v>
                </c:pt>
                <c:pt idx="133">
                  <c:v>11624234.625642288</c:v>
                </c:pt>
                <c:pt idx="134">
                  <c:v>11986419.660898343</c:v>
                </c:pt>
                <c:pt idx="135">
                  <c:v>10717190.114399044</c:v>
                </c:pt>
                <c:pt idx="136">
                  <c:v>10603106.353272865</c:v>
                </c:pt>
                <c:pt idx="137">
                  <c:v>10921309.710972559</c:v>
                </c:pt>
                <c:pt idx="138">
                  <c:v>12373334.672751626</c:v>
                </c:pt>
                <c:pt idx="139">
                  <c:v>12067586.359408794</c:v>
                </c:pt>
                <c:pt idx="140">
                  <c:v>10622902.112096708</c:v>
                </c:pt>
                <c:pt idx="141">
                  <c:v>10619306.764466275</c:v>
                </c:pt>
                <c:pt idx="142">
                  <c:v>11140992.082855921</c:v>
                </c:pt>
                <c:pt idx="143">
                  <c:v>12211713.983758876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'GS50-999 Normalized Monthly WN'!$D$1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'GS50-999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WN'!$S$2:$S$145</c:f>
              <c:numCache>
                <c:formatCode>_(* #,##0_);_(* \(#,##0\);_(* "-"??_);_(@_)</c:formatCode>
                <c:ptCount val="144"/>
                <c:pt idx="0">
                  <c:v>30888538.80480177</c:v>
                </c:pt>
                <c:pt idx="1">
                  <c:v>29743338.379677225</c:v>
                </c:pt>
                <c:pt idx="2">
                  <c:v>27828665.137972638</c:v>
                </c:pt>
                <c:pt idx="3">
                  <c:v>25203219.488266736</c:v>
                </c:pt>
                <c:pt idx="4">
                  <c:v>25375200.943664867</c:v>
                </c:pt>
                <c:pt idx="5">
                  <c:v>25355607.428050045</c:v>
                </c:pt>
                <c:pt idx="6">
                  <c:v>28212054.000512086</c:v>
                </c:pt>
                <c:pt idx="7">
                  <c:v>27833122.587582294</c:v>
                </c:pt>
                <c:pt idx="8">
                  <c:v>24729832.950563464</c:v>
                </c:pt>
                <c:pt idx="9">
                  <c:v>25588120.755257268</c:v>
                </c:pt>
                <c:pt idx="10">
                  <c:v>28052449.856563535</c:v>
                </c:pt>
                <c:pt idx="11">
                  <c:v>31489608.551264416</c:v>
                </c:pt>
                <c:pt idx="12">
                  <c:v>32812090.636135459</c:v>
                </c:pt>
                <c:pt idx="13">
                  <c:v>29253423.235615734</c:v>
                </c:pt>
                <c:pt idx="14">
                  <c:v>31632611.644405127</c:v>
                </c:pt>
                <c:pt idx="15">
                  <c:v>24795338.196507148</c:v>
                </c:pt>
                <c:pt idx="16">
                  <c:v>25139128.322923273</c:v>
                </c:pt>
                <c:pt idx="17">
                  <c:v>24776936.834948234</c:v>
                </c:pt>
                <c:pt idx="18">
                  <c:v>29742698.403401952</c:v>
                </c:pt>
                <c:pt idx="19">
                  <c:v>28620009.224779267</c:v>
                </c:pt>
                <c:pt idx="20">
                  <c:v>25084293.232875701</c:v>
                </c:pt>
                <c:pt idx="21">
                  <c:v>26231229.792036604</c:v>
                </c:pt>
                <c:pt idx="22">
                  <c:v>27402052.036203604</c:v>
                </c:pt>
                <c:pt idx="23">
                  <c:v>30521668.730587035</c:v>
                </c:pt>
                <c:pt idx="24">
                  <c:v>36199236.586689524</c:v>
                </c:pt>
                <c:pt idx="25">
                  <c:v>30538614.906214576</c:v>
                </c:pt>
                <c:pt idx="26">
                  <c:v>29980982.887835275</c:v>
                </c:pt>
                <c:pt idx="27">
                  <c:v>26759393.60173345</c:v>
                </c:pt>
                <c:pt idx="28">
                  <c:v>27852141.648529969</c:v>
                </c:pt>
                <c:pt idx="29">
                  <c:v>24984002.859695442</c:v>
                </c:pt>
                <c:pt idx="30">
                  <c:v>32540350.150899861</c:v>
                </c:pt>
                <c:pt idx="31">
                  <c:v>28398179.548472889</c:v>
                </c:pt>
                <c:pt idx="32">
                  <c:v>27432559.857374974</c:v>
                </c:pt>
                <c:pt idx="33">
                  <c:v>28909432.089412965</c:v>
                </c:pt>
                <c:pt idx="34">
                  <c:v>28734828.035732578</c:v>
                </c:pt>
                <c:pt idx="35">
                  <c:v>29743767.473365616</c:v>
                </c:pt>
                <c:pt idx="36">
                  <c:v>32912018.311264321</c:v>
                </c:pt>
                <c:pt idx="37">
                  <c:v>27902120.051591072</c:v>
                </c:pt>
                <c:pt idx="38">
                  <c:v>28608344.860490881</c:v>
                </c:pt>
                <c:pt idx="39">
                  <c:v>25645508.933776613</c:v>
                </c:pt>
                <c:pt idx="40">
                  <c:v>22923573.560260385</c:v>
                </c:pt>
                <c:pt idx="41">
                  <c:v>27077215.73490594</c:v>
                </c:pt>
                <c:pt idx="42">
                  <c:v>28785774.039796066</c:v>
                </c:pt>
                <c:pt idx="43">
                  <c:v>25281406.899113338</c:v>
                </c:pt>
                <c:pt idx="44">
                  <c:v>24436630.83602025</c:v>
                </c:pt>
                <c:pt idx="45">
                  <c:v>24437294.107040241</c:v>
                </c:pt>
                <c:pt idx="46">
                  <c:v>27129646.974041846</c:v>
                </c:pt>
                <c:pt idx="47">
                  <c:v>29680662.459390912</c:v>
                </c:pt>
                <c:pt idx="48">
                  <c:v>33101308.377224546</c:v>
                </c:pt>
                <c:pt idx="49">
                  <c:v>29830492.223476462</c:v>
                </c:pt>
                <c:pt idx="50">
                  <c:v>29511737.060376272</c:v>
                </c:pt>
                <c:pt idx="51">
                  <c:v>25457258.718958784</c:v>
                </c:pt>
                <c:pt idx="52">
                  <c:v>25442413.772718329</c:v>
                </c:pt>
                <c:pt idx="53">
                  <c:v>25191760.29566646</c:v>
                </c:pt>
                <c:pt idx="54">
                  <c:v>29150152.043074254</c:v>
                </c:pt>
                <c:pt idx="55">
                  <c:v>26897976.395278446</c:v>
                </c:pt>
                <c:pt idx="56">
                  <c:v>25079735.169452697</c:v>
                </c:pt>
                <c:pt idx="57">
                  <c:v>24674219.085321452</c:v>
                </c:pt>
                <c:pt idx="58">
                  <c:v>29028733.556766469</c:v>
                </c:pt>
                <c:pt idx="59">
                  <c:v>29856547.890516005</c:v>
                </c:pt>
                <c:pt idx="60">
                  <c:v>32902320.565214533</c:v>
                </c:pt>
                <c:pt idx="61">
                  <c:v>29066065.944860533</c:v>
                </c:pt>
                <c:pt idx="62">
                  <c:v>28690615.096780904</c:v>
                </c:pt>
                <c:pt idx="63">
                  <c:v>21792739.377184123</c:v>
                </c:pt>
                <c:pt idx="64">
                  <c:v>20969294.883639202</c:v>
                </c:pt>
                <c:pt idx="65">
                  <c:v>23484819.466090012</c:v>
                </c:pt>
                <c:pt idx="66">
                  <c:v>26843874.905347724</c:v>
                </c:pt>
                <c:pt idx="67">
                  <c:v>26788474.363701049</c:v>
                </c:pt>
                <c:pt idx="68">
                  <c:v>23433053.667139426</c:v>
                </c:pt>
                <c:pt idx="69">
                  <c:v>22172288.667781692</c:v>
                </c:pt>
                <c:pt idx="70">
                  <c:v>24203310.929560535</c:v>
                </c:pt>
                <c:pt idx="71">
                  <c:v>31652223.469152793</c:v>
                </c:pt>
                <c:pt idx="72">
                  <c:v>30590276.715056367</c:v>
                </c:pt>
                <c:pt idx="73">
                  <c:v>25178848.433405697</c:v>
                </c:pt>
                <c:pt idx="74">
                  <c:v>30745536.586310964</c:v>
                </c:pt>
                <c:pt idx="75">
                  <c:v>24037762.22057962</c:v>
                </c:pt>
                <c:pt idx="76">
                  <c:v>22869444.469266813</c:v>
                </c:pt>
                <c:pt idx="77">
                  <c:v>24280310.609310731</c:v>
                </c:pt>
                <c:pt idx="78">
                  <c:v>27430617.746619895</c:v>
                </c:pt>
                <c:pt idx="79">
                  <c:v>27901281.454874642</c:v>
                </c:pt>
                <c:pt idx="80">
                  <c:v>22571424.720596872</c:v>
                </c:pt>
                <c:pt idx="81">
                  <c:v>26861034.429054588</c:v>
                </c:pt>
                <c:pt idx="82">
                  <c:v>25929899.658598654</c:v>
                </c:pt>
                <c:pt idx="83">
                  <c:v>31966694.288178094</c:v>
                </c:pt>
                <c:pt idx="84">
                  <c:v>32862680.342625186</c:v>
                </c:pt>
                <c:pt idx="85">
                  <c:v>33181345.323552106</c:v>
                </c:pt>
                <c:pt idx="86">
                  <c:v>30324733.414970592</c:v>
                </c:pt>
                <c:pt idx="87">
                  <c:v>27582836.593208697</c:v>
                </c:pt>
                <c:pt idx="88">
                  <c:v>25833945.620885532</c:v>
                </c:pt>
                <c:pt idx="89">
                  <c:v>27372951.103386026</c:v>
                </c:pt>
                <c:pt idx="90">
                  <c:v>30903630.159064442</c:v>
                </c:pt>
                <c:pt idx="91">
                  <c:v>27855333.917884067</c:v>
                </c:pt>
                <c:pt idx="92">
                  <c:v>27735372.162863147</c:v>
                </c:pt>
                <c:pt idx="93">
                  <c:v>26864245.524362158</c:v>
                </c:pt>
                <c:pt idx="94">
                  <c:v>27419890.635464545</c:v>
                </c:pt>
                <c:pt idx="95">
                  <c:v>33141934.15049443</c:v>
                </c:pt>
                <c:pt idx="96">
                  <c:v>35345630.237114899</c:v>
                </c:pt>
                <c:pt idx="97">
                  <c:v>30140677.735691197</c:v>
                </c:pt>
                <c:pt idx="98">
                  <c:v>28817294.545086067</c:v>
                </c:pt>
                <c:pt idx="99">
                  <c:v>26007311.732892383</c:v>
                </c:pt>
                <c:pt idx="100">
                  <c:v>26422604.96823635</c:v>
                </c:pt>
                <c:pt idx="101">
                  <c:v>25909866.836284671</c:v>
                </c:pt>
                <c:pt idx="102">
                  <c:v>29594125.795674976</c:v>
                </c:pt>
                <c:pt idx="103">
                  <c:v>28467047.958531845</c:v>
                </c:pt>
                <c:pt idx="104">
                  <c:v>25844268.375780333</c:v>
                </c:pt>
                <c:pt idx="105">
                  <c:v>25444990.425741371</c:v>
                </c:pt>
                <c:pt idx="106">
                  <c:v>27275282.25002886</c:v>
                </c:pt>
                <c:pt idx="107">
                  <c:v>30531143.480100706</c:v>
                </c:pt>
                <c:pt idx="108">
                  <c:v>33851593.008275852</c:v>
                </c:pt>
                <c:pt idx="109">
                  <c:v>29776053.801183794</c:v>
                </c:pt>
                <c:pt idx="110">
                  <c:v>29528603.156442083</c:v>
                </c:pt>
                <c:pt idx="111">
                  <c:v>24770146.986710619</c:v>
                </c:pt>
                <c:pt idx="112">
                  <c:v>26099290.540696561</c:v>
                </c:pt>
                <c:pt idx="113">
                  <c:v>26986971.493072551</c:v>
                </c:pt>
                <c:pt idx="114">
                  <c:v>29467243.082762439</c:v>
                </c:pt>
                <c:pt idx="115">
                  <c:v>24749650.30127202</c:v>
                </c:pt>
                <c:pt idx="116">
                  <c:v>24008582.583340816</c:v>
                </c:pt>
                <c:pt idx="117">
                  <c:v>25324831.176805936</c:v>
                </c:pt>
                <c:pt idx="118">
                  <c:v>28988731.246970676</c:v>
                </c:pt>
                <c:pt idx="119">
                  <c:v>33399367.352425918</c:v>
                </c:pt>
                <c:pt idx="120">
                  <c:v>33655189.766682431</c:v>
                </c:pt>
                <c:pt idx="121">
                  <c:v>30113323.81511908</c:v>
                </c:pt>
                <c:pt idx="122">
                  <c:v>30925812.147322536</c:v>
                </c:pt>
                <c:pt idx="123">
                  <c:v>26865914.99405288</c:v>
                </c:pt>
                <c:pt idx="124">
                  <c:v>26244323.061881065</c:v>
                </c:pt>
                <c:pt idx="125">
                  <c:v>26471773.031363171</c:v>
                </c:pt>
                <c:pt idx="126">
                  <c:v>29588247.953080744</c:v>
                </c:pt>
                <c:pt idx="127">
                  <c:v>28950782.627959132</c:v>
                </c:pt>
                <c:pt idx="128">
                  <c:v>25850792.849209428</c:v>
                </c:pt>
                <c:pt idx="129">
                  <c:v>26418450.645608231</c:v>
                </c:pt>
                <c:pt idx="130">
                  <c:v>28145939.846328039</c:v>
                </c:pt>
                <c:pt idx="131">
                  <c:v>31553905.343522877</c:v>
                </c:pt>
                <c:pt idx="132">
                  <c:v>33710617.004270792</c:v>
                </c:pt>
                <c:pt idx="133">
                  <c:v>30168751.052707452</c:v>
                </c:pt>
                <c:pt idx="134">
                  <c:v>30981239.384910904</c:v>
                </c:pt>
                <c:pt idx="135">
                  <c:v>26921515.473056901</c:v>
                </c:pt>
                <c:pt idx="136">
                  <c:v>26299923.540885091</c:v>
                </c:pt>
                <c:pt idx="137">
                  <c:v>26527373.510367192</c:v>
                </c:pt>
                <c:pt idx="138">
                  <c:v>29643894.70586209</c:v>
                </c:pt>
                <c:pt idx="139">
                  <c:v>29006429.380740479</c:v>
                </c:pt>
                <c:pt idx="140">
                  <c:v>25906439.601990774</c:v>
                </c:pt>
                <c:pt idx="141">
                  <c:v>26474371.228347827</c:v>
                </c:pt>
                <c:pt idx="142">
                  <c:v>28201860.42906763</c:v>
                </c:pt>
                <c:pt idx="143">
                  <c:v>31609825.926262472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 WN'!$D$1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0-4B74-8754-0EF6F0A179FF}"/>
            </c:ext>
          </c:extLst>
        </c:ser>
        <c:ser>
          <c:idx val="1"/>
          <c:order val="1"/>
          <c:tx>
            <c:strRef>
              <c:f>'GS 1k-4,999 Normalized Mont WN'!$P$1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WN'!$P$2:$P$145</c:f>
              <c:numCache>
                <c:formatCode>_(* #,##0_);_(* \(#,##0\);_(*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6560673.3480884386</c:v>
                </c:pt>
                <c:pt idx="4">
                  <c:v>7203383.6361716306</c:v>
                </c:pt>
                <c:pt idx="5">
                  <c:v>7957849.9979899079</c:v>
                </c:pt>
                <c:pt idx="6">
                  <c:v>8214508.0652742116</c:v>
                </c:pt>
                <c:pt idx="7">
                  <c:v>8408480.3910531849</c:v>
                </c:pt>
                <c:pt idx="8">
                  <c:v>7852469.3352978574</c:v>
                </c:pt>
                <c:pt idx="9">
                  <c:v>7338085.7346131606</c:v>
                </c:pt>
                <c:pt idx="10">
                  <c:v>7063457.6013683081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7167441.4460491566</c:v>
                </c:pt>
                <c:pt idx="16">
                  <c:v>7484887.9205137743</c:v>
                </c:pt>
                <c:pt idx="17">
                  <c:v>8168278.1324192667</c:v>
                </c:pt>
                <c:pt idx="18">
                  <c:v>9121780.6463703439</c:v>
                </c:pt>
                <c:pt idx="19">
                  <c:v>9096234.8484588172</c:v>
                </c:pt>
                <c:pt idx="20">
                  <c:v>8660562.8085696306</c:v>
                </c:pt>
                <c:pt idx="21">
                  <c:v>7673485.0825395416</c:v>
                </c:pt>
                <c:pt idx="22">
                  <c:v>7233726.6875090059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7641198.8326686583</c:v>
                </c:pt>
                <c:pt idx="28">
                  <c:v>7652770.6386634689</c:v>
                </c:pt>
                <c:pt idx="29">
                  <c:v>8185828.9439044278</c:v>
                </c:pt>
                <c:pt idx="30">
                  <c:v>9160871.5080569386</c:v>
                </c:pt>
                <c:pt idx="31">
                  <c:v>9576383.8843675964</c:v>
                </c:pt>
                <c:pt idx="32">
                  <c:v>7481264.6593057271</c:v>
                </c:pt>
                <c:pt idx="33">
                  <c:v>7173318.4540651878</c:v>
                </c:pt>
                <c:pt idx="34">
                  <c:v>7274030.6470969841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7049522.0467058886</c:v>
                </c:pt>
                <c:pt idx="40">
                  <c:v>7314942.0035226615</c:v>
                </c:pt>
                <c:pt idx="41">
                  <c:v>7223103.5409149518</c:v>
                </c:pt>
                <c:pt idx="42">
                  <c:v>7492774.2016354483</c:v>
                </c:pt>
                <c:pt idx="43">
                  <c:v>8197198.2359643448</c:v>
                </c:pt>
                <c:pt idx="44">
                  <c:v>7575021.9405862046</c:v>
                </c:pt>
                <c:pt idx="45">
                  <c:v>7231091.6120730061</c:v>
                </c:pt>
                <c:pt idx="46">
                  <c:v>6897153.8791685002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6760986.4805728234</c:v>
                </c:pt>
                <c:pt idx="52">
                  <c:v>7431987.8989506336</c:v>
                </c:pt>
                <c:pt idx="53">
                  <c:v>7334932.1220597262</c:v>
                </c:pt>
                <c:pt idx="54">
                  <c:v>8539539.2786447331</c:v>
                </c:pt>
                <c:pt idx="55">
                  <c:v>8507995.6068789754</c:v>
                </c:pt>
                <c:pt idx="56">
                  <c:v>7630641.4678394273</c:v>
                </c:pt>
                <c:pt idx="57">
                  <c:v>6907168.9294905048</c:v>
                </c:pt>
                <c:pt idx="58">
                  <c:v>6505758.3801836539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5202745.1994808912</c:v>
                </c:pt>
                <c:pt idx="64">
                  <c:v>5957900.8104911651</c:v>
                </c:pt>
                <c:pt idx="65">
                  <c:v>6790055.7413162598</c:v>
                </c:pt>
                <c:pt idx="66">
                  <c:v>7993067.0516783744</c:v>
                </c:pt>
                <c:pt idx="67">
                  <c:v>8069288.3029731875</c:v>
                </c:pt>
                <c:pt idx="68">
                  <c:v>7059485.0663388688</c:v>
                </c:pt>
                <c:pt idx="69">
                  <c:v>6158408.483634498</c:v>
                </c:pt>
                <c:pt idx="70">
                  <c:v>6276506.692286375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6928692.6938186409</c:v>
                </c:pt>
                <c:pt idx="76">
                  <c:v>6625672.1859999644</c:v>
                </c:pt>
                <c:pt idx="77">
                  <c:v>6902902.9222294111</c:v>
                </c:pt>
                <c:pt idx="78">
                  <c:v>7627059.1283176225</c:v>
                </c:pt>
                <c:pt idx="79">
                  <c:v>7881480.5171271348</c:v>
                </c:pt>
                <c:pt idx="80">
                  <c:v>6526445.5510217845</c:v>
                </c:pt>
                <c:pt idx="81">
                  <c:v>6791231.0765486583</c:v>
                </c:pt>
                <c:pt idx="82">
                  <c:v>6746989.0263055963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6940986.8840306308</c:v>
                </c:pt>
                <c:pt idx="88">
                  <c:v>7767196.4230125183</c:v>
                </c:pt>
                <c:pt idx="89">
                  <c:v>8493810.8588484731</c:v>
                </c:pt>
                <c:pt idx="90">
                  <c:v>8954150.181063598</c:v>
                </c:pt>
                <c:pt idx="91">
                  <c:v>8180029.5499391221</c:v>
                </c:pt>
                <c:pt idx="92">
                  <c:v>8173961.4539391976</c:v>
                </c:pt>
                <c:pt idx="93">
                  <c:v>8475758.0108876564</c:v>
                </c:pt>
                <c:pt idx="94">
                  <c:v>7444925.040288466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6904766.156958892</c:v>
                </c:pt>
                <c:pt idx="100">
                  <c:v>7254664.6502557788</c:v>
                </c:pt>
                <c:pt idx="101">
                  <c:v>7895949.5227444498</c:v>
                </c:pt>
                <c:pt idx="102">
                  <c:v>8229223.2764506806</c:v>
                </c:pt>
                <c:pt idx="103">
                  <c:v>8570347.1693582982</c:v>
                </c:pt>
                <c:pt idx="104">
                  <c:v>7989825.9675530102</c:v>
                </c:pt>
                <c:pt idx="105">
                  <c:v>6556502.8598658191</c:v>
                </c:pt>
                <c:pt idx="106">
                  <c:v>7488149.901676069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7405150.8865677463</c:v>
                </c:pt>
                <c:pt idx="112">
                  <c:v>7931182.6407901337</c:v>
                </c:pt>
                <c:pt idx="113">
                  <c:v>8616174.2711172346</c:v>
                </c:pt>
                <c:pt idx="114">
                  <c:v>9485897.1618332677</c:v>
                </c:pt>
                <c:pt idx="115">
                  <c:v>9357061.3517797962</c:v>
                </c:pt>
                <c:pt idx="116">
                  <c:v>8101011.5923406407</c:v>
                </c:pt>
                <c:pt idx="117">
                  <c:v>7485257.7511231815</c:v>
                </c:pt>
                <c:pt idx="118">
                  <c:v>7017022.1587940725</c:v>
                </c:pt>
                <c:pt idx="119">
                  <c:v>7448387.5546484515</c:v>
                </c:pt>
                <c:pt idx="120">
                  <c:v>7428700.0195881994</c:v>
                </c:pt>
                <c:pt idx="121">
                  <c:v>7101341.9700094424</c:v>
                </c:pt>
                <c:pt idx="122">
                  <c:v>7457671.1009108545</c:v>
                </c:pt>
                <c:pt idx="123">
                  <c:v>7372837.1153898276</c:v>
                </c:pt>
                <c:pt idx="124">
                  <c:v>7742002.616760781</c:v>
                </c:pt>
                <c:pt idx="125">
                  <c:v>8112331.711479255</c:v>
                </c:pt>
                <c:pt idx="126">
                  <c:v>8974710.8114879504</c:v>
                </c:pt>
                <c:pt idx="127">
                  <c:v>8730789.1352984775</c:v>
                </c:pt>
                <c:pt idx="128">
                  <c:v>7856963.2412987771</c:v>
                </c:pt>
                <c:pt idx="129">
                  <c:v>7497081.1808595052</c:v>
                </c:pt>
                <c:pt idx="130">
                  <c:v>7321296.1002507657</c:v>
                </c:pt>
                <c:pt idx="131">
                  <c:v>7414214.478926871</c:v>
                </c:pt>
                <c:pt idx="132">
                  <c:v>7458590.6541747591</c:v>
                </c:pt>
                <c:pt idx="133">
                  <c:v>7131376.6242983462</c:v>
                </c:pt>
                <c:pt idx="134">
                  <c:v>7487902.1457029553</c:v>
                </c:pt>
                <c:pt idx="135">
                  <c:v>7403356.1995866168</c:v>
                </c:pt>
                <c:pt idx="136">
                  <c:v>7772482.4228569316</c:v>
                </c:pt>
                <c:pt idx="137">
                  <c:v>8142523.4781707162</c:v>
                </c:pt>
                <c:pt idx="138">
                  <c:v>9004496.7044728044</c:v>
                </c:pt>
                <c:pt idx="139">
                  <c:v>8760260.8034782168</c:v>
                </c:pt>
                <c:pt idx="140">
                  <c:v>7886670.5780823529</c:v>
                </c:pt>
                <c:pt idx="141">
                  <c:v>7527024.1862469176</c:v>
                </c:pt>
                <c:pt idx="142">
                  <c:v>7351239.1056381781</c:v>
                </c:pt>
                <c:pt idx="143">
                  <c:v>7443934.9084106609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0-4B74-8754-0EF6F0A1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 WN'!$D$1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F-4F50-BF4B-57D6B1C47A79}"/>
            </c:ext>
          </c:extLst>
        </c:ser>
        <c:ser>
          <c:idx val="1"/>
          <c:order val="1"/>
          <c:tx>
            <c:strRef>
              <c:f>'Large Use Normalized Monthl WN'!$W$1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WN'!$W$2:$W$145</c:f>
              <c:numCache>
                <c:formatCode>_(* #,##0_);_(* \(#,##0\);_(* "-"??_);_(@_)</c:formatCode>
                <c:ptCount val="144"/>
                <c:pt idx="0">
                  <c:v>3268717.9948758124</c:v>
                </c:pt>
                <c:pt idx="1">
                  <c:v>3079361.9915711745</c:v>
                </c:pt>
                <c:pt idx="2">
                  <c:v>3485709.2321515502</c:v>
                </c:pt>
                <c:pt idx="3">
                  <c:v>3282645.4168457608</c:v>
                </c:pt>
                <c:pt idx="4">
                  <c:v>3613505.227229801</c:v>
                </c:pt>
                <c:pt idx="5">
                  <c:v>3591279.4333828529</c:v>
                </c:pt>
                <c:pt idx="6">
                  <c:v>3958194.284325493</c:v>
                </c:pt>
                <c:pt idx="7">
                  <c:v>4012103.5175918862</c:v>
                </c:pt>
                <c:pt idx="8">
                  <c:v>3782054.2989016282</c:v>
                </c:pt>
                <c:pt idx="9">
                  <c:v>3450613.2643380505</c:v>
                </c:pt>
                <c:pt idx="10">
                  <c:v>3437869.6936357538</c:v>
                </c:pt>
                <c:pt idx="11">
                  <c:v>3049616.9251569482</c:v>
                </c:pt>
                <c:pt idx="12">
                  <c:v>3224575.404526758</c:v>
                </c:pt>
                <c:pt idx="13">
                  <c:v>3441717.0946895839</c:v>
                </c:pt>
                <c:pt idx="14">
                  <c:v>3635065.1168076685</c:v>
                </c:pt>
                <c:pt idx="15">
                  <c:v>3435911.0368516068</c:v>
                </c:pt>
                <c:pt idx="16">
                  <c:v>3373384.492765279</c:v>
                </c:pt>
                <c:pt idx="17">
                  <c:v>3355417.3344457154</c:v>
                </c:pt>
                <c:pt idx="18">
                  <c:v>3693741.0175656672</c:v>
                </c:pt>
                <c:pt idx="19">
                  <c:v>3557037.3279633573</c:v>
                </c:pt>
                <c:pt idx="20">
                  <c:v>3749626.5956077501</c:v>
                </c:pt>
                <c:pt idx="21">
                  <c:v>3469111.9823629051</c:v>
                </c:pt>
                <c:pt idx="22">
                  <c:v>3287045.3211087217</c:v>
                </c:pt>
                <c:pt idx="23">
                  <c:v>3028383.6192740244</c:v>
                </c:pt>
                <c:pt idx="24">
                  <c:v>3173434.1110956692</c:v>
                </c:pt>
                <c:pt idx="25">
                  <c:v>2717322.0947692734</c:v>
                </c:pt>
                <c:pt idx="26">
                  <c:v>3154631.5114989849</c:v>
                </c:pt>
                <c:pt idx="27">
                  <c:v>2873455.3757440243</c:v>
                </c:pt>
                <c:pt idx="28">
                  <c:v>3156628.1699514482</c:v>
                </c:pt>
                <c:pt idx="29">
                  <c:v>3220504.169924594</c:v>
                </c:pt>
                <c:pt idx="30">
                  <c:v>3411061.5777054289</c:v>
                </c:pt>
                <c:pt idx="31">
                  <c:v>3539232.4662148985</c:v>
                </c:pt>
                <c:pt idx="32">
                  <c:v>3366065.8212735811</c:v>
                </c:pt>
                <c:pt idx="33">
                  <c:v>3362629.5786939664</c:v>
                </c:pt>
                <c:pt idx="34">
                  <c:v>2931988.8147244034</c:v>
                </c:pt>
                <c:pt idx="35">
                  <c:v>2990607.8005195637</c:v>
                </c:pt>
                <c:pt idx="36">
                  <c:v>3598219.7026062566</c:v>
                </c:pt>
                <c:pt idx="37">
                  <c:v>3405818.2897895076</c:v>
                </c:pt>
                <c:pt idx="38">
                  <c:v>3729284.903263934</c:v>
                </c:pt>
                <c:pt idx="39">
                  <c:v>3390541.5798934563</c:v>
                </c:pt>
                <c:pt idx="40">
                  <c:v>3739099.9561890475</c:v>
                </c:pt>
                <c:pt idx="41">
                  <c:v>3558100.2821477014</c:v>
                </c:pt>
                <c:pt idx="42">
                  <c:v>3931628.4423145512</c:v>
                </c:pt>
                <c:pt idx="43">
                  <c:v>4414994.0535504734</c:v>
                </c:pt>
                <c:pt idx="44">
                  <c:v>4243597.5118246162</c:v>
                </c:pt>
                <c:pt idx="45">
                  <c:v>3900798.8252533367</c:v>
                </c:pt>
                <c:pt idx="46">
                  <c:v>3616946.0956639503</c:v>
                </c:pt>
                <c:pt idx="47">
                  <c:v>3329362.1006885231</c:v>
                </c:pt>
                <c:pt idx="48">
                  <c:v>3361205.7257633707</c:v>
                </c:pt>
                <c:pt idx="49">
                  <c:v>2879919.8415722251</c:v>
                </c:pt>
                <c:pt idx="50">
                  <c:v>3268485.1780239972</c:v>
                </c:pt>
                <c:pt idx="51">
                  <c:v>3142591.171357173</c:v>
                </c:pt>
                <c:pt idx="52">
                  <c:v>3260673.2306250581</c:v>
                </c:pt>
                <c:pt idx="53">
                  <c:v>3229684.030734749</c:v>
                </c:pt>
                <c:pt idx="54">
                  <c:v>3447873.4351406912</c:v>
                </c:pt>
                <c:pt idx="55">
                  <c:v>3611921.0075715915</c:v>
                </c:pt>
                <c:pt idx="56">
                  <c:v>3379071.5694053732</c:v>
                </c:pt>
                <c:pt idx="57">
                  <c:v>3284919.5509761986</c:v>
                </c:pt>
                <c:pt idx="58">
                  <c:v>3223278.5304211606</c:v>
                </c:pt>
                <c:pt idx="59">
                  <c:v>3138183.4089189023</c:v>
                </c:pt>
                <c:pt idx="60">
                  <c:v>3103199.3750368077</c:v>
                </c:pt>
                <c:pt idx="61">
                  <c:v>2766563.9624229758</c:v>
                </c:pt>
                <c:pt idx="62">
                  <c:v>2633491.7826724923</c:v>
                </c:pt>
                <c:pt idx="63">
                  <c:v>2049584.2882888105</c:v>
                </c:pt>
                <c:pt idx="64">
                  <c:v>1964051.7872323035</c:v>
                </c:pt>
                <c:pt idx="65">
                  <c:v>2186951.3017452559</c:v>
                </c:pt>
                <c:pt idx="66">
                  <c:v>2663321.1572517445</c:v>
                </c:pt>
                <c:pt idx="67">
                  <c:v>2836209.5906637441</c:v>
                </c:pt>
                <c:pt idx="68">
                  <c:v>2851692.5777574684</c:v>
                </c:pt>
                <c:pt idx="69">
                  <c:v>2592359.9756877883</c:v>
                </c:pt>
                <c:pt idx="70">
                  <c:v>2657047.3624723312</c:v>
                </c:pt>
                <c:pt idx="71">
                  <c:v>2723421.242399137</c:v>
                </c:pt>
                <c:pt idx="72">
                  <c:v>2881126.4156676093</c:v>
                </c:pt>
                <c:pt idx="73">
                  <c:v>2483926.3953512972</c:v>
                </c:pt>
                <c:pt idx="74">
                  <c:v>3047820.6553922463</c:v>
                </c:pt>
                <c:pt idx="75">
                  <c:v>2758717.8593024961</c:v>
                </c:pt>
                <c:pt idx="76">
                  <c:v>2870236.6488198377</c:v>
                </c:pt>
                <c:pt idx="77">
                  <c:v>3015974.7505441974</c:v>
                </c:pt>
                <c:pt idx="78">
                  <c:v>3310564.7210903633</c:v>
                </c:pt>
                <c:pt idx="79">
                  <c:v>3473101.615360816</c:v>
                </c:pt>
                <c:pt idx="80">
                  <c:v>3279718.1915640943</c:v>
                </c:pt>
                <c:pt idx="81">
                  <c:v>3088048.4500465798</c:v>
                </c:pt>
                <c:pt idx="82">
                  <c:v>3068940.4116666815</c:v>
                </c:pt>
                <c:pt idx="83">
                  <c:v>3111847.5998578407</c:v>
                </c:pt>
                <c:pt idx="84">
                  <c:v>2998054.7743317531</c:v>
                </c:pt>
                <c:pt idx="85">
                  <c:v>2722667.106289106</c:v>
                </c:pt>
                <c:pt idx="86">
                  <c:v>3181514.8962520268</c:v>
                </c:pt>
                <c:pt idx="87">
                  <c:v>3009819.7537030382</c:v>
                </c:pt>
                <c:pt idx="88">
                  <c:v>3079720.2605512347</c:v>
                </c:pt>
                <c:pt idx="89">
                  <c:v>3131412.2790955976</c:v>
                </c:pt>
                <c:pt idx="90">
                  <c:v>2843441.3805984817</c:v>
                </c:pt>
                <c:pt idx="91">
                  <c:v>2725143.1573961047</c:v>
                </c:pt>
                <c:pt idx="92">
                  <c:v>2798100.2893188768</c:v>
                </c:pt>
                <c:pt idx="93">
                  <c:v>2707197.7506853356</c:v>
                </c:pt>
                <c:pt idx="94">
                  <c:v>2619107.8867210229</c:v>
                </c:pt>
                <c:pt idx="95">
                  <c:v>2433880.4818935418</c:v>
                </c:pt>
                <c:pt idx="96">
                  <c:v>2796921.0269811302</c:v>
                </c:pt>
                <c:pt idx="97">
                  <c:v>2635976.3487402578</c:v>
                </c:pt>
                <c:pt idx="98">
                  <c:v>2779578.0785485068</c:v>
                </c:pt>
                <c:pt idx="99">
                  <c:v>2550759.9761241223</c:v>
                </c:pt>
                <c:pt idx="100">
                  <c:v>2682308.7086200812</c:v>
                </c:pt>
                <c:pt idx="101">
                  <c:v>2580980.0973109575</c:v>
                </c:pt>
                <c:pt idx="102">
                  <c:v>2737365.6588820638</c:v>
                </c:pt>
                <c:pt idx="103">
                  <c:v>3063340.1145315147</c:v>
                </c:pt>
                <c:pt idx="104">
                  <c:v>2991930.9084757185</c:v>
                </c:pt>
                <c:pt idx="105">
                  <c:v>2965615.3891677731</c:v>
                </c:pt>
                <c:pt idx="106">
                  <c:v>3407851.4071867918</c:v>
                </c:pt>
                <c:pt idx="107">
                  <c:v>3346221.3288665526</c:v>
                </c:pt>
                <c:pt idx="108">
                  <c:v>3565831.0657733334</c:v>
                </c:pt>
                <c:pt idx="109">
                  <c:v>3410769.7971328311</c:v>
                </c:pt>
                <c:pt idx="110">
                  <c:v>3554073.2662311122</c:v>
                </c:pt>
                <c:pt idx="111">
                  <c:v>3263930.9505913593</c:v>
                </c:pt>
                <c:pt idx="112">
                  <c:v>3409088.2358838664</c:v>
                </c:pt>
                <c:pt idx="113">
                  <c:v>3313694.8291928051</c:v>
                </c:pt>
                <c:pt idx="114">
                  <c:v>3399627.3738987478</c:v>
                </c:pt>
                <c:pt idx="115">
                  <c:v>3390745.358601219</c:v>
                </c:pt>
                <c:pt idx="116">
                  <c:v>3356877.0789988716</c:v>
                </c:pt>
                <c:pt idx="117">
                  <c:v>3350543.1587126092</c:v>
                </c:pt>
                <c:pt idx="118">
                  <c:v>3278631.1846578745</c:v>
                </c:pt>
                <c:pt idx="119">
                  <c:v>3185055.207223196</c:v>
                </c:pt>
                <c:pt idx="120">
                  <c:v>3041468.522917524</c:v>
                </c:pt>
                <c:pt idx="121">
                  <c:v>2809418.6784533649</c:v>
                </c:pt>
                <c:pt idx="122">
                  <c:v>3151374.3183599925</c:v>
                </c:pt>
                <c:pt idx="123">
                  <c:v>3008068.2142833625</c:v>
                </c:pt>
                <c:pt idx="124">
                  <c:v>3135966.8446216434</c:v>
                </c:pt>
                <c:pt idx="125">
                  <c:v>3036636.4897810854</c:v>
                </c:pt>
                <c:pt idx="126">
                  <c:v>3286749.031954858</c:v>
                </c:pt>
                <c:pt idx="127">
                  <c:v>3238783.1591107366</c:v>
                </c:pt>
                <c:pt idx="128">
                  <c:v>3154243.4999586302</c:v>
                </c:pt>
                <c:pt idx="129">
                  <c:v>3067849.955075162</c:v>
                </c:pt>
                <c:pt idx="130">
                  <c:v>3011425.5880889264</c:v>
                </c:pt>
                <c:pt idx="131">
                  <c:v>2953253.1233092439</c:v>
                </c:pt>
                <c:pt idx="132">
                  <c:v>3006796.4870985416</c:v>
                </c:pt>
                <c:pt idx="133">
                  <c:v>2774746.6426343825</c:v>
                </c:pt>
                <c:pt idx="134">
                  <c:v>3116702.2825410101</c:v>
                </c:pt>
                <c:pt idx="135">
                  <c:v>2973316.1787710492</c:v>
                </c:pt>
                <c:pt idx="136">
                  <c:v>3101214.8091093306</c:v>
                </c:pt>
                <c:pt idx="137">
                  <c:v>3001884.4542687726</c:v>
                </c:pt>
                <c:pt idx="138">
                  <c:v>3252047.4715949371</c:v>
                </c:pt>
                <c:pt idx="139">
                  <c:v>3204081.5987508162</c:v>
                </c:pt>
                <c:pt idx="140">
                  <c:v>3119541.9395987093</c:v>
                </c:pt>
                <c:pt idx="141">
                  <c:v>3033110.1999938921</c:v>
                </c:pt>
                <c:pt idx="142">
                  <c:v>2976685.833007657</c:v>
                </c:pt>
                <c:pt idx="143">
                  <c:v>2918513.368227975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F-4F50-BF4B-57D6B1C4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50-999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Weather!$DR$2:$DR$121</c:f>
              <c:numCache>
                <c:formatCode>_(* #,##0_);_(* \(#,##0\);_(* "-"??_);_(@_)</c:formatCode>
                <c:ptCount val="12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Weather!$DW$2:$DW$121</c:f>
              <c:numCache>
                <c:formatCode>_(* #,##0_);_(* \(#,##0\);_(* "-"??_);_(@_)</c:formatCode>
                <c:ptCount val="120"/>
                <c:pt idx="0">
                  <c:v>33844576.620209962</c:v>
                </c:pt>
                <c:pt idx="1">
                  <c:v>35687457.658336587</c:v>
                </c:pt>
                <c:pt idx="2">
                  <c:v>30636418.61322505</c:v>
                </c:pt>
                <c:pt idx="3">
                  <c:v>25185256.504574329</c:v>
                </c:pt>
                <c:pt idx="4">
                  <c:v>24560894.668235175</c:v>
                </c:pt>
                <c:pt idx="5">
                  <c:v>25172124.375524301</c:v>
                </c:pt>
                <c:pt idx="6">
                  <c:v>27004072.898000091</c:v>
                </c:pt>
                <c:pt idx="7">
                  <c:v>26416810.613625236</c:v>
                </c:pt>
                <c:pt idx="8">
                  <c:v>25776662.08815977</c:v>
                </c:pt>
                <c:pt idx="9">
                  <c:v>24269755.268266249</c:v>
                </c:pt>
                <c:pt idx="10">
                  <c:v>25759541.332251538</c:v>
                </c:pt>
                <c:pt idx="11">
                  <c:v>26642400.628021087</c:v>
                </c:pt>
                <c:pt idx="12">
                  <c:v>31399505.460555904</c:v>
                </c:pt>
                <c:pt idx="13">
                  <c:v>30273870.950339552</c:v>
                </c:pt>
                <c:pt idx="14">
                  <c:v>28177160.079824608</c:v>
                </c:pt>
                <c:pt idx="15">
                  <c:v>26389011.530602071</c:v>
                </c:pt>
                <c:pt idx="16">
                  <c:v>24737775.667545468</c:v>
                </c:pt>
                <c:pt idx="17">
                  <c:v>26009313.200074203</c:v>
                </c:pt>
                <c:pt idx="18">
                  <c:v>27717795.408302061</c:v>
                </c:pt>
                <c:pt idx="19">
                  <c:v>27948912.372927472</c:v>
                </c:pt>
                <c:pt idx="20">
                  <c:v>25582876.040900532</c:v>
                </c:pt>
                <c:pt idx="21">
                  <c:v>24825522.920280278</c:v>
                </c:pt>
                <c:pt idx="22">
                  <c:v>25671392.930415846</c:v>
                </c:pt>
                <c:pt idx="23">
                  <c:v>30213001.017994195</c:v>
                </c:pt>
                <c:pt idx="24">
                  <c:v>30284057.687988568</c:v>
                </c:pt>
                <c:pt idx="25">
                  <c:v>28958779.819421403</c:v>
                </c:pt>
                <c:pt idx="26">
                  <c:v>29872496.787398372</c:v>
                </c:pt>
                <c:pt idx="27">
                  <c:v>24484720.862279017</c:v>
                </c:pt>
                <c:pt idx="28">
                  <c:v>24212684.860464726</c:v>
                </c:pt>
                <c:pt idx="29">
                  <c:v>25458967.148404371</c:v>
                </c:pt>
                <c:pt idx="30">
                  <c:v>26888937.468424659</c:v>
                </c:pt>
                <c:pt idx="31">
                  <c:v>26221281.015046485</c:v>
                </c:pt>
                <c:pt idx="32">
                  <c:v>25372516.263430454</c:v>
                </c:pt>
                <c:pt idx="33">
                  <c:v>24289103.259536136</c:v>
                </c:pt>
                <c:pt idx="34">
                  <c:v>26911230.370541837</c:v>
                </c:pt>
                <c:pt idx="35">
                  <c:v>32610558.270894751</c:v>
                </c:pt>
                <c:pt idx="36">
                  <c:v>32895619.929368053</c:v>
                </c:pt>
                <c:pt idx="37">
                  <c:v>29888862.365916468</c:v>
                </c:pt>
                <c:pt idx="38">
                  <c:v>29223217.509047929</c:v>
                </c:pt>
                <c:pt idx="39">
                  <c:v>27085004.576949392</c:v>
                </c:pt>
                <c:pt idx="40">
                  <c:v>24871977.739820443</c:v>
                </c:pt>
                <c:pt idx="41">
                  <c:v>25920898.136394382</c:v>
                </c:pt>
                <c:pt idx="42">
                  <c:v>27798544.292591847</c:v>
                </c:pt>
                <c:pt idx="43">
                  <c:v>27733676.157209016</c:v>
                </c:pt>
                <c:pt idx="44">
                  <c:v>25691112.456606548</c:v>
                </c:pt>
                <c:pt idx="45">
                  <c:v>25151271.612222776</c:v>
                </c:pt>
                <c:pt idx="46">
                  <c:v>28112779.607455518</c:v>
                </c:pt>
                <c:pt idx="47">
                  <c:v>29576663.906328976</c:v>
                </c:pt>
                <c:pt idx="48">
                  <c:v>33484697.2581698</c:v>
                </c:pt>
                <c:pt idx="49">
                  <c:v>31147508.950517111</c:v>
                </c:pt>
                <c:pt idx="50">
                  <c:v>30108545.208166979</c:v>
                </c:pt>
                <c:pt idx="51">
                  <c:v>25434021.19933876</c:v>
                </c:pt>
                <c:pt idx="52">
                  <c:v>23683418.133449394</c:v>
                </c:pt>
                <c:pt idx="53">
                  <c:v>25557459.190291613</c:v>
                </c:pt>
                <c:pt idx="54">
                  <c:v>27848551.246638432</c:v>
                </c:pt>
                <c:pt idx="55">
                  <c:v>26762477.242497548</c:v>
                </c:pt>
                <c:pt idx="56">
                  <c:v>24885945.470016573</c:v>
                </c:pt>
                <c:pt idx="57">
                  <c:v>23710581.419993397</c:v>
                </c:pt>
                <c:pt idx="58">
                  <c:v>28630967.26196206</c:v>
                </c:pt>
                <c:pt idx="59">
                  <c:v>30168079.17491902</c:v>
                </c:pt>
                <c:pt idx="60">
                  <c:v>30456480.747375615</c:v>
                </c:pt>
                <c:pt idx="61">
                  <c:v>30608363.335765462</c:v>
                </c:pt>
                <c:pt idx="62">
                  <c:v>27506418.223790277</c:v>
                </c:pt>
                <c:pt idx="63">
                  <c:v>25667211.091045257</c:v>
                </c:pt>
                <c:pt idx="64">
                  <c:v>25222437.903175149</c:v>
                </c:pt>
                <c:pt idx="65">
                  <c:v>26301134.6952684</c:v>
                </c:pt>
                <c:pt idx="66">
                  <c:v>28618442.143443283</c:v>
                </c:pt>
                <c:pt idx="67">
                  <c:v>27182044.971909307</c:v>
                </c:pt>
                <c:pt idx="68">
                  <c:v>24756917.610358726</c:v>
                </c:pt>
                <c:pt idx="69">
                  <c:v>24414147.436078124</c:v>
                </c:pt>
                <c:pt idx="70">
                  <c:v>25584244.81639393</c:v>
                </c:pt>
                <c:pt idx="71">
                  <c:v>29536334.444980819</c:v>
                </c:pt>
                <c:pt idx="72">
                  <c:v>30951122.008299999</c:v>
                </c:pt>
                <c:pt idx="73">
                  <c:v>31431067.64769794</c:v>
                </c:pt>
                <c:pt idx="74">
                  <c:v>27834437.323837403</c:v>
                </c:pt>
                <c:pt idx="75">
                  <c:v>25044898.667018935</c:v>
                </c:pt>
                <c:pt idx="76">
                  <c:v>24646227.883523133</c:v>
                </c:pt>
                <c:pt idx="77">
                  <c:v>26600090.07642027</c:v>
                </c:pt>
                <c:pt idx="78">
                  <c:v>26806279.472064681</c:v>
                </c:pt>
                <c:pt idx="79">
                  <c:v>27949498.138256006</c:v>
                </c:pt>
                <c:pt idx="80">
                  <c:v>25161190.089391645</c:v>
                </c:pt>
                <c:pt idx="81">
                  <c:v>24489306.755457599</c:v>
                </c:pt>
                <c:pt idx="82">
                  <c:v>26959425.885658644</c:v>
                </c:pt>
                <c:pt idx="83">
                  <c:v>28545465.463989984</c:v>
                </c:pt>
                <c:pt idx="84">
                  <c:v>34397662.745500527</c:v>
                </c:pt>
                <c:pt idx="85">
                  <c:v>31098328.717113249</c:v>
                </c:pt>
                <c:pt idx="86">
                  <c:v>28771160.151410416</c:v>
                </c:pt>
                <c:pt idx="87">
                  <c:v>25325930.292028166</c:v>
                </c:pt>
                <c:pt idx="88">
                  <c:v>24553189.791201808</c:v>
                </c:pt>
                <c:pt idx="89">
                  <c:v>25651111.258191254</c:v>
                </c:pt>
                <c:pt idx="90">
                  <c:v>27258948.581797622</c:v>
                </c:pt>
                <c:pt idx="91">
                  <c:v>27359372.112274982</c:v>
                </c:pt>
                <c:pt idx="92">
                  <c:v>25050713.68001584</c:v>
                </c:pt>
                <c:pt idx="93">
                  <c:v>24065488.880462699</c:v>
                </c:pt>
                <c:pt idx="94">
                  <c:v>26648294.243439104</c:v>
                </c:pt>
                <c:pt idx="95">
                  <c:v>29580755.300958499</c:v>
                </c:pt>
                <c:pt idx="96">
                  <c:v>29960503.520857908</c:v>
                </c:pt>
                <c:pt idx="97">
                  <c:v>29827491.446473617</c:v>
                </c:pt>
                <c:pt idx="98">
                  <c:v>28897659.393527303</c:v>
                </c:pt>
                <c:pt idx="99">
                  <c:v>25155263.533552792</c:v>
                </c:pt>
                <c:pt idx="100">
                  <c:v>24294497.536207512</c:v>
                </c:pt>
                <c:pt idx="101">
                  <c:v>26035672.639858291</c:v>
                </c:pt>
                <c:pt idx="102">
                  <c:v>27289080.272850752</c:v>
                </c:pt>
                <c:pt idx="103">
                  <c:v>26383433.30903551</c:v>
                </c:pt>
                <c:pt idx="104">
                  <c:v>25371024.247080278</c:v>
                </c:pt>
                <c:pt idx="105">
                  <c:v>24435367.619847313</c:v>
                </c:pt>
                <c:pt idx="106">
                  <c:v>27052469.458342664</c:v>
                </c:pt>
                <c:pt idx="107">
                  <c:v>27668153.55843081</c:v>
                </c:pt>
                <c:pt idx="108">
                  <c:v>30620303.528255697</c:v>
                </c:pt>
                <c:pt idx="109">
                  <c:v>29056639.299131632</c:v>
                </c:pt>
                <c:pt idx="110">
                  <c:v>27075652.817796201</c:v>
                </c:pt>
                <c:pt idx="111">
                  <c:v>24443830.947859675</c:v>
                </c:pt>
                <c:pt idx="112">
                  <c:v>24544053.773261491</c:v>
                </c:pt>
                <c:pt idx="113">
                  <c:v>26013999.322702486</c:v>
                </c:pt>
                <c:pt idx="114">
                  <c:v>27560224.534926072</c:v>
                </c:pt>
                <c:pt idx="115">
                  <c:v>26931112.5720792</c:v>
                </c:pt>
                <c:pt idx="116">
                  <c:v>25500803.809869088</c:v>
                </c:pt>
                <c:pt idx="117">
                  <c:v>24233288.33095526</c:v>
                </c:pt>
                <c:pt idx="118">
                  <c:v>25805483.321661677</c:v>
                </c:pt>
                <c:pt idx="119">
                  <c:v>29850369.857259113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to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Weather!$EU$1</c:f>
              <c:strCache>
                <c:ptCount val="1"/>
                <c:pt idx="0">
                  <c:v> GS_1000_4999_kWh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Weather!$EU$2:$EU$121</c:f>
              <c:numCache>
                <c:formatCode>_(* #,##0_);_(* \(#,##0\);_(* "-"??_);_(@_)</c:formatCode>
                <c:ptCount val="120"/>
                <c:pt idx="0">
                  <c:v>17380.676255561295</c:v>
                </c:pt>
                <c:pt idx="1">
                  <c:v>17944.442195179483</c:v>
                </c:pt>
                <c:pt idx="2">
                  <c:v>17702.28979778248</c:v>
                </c:pt>
                <c:pt idx="3">
                  <c:v>17311.190368687203</c:v>
                </c:pt>
                <c:pt idx="4">
                  <c:v>18481.2662582265</c:v>
                </c:pt>
                <c:pt idx="5">
                  <c:v>20063.779277290858</c:v>
                </c:pt>
                <c:pt idx="6">
                  <c:v>18671.310982729767</c:v>
                </c:pt>
                <c:pt idx="7">
                  <c:v>18792.118195436862</c:v>
                </c:pt>
                <c:pt idx="8">
                  <c:v>19484.212920734059</c:v>
                </c:pt>
                <c:pt idx="9">
                  <c:v>16805.747126630507</c:v>
                </c:pt>
                <c:pt idx="10">
                  <c:v>16720.001621295949</c:v>
                </c:pt>
                <c:pt idx="11">
                  <c:v>14545.126118910161</c:v>
                </c:pt>
                <c:pt idx="12">
                  <c:v>16516.686356905797</c:v>
                </c:pt>
                <c:pt idx="13">
                  <c:v>17064.861127128912</c:v>
                </c:pt>
                <c:pt idx="14">
                  <c:v>16220.321588375775</c:v>
                </c:pt>
                <c:pt idx="15">
                  <c:v>16451.269660007321</c:v>
                </c:pt>
                <c:pt idx="16">
                  <c:v>16891.243005509696</c:v>
                </c:pt>
                <c:pt idx="17">
                  <c:v>19111.304289740652</c:v>
                </c:pt>
                <c:pt idx="18">
                  <c:v>20871.873831020795</c:v>
                </c:pt>
                <c:pt idx="19">
                  <c:v>21593.797906852906</c:v>
                </c:pt>
                <c:pt idx="20">
                  <c:v>20078.268017437622</c:v>
                </c:pt>
                <c:pt idx="21">
                  <c:v>16698.206801577304</c:v>
                </c:pt>
                <c:pt idx="22">
                  <c:v>17373.553926461795</c:v>
                </c:pt>
                <c:pt idx="23">
                  <c:v>16796.761568112091</c:v>
                </c:pt>
                <c:pt idx="24">
                  <c:v>18559.029621303183</c:v>
                </c:pt>
                <c:pt idx="25">
                  <c:v>18404.084562755936</c:v>
                </c:pt>
                <c:pt idx="26">
                  <c:v>18867.822290646229</c:v>
                </c:pt>
                <c:pt idx="27">
                  <c:v>18910.488465585822</c:v>
                </c:pt>
                <c:pt idx="28">
                  <c:v>17886.941144904522</c:v>
                </c:pt>
                <c:pt idx="29">
                  <c:v>19932.981336867357</c:v>
                </c:pt>
                <c:pt idx="30">
                  <c:v>21414.490096221405</c:v>
                </c:pt>
                <c:pt idx="31">
                  <c:v>22170.797840207775</c:v>
                </c:pt>
                <c:pt idx="32">
                  <c:v>18661.707778022093</c:v>
                </c:pt>
                <c:pt idx="33">
                  <c:v>17040.043310682904</c:v>
                </c:pt>
                <c:pt idx="34">
                  <c:v>19419.309061739619</c:v>
                </c:pt>
                <c:pt idx="35">
                  <c:v>17697.11994310189</c:v>
                </c:pt>
                <c:pt idx="36">
                  <c:v>18382.699267243152</c:v>
                </c:pt>
                <c:pt idx="37">
                  <c:v>17999.914410450521</c:v>
                </c:pt>
                <c:pt idx="38">
                  <c:v>17667.758898406126</c:v>
                </c:pt>
                <c:pt idx="39">
                  <c:v>18757.887008649013</c:v>
                </c:pt>
                <c:pt idx="40">
                  <c:v>19480.864272819603</c:v>
                </c:pt>
                <c:pt idx="41">
                  <c:v>17675.858472416872</c:v>
                </c:pt>
                <c:pt idx="42">
                  <c:v>18331.31716084481</c:v>
                </c:pt>
                <c:pt idx="43">
                  <c:v>19115.971514301076</c:v>
                </c:pt>
                <c:pt idx="44">
                  <c:v>17969.282328330555</c:v>
                </c:pt>
                <c:pt idx="45">
                  <c:v>15840.89236776936</c:v>
                </c:pt>
                <c:pt idx="46">
                  <c:v>15487.623764331545</c:v>
                </c:pt>
                <c:pt idx="47">
                  <c:v>14334.834038511302</c:v>
                </c:pt>
                <c:pt idx="48">
                  <c:v>14993.72677444596</c:v>
                </c:pt>
                <c:pt idx="49">
                  <c:v>14909.964854976499</c:v>
                </c:pt>
                <c:pt idx="50">
                  <c:v>14618.980294028055</c:v>
                </c:pt>
                <c:pt idx="51">
                  <c:v>14051.287161759663</c:v>
                </c:pt>
                <c:pt idx="52">
                  <c:v>14596.130155368865</c:v>
                </c:pt>
                <c:pt idx="53">
                  <c:v>15115.45825135865</c:v>
                </c:pt>
                <c:pt idx="54">
                  <c:v>18190.381251129806</c:v>
                </c:pt>
                <c:pt idx="55">
                  <c:v>17186.641354754633</c:v>
                </c:pt>
                <c:pt idx="56">
                  <c:v>15496.584449360887</c:v>
                </c:pt>
                <c:pt idx="57">
                  <c:v>13874.934467807725</c:v>
                </c:pt>
                <c:pt idx="58">
                  <c:v>13449.584616457498</c:v>
                </c:pt>
                <c:pt idx="59">
                  <c:v>13965.804710465422</c:v>
                </c:pt>
                <c:pt idx="60">
                  <c:v>14469.696032290589</c:v>
                </c:pt>
                <c:pt idx="61">
                  <c:v>14256.772012636504</c:v>
                </c:pt>
                <c:pt idx="62">
                  <c:v>13155.071158420653</c:v>
                </c:pt>
                <c:pt idx="63">
                  <c:v>10341.209974407078</c:v>
                </c:pt>
                <c:pt idx="64">
                  <c:v>11797.648412567665</c:v>
                </c:pt>
                <c:pt idx="65">
                  <c:v>14754.557190778554</c:v>
                </c:pt>
                <c:pt idx="66">
                  <c:v>16749.590140847282</c:v>
                </c:pt>
                <c:pt idx="67">
                  <c:v>15613.568587006086</c:v>
                </c:pt>
                <c:pt idx="68">
                  <c:v>13300.66678008891</c:v>
                </c:pt>
                <c:pt idx="69">
                  <c:v>11270.875610209143</c:v>
                </c:pt>
                <c:pt idx="70">
                  <c:v>12043.530270417659</c:v>
                </c:pt>
                <c:pt idx="71">
                  <c:v>12342.617665438342</c:v>
                </c:pt>
                <c:pt idx="72">
                  <c:v>10629.482643462763</c:v>
                </c:pt>
                <c:pt idx="73">
                  <c:v>9655.7974499830161</c:v>
                </c:pt>
                <c:pt idx="74">
                  <c:v>9914.3417398555994</c:v>
                </c:pt>
                <c:pt idx="75">
                  <c:v>11887.132953708659</c:v>
                </c:pt>
                <c:pt idx="76">
                  <c:v>11034.640324028183</c:v>
                </c:pt>
                <c:pt idx="77">
                  <c:v>12514.031416502043</c:v>
                </c:pt>
                <c:pt idx="78">
                  <c:v>12108.933504869616</c:v>
                </c:pt>
                <c:pt idx="79">
                  <c:v>14230.4754263828</c:v>
                </c:pt>
                <c:pt idx="80">
                  <c:v>10866.290039990028</c:v>
                </c:pt>
                <c:pt idx="81">
                  <c:v>11425.159157634547</c:v>
                </c:pt>
                <c:pt idx="82">
                  <c:v>11520.658733398541</c:v>
                </c:pt>
                <c:pt idx="83">
                  <c:v>9978.7400713896495</c:v>
                </c:pt>
                <c:pt idx="84">
                  <c:v>10795.763260648249</c:v>
                </c:pt>
                <c:pt idx="85">
                  <c:v>12449.083524433197</c:v>
                </c:pt>
                <c:pt idx="86">
                  <c:v>11059.448965294059</c:v>
                </c:pt>
                <c:pt idx="87">
                  <c:v>11195.580575629438</c:v>
                </c:pt>
                <c:pt idx="88">
                  <c:v>12513.64191002306</c:v>
                </c:pt>
                <c:pt idx="89">
                  <c:v>13751.786670846872</c:v>
                </c:pt>
                <c:pt idx="90">
                  <c:v>14209.424754731031</c:v>
                </c:pt>
                <c:pt idx="91">
                  <c:v>13309.977365136125</c:v>
                </c:pt>
                <c:pt idx="92">
                  <c:v>13362.981615066377</c:v>
                </c:pt>
                <c:pt idx="93">
                  <c:v>13451.522725654142</c:v>
                </c:pt>
                <c:pt idx="94">
                  <c:v>12102.411336972746</c:v>
                </c:pt>
                <c:pt idx="95">
                  <c:v>11254.218970214311</c:v>
                </c:pt>
                <c:pt idx="96">
                  <c:v>11385.029380763741</c:v>
                </c:pt>
                <c:pt idx="97">
                  <c:v>12321.630646917858</c:v>
                </c:pt>
                <c:pt idx="98">
                  <c:v>10426.761715869705</c:v>
                </c:pt>
                <c:pt idx="99">
                  <c:v>11078.488789087303</c:v>
                </c:pt>
                <c:pt idx="100">
                  <c:v>11162.436163562297</c:v>
                </c:pt>
                <c:pt idx="101">
                  <c:v>12937.041979872005</c:v>
                </c:pt>
                <c:pt idx="102">
                  <c:v>12858.668285231226</c:v>
                </c:pt>
                <c:pt idx="103">
                  <c:v>12950.357142564982</c:v>
                </c:pt>
                <c:pt idx="104">
                  <c:v>12965.062986115221</c:v>
                </c:pt>
                <c:pt idx="105">
                  <c:v>10237.090088227582</c:v>
                </c:pt>
                <c:pt idx="106">
                  <c:v>12089.038432890717</c:v>
                </c:pt>
                <c:pt idx="107">
                  <c:v>10488.254238932146</c:v>
                </c:pt>
                <c:pt idx="108">
                  <c:v>12373.170777988615</c:v>
                </c:pt>
                <c:pt idx="109">
                  <c:v>11623.354969574037</c:v>
                </c:pt>
                <c:pt idx="110">
                  <c:v>11424.969639468691</c:v>
                </c:pt>
                <c:pt idx="111">
                  <c:v>12487.772549019608</c:v>
                </c:pt>
                <c:pt idx="112">
                  <c:v>13037.540796963947</c:v>
                </c:pt>
                <c:pt idx="113">
                  <c:v>14979.333333333334</c:v>
                </c:pt>
                <c:pt idx="114">
                  <c:v>16078.800759013282</c:v>
                </c:pt>
                <c:pt idx="115">
                  <c:v>15577.206831119545</c:v>
                </c:pt>
                <c:pt idx="116">
                  <c:v>13773.978431372549</c:v>
                </c:pt>
                <c:pt idx="117">
                  <c:v>12077.512333965846</c:v>
                </c:pt>
                <c:pt idx="118">
                  <c:v>11640.960784313726</c:v>
                </c:pt>
                <c:pt idx="119">
                  <c:v>12044.840607210626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08-43FE-A7A2-C816704C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Weather!$EV$1</c:f>
              <c:strCache>
                <c:ptCount val="1"/>
                <c:pt idx="0">
                  <c:v> GS_LU_kWh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Weather!$EV$2:$EV$121</c:f>
              <c:numCache>
                <c:formatCode>_(* #,##0_);_(* \(#,##0\);_(* "-"??_);_(@_)</c:formatCode>
                <c:ptCount val="120"/>
                <c:pt idx="0">
                  <c:v>106780.24886221433</c:v>
                </c:pt>
                <c:pt idx="1">
                  <c:v>113577.69125505591</c:v>
                </c:pt>
                <c:pt idx="2">
                  <c:v>113629.16085704519</c:v>
                </c:pt>
                <c:pt idx="3">
                  <c:v>109191.86749264134</c:v>
                </c:pt>
                <c:pt idx="4">
                  <c:v>117073.78269445142</c:v>
                </c:pt>
                <c:pt idx="5">
                  <c:v>117180.29118768079</c:v>
                </c:pt>
                <c:pt idx="6">
                  <c:v>125913.92642626527</c:v>
                </c:pt>
                <c:pt idx="7">
                  <c:v>126918.83597660558</c:v>
                </c:pt>
                <c:pt idx="8">
                  <c:v>127783.02275471613</c:v>
                </c:pt>
                <c:pt idx="9">
                  <c:v>110638.91469547003</c:v>
                </c:pt>
                <c:pt idx="10">
                  <c:v>114012.74348181589</c:v>
                </c:pt>
                <c:pt idx="11">
                  <c:v>96585.869112232322</c:v>
                </c:pt>
                <c:pt idx="12">
                  <c:v>103733.14227780179</c:v>
                </c:pt>
                <c:pt idx="13">
                  <c:v>118286.14298566348</c:v>
                </c:pt>
                <c:pt idx="14">
                  <c:v>116849.05506414843</c:v>
                </c:pt>
                <c:pt idx="15">
                  <c:v>115108.0950140833</c:v>
                </c:pt>
                <c:pt idx="16">
                  <c:v>109600.58143497162</c:v>
                </c:pt>
                <c:pt idx="17">
                  <c:v>112420.02620786517</c:v>
                </c:pt>
                <c:pt idx="18">
                  <c:v>120042.28849278537</c:v>
                </c:pt>
                <c:pt idx="19">
                  <c:v>117947.42580699697</c:v>
                </c:pt>
                <c:pt idx="20">
                  <c:v>125843.78996367657</c:v>
                </c:pt>
                <c:pt idx="21">
                  <c:v>112414.55637096938</c:v>
                </c:pt>
                <c:pt idx="22">
                  <c:v>108821.34071658087</c:v>
                </c:pt>
                <c:pt idx="23">
                  <c:v>98191.992370054853</c:v>
                </c:pt>
                <c:pt idx="24">
                  <c:v>101126.67817670874</c:v>
                </c:pt>
                <c:pt idx="25">
                  <c:v>95450.706025966647</c:v>
                </c:pt>
                <c:pt idx="26">
                  <c:v>102181.48284229301</c:v>
                </c:pt>
                <c:pt idx="27">
                  <c:v>95054.451505220553</c:v>
                </c:pt>
                <c:pt idx="28">
                  <c:v>100129.44140373006</c:v>
                </c:pt>
                <c:pt idx="29">
                  <c:v>105477.81078313191</c:v>
                </c:pt>
                <c:pt idx="30">
                  <c:v>107446.25890546633</c:v>
                </c:pt>
                <c:pt idx="31">
                  <c:v>110518.3470367196</c:v>
                </c:pt>
                <c:pt idx="32">
                  <c:v>112117.00731652162</c:v>
                </c:pt>
                <c:pt idx="33">
                  <c:v>108500.32966114995</c:v>
                </c:pt>
                <c:pt idx="34">
                  <c:v>97272.906524478531</c:v>
                </c:pt>
                <c:pt idx="35">
                  <c:v>98031.589309169663</c:v>
                </c:pt>
                <c:pt idx="36">
                  <c:v>116188.22568033943</c:v>
                </c:pt>
                <c:pt idx="37">
                  <c:v>120288.61764344128</c:v>
                </c:pt>
                <c:pt idx="38">
                  <c:v>119899.46290617371</c:v>
                </c:pt>
                <c:pt idx="39">
                  <c:v>113267.65693140501</c:v>
                </c:pt>
                <c:pt idx="40">
                  <c:v>121456.61369959594</c:v>
                </c:pt>
                <c:pt idx="41">
                  <c:v>118075.6253069587</c:v>
                </c:pt>
                <c:pt idx="42">
                  <c:v>127252.73297548277</c:v>
                </c:pt>
                <c:pt idx="43">
                  <c:v>144028.51546084994</c:v>
                </c:pt>
                <c:pt idx="44">
                  <c:v>142326.69306267618</c:v>
                </c:pt>
                <c:pt idx="45">
                  <c:v>125240.03015680518</c:v>
                </c:pt>
                <c:pt idx="46">
                  <c:v>120517.72003611868</c:v>
                </c:pt>
                <c:pt idx="47">
                  <c:v>106570.15608426544</c:v>
                </c:pt>
                <c:pt idx="48">
                  <c:v>108775.39125806848</c:v>
                </c:pt>
                <c:pt idx="49">
                  <c:v>102288.34410120556</c:v>
                </c:pt>
                <c:pt idx="50">
                  <c:v>105522.16918041505</c:v>
                </c:pt>
                <c:pt idx="51">
                  <c:v>103864.36149407907</c:v>
                </c:pt>
                <c:pt idx="52">
                  <c:v>102007.53149627228</c:v>
                </c:pt>
                <c:pt idx="53">
                  <c:v>105749.11252897099</c:v>
                </c:pt>
                <c:pt idx="54">
                  <c:v>111849.07725716737</c:v>
                </c:pt>
                <c:pt idx="55">
                  <c:v>114548.46144256525</c:v>
                </c:pt>
                <c:pt idx="56">
                  <c:v>110062.63317260593</c:v>
                </c:pt>
                <c:pt idx="57">
                  <c:v>104374.02050301601</c:v>
                </c:pt>
                <c:pt idx="58">
                  <c:v>107853.1545197832</c:v>
                </c:pt>
                <c:pt idx="59">
                  <c:v>100955.17188517521</c:v>
                </c:pt>
                <c:pt idx="60">
                  <c:v>98442.925747703703</c:v>
                </c:pt>
                <c:pt idx="61">
                  <c:v>94441.933648530685</c:v>
                </c:pt>
                <c:pt idx="62">
                  <c:v>83349.824999978591</c:v>
                </c:pt>
                <c:pt idx="63">
                  <c:v>67540.522993719263</c:v>
                </c:pt>
                <c:pt idx="64">
                  <c:v>62905.595226618061</c:v>
                </c:pt>
                <c:pt idx="65">
                  <c:v>73827.589157043461</c:v>
                </c:pt>
                <c:pt idx="66">
                  <c:v>89409.909246136463</c:v>
                </c:pt>
                <c:pt idx="67">
                  <c:v>91089.285114737562</c:v>
                </c:pt>
                <c:pt idx="68">
                  <c:v>92442.600201978217</c:v>
                </c:pt>
                <c:pt idx="69">
                  <c:v>82240.117470956829</c:v>
                </c:pt>
                <c:pt idx="70">
                  <c:v>87098.183481899425</c:v>
                </c:pt>
                <c:pt idx="71">
                  <c:v>87156.956682688033</c:v>
                </c:pt>
                <c:pt idx="72">
                  <c:v>91537.870967741939</c:v>
                </c:pt>
                <c:pt idx="73">
                  <c:v>88267.142857142855</c:v>
                </c:pt>
                <c:pt idx="74">
                  <c:v>96895.129032258061</c:v>
                </c:pt>
                <c:pt idx="75">
                  <c:v>90905.2</c:v>
                </c:pt>
                <c:pt idx="76">
                  <c:v>91827.290322580651</c:v>
                </c:pt>
                <c:pt idx="77">
                  <c:v>102285.6</c:v>
                </c:pt>
                <c:pt idx="78">
                  <c:v>103411.09677419355</c:v>
                </c:pt>
                <c:pt idx="79">
                  <c:v>114358.03225806452</c:v>
                </c:pt>
                <c:pt idx="80">
                  <c:v>107729.86666666667</c:v>
                </c:pt>
                <c:pt idx="81">
                  <c:v>100017.70967741935</c:v>
                </c:pt>
                <c:pt idx="82">
                  <c:v>101423.6</c:v>
                </c:pt>
                <c:pt idx="83">
                  <c:v>98882.677419354834</c:v>
                </c:pt>
                <c:pt idx="84">
                  <c:v>97405.06451612903</c:v>
                </c:pt>
                <c:pt idx="85">
                  <c:v>96325.21428571429</c:v>
                </c:pt>
                <c:pt idx="86">
                  <c:v>101546.80645161291</c:v>
                </c:pt>
                <c:pt idx="87">
                  <c:v>99031.566666666666</c:v>
                </c:pt>
                <c:pt idx="88">
                  <c:v>99320.032258064515</c:v>
                </c:pt>
                <c:pt idx="89">
                  <c:v>102231.86666666667</c:v>
                </c:pt>
                <c:pt idx="90">
                  <c:v>89779.419354838712</c:v>
                </c:pt>
                <c:pt idx="91">
                  <c:v>87772.516129032258</c:v>
                </c:pt>
                <c:pt idx="92">
                  <c:v>91325.866666666669</c:v>
                </c:pt>
                <c:pt idx="93">
                  <c:v>85227.548387096773</c:v>
                </c:pt>
                <c:pt idx="94">
                  <c:v>86137.3</c:v>
                </c:pt>
                <c:pt idx="95">
                  <c:v>77376.225806451606</c:v>
                </c:pt>
                <c:pt idx="96">
                  <c:v>87708.76606316409</c:v>
                </c:pt>
                <c:pt idx="97">
                  <c:v>92003.069226352847</c:v>
                </c:pt>
                <c:pt idx="98">
                  <c:v>88380.29858691238</c:v>
                </c:pt>
                <c:pt idx="99">
                  <c:v>83915.645915390531</c:v>
                </c:pt>
                <c:pt idx="100">
                  <c:v>84286.406494244191</c:v>
                </c:pt>
                <c:pt idx="101">
                  <c:v>85081.261036293843</c:v>
                </c:pt>
                <c:pt idx="102">
                  <c:v>86193.297032437709</c:v>
                </c:pt>
                <c:pt idx="103">
                  <c:v>94767.114067663744</c:v>
                </c:pt>
                <c:pt idx="104">
                  <c:v>98175.531449330054</c:v>
                </c:pt>
                <c:pt idx="105">
                  <c:v>95117.211513954026</c:v>
                </c:pt>
                <c:pt idx="106">
                  <c:v>112195.50270777637</c:v>
                </c:pt>
                <c:pt idx="107">
                  <c:v>105257.73941576573</c:v>
                </c:pt>
                <c:pt idx="108">
                  <c:v>112609.90039058373</c:v>
                </c:pt>
                <c:pt idx="109">
                  <c:v>114597.75573541794</c:v>
                </c:pt>
                <c:pt idx="110">
                  <c:v>111857.64234500749</c:v>
                </c:pt>
                <c:pt idx="111">
                  <c:v>106370.76398852908</c:v>
                </c:pt>
                <c:pt idx="112">
                  <c:v>108618.61016849334</c:v>
                </c:pt>
                <c:pt idx="113">
                  <c:v>109172.93058464452</c:v>
                </c:pt>
                <c:pt idx="114">
                  <c:v>108174.35211516246</c:v>
                </c:pt>
                <c:pt idx="115">
                  <c:v>106967.96504876194</c:v>
                </c:pt>
                <c:pt idx="116">
                  <c:v>110428.89721968924</c:v>
                </c:pt>
                <c:pt idx="117">
                  <c:v>105775.99733683708</c:v>
                </c:pt>
                <c:pt idx="118">
                  <c:v>106953.13064053327</c:v>
                </c:pt>
                <c:pt idx="119">
                  <c:v>101062.57810066994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07-49C4-B36E-14F371B5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1,000-4,999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Weather!$DS$2:$DS$121</c:f>
              <c:numCache>
                <c:formatCode>#,##0</c:formatCode>
                <c:ptCount val="12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7-47E8-ABBA-BF9F64AC0A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Weather!$DX$2:$DX$121</c:f>
              <c:numCache>
                <c:formatCode>_(* #,##0_);_(* \(#,##0\);_(* "-"??_);_(@_)</c:formatCode>
                <c:ptCount val="120"/>
                <c:pt idx="0">
                  <c:v>6894957.8328533489</c:v>
                </c:pt>
                <c:pt idx="1">
                  <c:v>6909803.7643912965</c:v>
                </c:pt>
                <c:pt idx="2">
                  <c:v>6867309.5837608995</c:v>
                </c:pt>
                <c:pt idx="3">
                  <c:v>6818345.6355306637</c:v>
                </c:pt>
                <c:pt idx="4">
                  <c:v>7241537.5711178398</c:v>
                </c:pt>
                <c:pt idx="5">
                  <c:v>7472714.7245308757</c:v>
                </c:pt>
                <c:pt idx="6">
                  <c:v>8258403.9575536773</c:v>
                </c:pt>
                <c:pt idx="7">
                  <c:v>7989680.0482220426</c:v>
                </c:pt>
                <c:pt idx="8">
                  <c:v>7753705.9094508458</c:v>
                </c:pt>
                <c:pt idx="9">
                  <c:v>6838548.3159011621</c:v>
                </c:pt>
                <c:pt idx="10">
                  <c:v>6824948.6895892285</c:v>
                </c:pt>
                <c:pt idx="11">
                  <c:v>6832739.0338326525</c:v>
                </c:pt>
                <c:pt idx="12">
                  <c:v>6873885.9478889257</c:v>
                </c:pt>
                <c:pt idx="13">
                  <c:v>6863494.2995277457</c:v>
                </c:pt>
                <c:pt idx="14">
                  <c:v>6846115.4304909706</c:v>
                </c:pt>
                <c:pt idx="15">
                  <c:v>6834823.1657533348</c:v>
                </c:pt>
                <c:pt idx="16">
                  <c:v>7273127.3826822899</c:v>
                </c:pt>
                <c:pt idx="17">
                  <c:v>7841388.0888783857</c:v>
                </c:pt>
                <c:pt idx="18">
                  <c:v>8584994.4917142317</c:v>
                </c:pt>
                <c:pt idx="19">
                  <c:v>8690750.7370912284</c:v>
                </c:pt>
                <c:pt idx="20">
                  <c:v>7651823.2895827238</c:v>
                </c:pt>
                <c:pt idx="21">
                  <c:v>6981462.3638093574</c:v>
                </c:pt>
                <c:pt idx="22">
                  <c:v>6823592.4340258958</c:v>
                </c:pt>
                <c:pt idx="23">
                  <c:v>6863660.5256042937</c:v>
                </c:pt>
                <c:pt idx="24">
                  <c:v>6864272.8995919237</c:v>
                </c:pt>
                <c:pt idx="25">
                  <c:v>6851815.2985650729</c:v>
                </c:pt>
                <c:pt idx="26">
                  <c:v>6860726.0236988235</c:v>
                </c:pt>
                <c:pt idx="27">
                  <c:v>6850529.6144307256</c:v>
                </c:pt>
                <c:pt idx="28">
                  <c:v>7001099.144083146</c:v>
                </c:pt>
                <c:pt idx="29">
                  <c:v>7594924.2382465424</c:v>
                </c:pt>
                <c:pt idx="30">
                  <c:v>8205719.4185303301</c:v>
                </c:pt>
                <c:pt idx="31">
                  <c:v>7900208.1384499734</c:v>
                </c:pt>
                <c:pt idx="32">
                  <c:v>7595624.1315547498</c:v>
                </c:pt>
                <c:pt idx="33">
                  <c:v>7009856.8262063926</c:v>
                </c:pt>
                <c:pt idx="34">
                  <c:v>6834636.3143730462</c:v>
                </c:pt>
                <c:pt idx="35">
                  <c:v>6884322.9306346187</c:v>
                </c:pt>
                <c:pt idx="36">
                  <c:v>6886779.6225191886</c:v>
                </c:pt>
                <c:pt idx="37">
                  <c:v>6859830.8495030403</c:v>
                </c:pt>
                <c:pt idx="38">
                  <c:v>6855130.4653817723</c:v>
                </c:pt>
                <c:pt idx="39">
                  <c:v>6836346.9187318254</c:v>
                </c:pt>
                <c:pt idx="40">
                  <c:v>7366588.1707998589</c:v>
                </c:pt>
                <c:pt idx="41">
                  <c:v>7800788.4179202877</c:v>
                </c:pt>
                <c:pt idx="42">
                  <c:v>8621944.1757614873</c:v>
                </c:pt>
                <c:pt idx="43">
                  <c:v>8592261.3246829715</c:v>
                </c:pt>
                <c:pt idx="44">
                  <c:v>7755035.0321787037</c:v>
                </c:pt>
                <c:pt idx="45">
                  <c:v>6923817.5841850881</c:v>
                </c:pt>
                <c:pt idx="46">
                  <c:v>6845156.1811954752</c:v>
                </c:pt>
                <c:pt idx="47">
                  <c:v>6858176.5042650132</c:v>
                </c:pt>
                <c:pt idx="48">
                  <c:v>6891856.3539912561</c:v>
                </c:pt>
                <c:pt idx="49">
                  <c:v>6870678.0004895665</c:v>
                </c:pt>
                <c:pt idx="50">
                  <c:v>6862760.314254676</c:v>
                </c:pt>
                <c:pt idx="51">
                  <c:v>6821664.3348968057</c:v>
                </c:pt>
                <c:pt idx="52">
                  <c:v>6877533.1568132527</c:v>
                </c:pt>
                <c:pt idx="53">
                  <c:v>7639227.6383217201</c:v>
                </c:pt>
                <c:pt idx="54">
                  <c:v>8644826.7352969944</c:v>
                </c:pt>
                <c:pt idx="55">
                  <c:v>8147852.7937014084</c:v>
                </c:pt>
                <c:pt idx="56">
                  <c:v>7336154.7094021998</c:v>
                </c:pt>
                <c:pt idx="57">
                  <c:v>6854243.8036043514</c:v>
                </c:pt>
                <c:pt idx="58">
                  <c:v>6849680.9845259301</c:v>
                </c:pt>
                <c:pt idx="59">
                  <c:v>6863273.3843524195</c:v>
                </c:pt>
                <c:pt idx="60">
                  <c:v>6865758.8599731876</c:v>
                </c:pt>
                <c:pt idx="61">
                  <c:v>6866376.9907080578</c:v>
                </c:pt>
                <c:pt idx="62">
                  <c:v>6840328.4290415281</c:v>
                </c:pt>
                <c:pt idx="63">
                  <c:v>6823766.9868261302</c:v>
                </c:pt>
                <c:pt idx="64">
                  <c:v>7168112.8883874137</c:v>
                </c:pt>
                <c:pt idx="65">
                  <c:v>7975584.0497014299</c:v>
                </c:pt>
                <c:pt idx="66">
                  <c:v>8997119.2237691097</c:v>
                </c:pt>
                <c:pt idx="67">
                  <c:v>8339841.7626455761</c:v>
                </c:pt>
                <c:pt idx="68">
                  <c:v>7332716.5485911975</c:v>
                </c:pt>
                <c:pt idx="69">
                  <c:v>6836726.3755450835</c:v>
                </c:pt>
                <c:pt idx="70">
                  <c:v>6821773.1186476359</c:v>
                </c:pt>
                <c:pt idx="71">
                  <c:v>6857828.9406504119</c:v>
                </c:pt>
                <c:pt idx="72">
                  <c:v>6870021.7313042339</c:v>
                </c:pt>
                <c:pt idx="73">
                  <c:v>6873121.7396928472</c:v>
                </c:pt>
                <c:pt idx="74">
                  <c:v>6842283.6581828427</c:v>
                </c:pt>
                <c:pt idx="75">
                  <c:v>6841840.862381178</c:v>
                </c:pt>
                <c:pt idx="76">
                  <c:v>7183363.8017423162</c:v>
                </c:pt>
                <c:pt idx="77">
                  <c:v>8087841.8575046612</c:v>
                </c:pt>
                <c:pt idx="78">
                  <c:v>8167896.1485700971</c:v>
                </c:pt>
                <c:pt idx="79">
                  <c:v>8691018.7760122065</c:v>
                </c:pt>
                <c:pt idx="80">
                  <c:v>7470209.9875135096</c:v>
                </c:pt>
                <c:pt idx="81">
                  <c:v>7115429.9061947037</c:v>
                </c:pt>
                <c:pt idx="82">
                  <c:v>6835275.4620299218</c:v>
                </c:pt>
                <c:pt idx="83">
                  <c:v>6849218.2859665342</c:v>
                </c:pt>
                <c:pt idx="84">
                  <c:v>6899724.3882812038</c:v>
                </c:pt>
                <c:pt idx="85">
                  <c:v>6870254.1599740395</c:v>
                </c:pt>
                <c:pt idx="86">
                  <c:v>6851234.5866872622</c:v>
                </c:pt>
                <c:pt idx="87">
                  <c:v>6819779.7197691882</c:v>
                </c:pt>
                <c:pt idx="88">
                  <c:v>7308995.3176613012</c:v>
                </c:pt>
                <c:pt idx="89">
                  <c:v>7653600.966011215</c:v>
                </c:pt>
                <c:pt idx="90">
                  <c:v>8375031.8970041983</c:v>
                </c:pt>
                <c:pt idx="91">
                  <c:v>8420984.4541780129</c:v>
                </c:pt>
                <c:pt idx="92">
                  <c:v>7463034.2312223688</c:v>
                </c:pt>
                <c:pt idx="93">
                  <c:v>6822899.4659114191</c:v>
                </c:pt>
                <c:pt idx="94">
                  <c:v>6846956.3314034557</c:v>
                </c:pt>
                <c:pt idx="95">
                  <c:v>6858211.7643418564</c:v>
                </c:pt>
                <c:pt idx="96">
                  <c:v>6861484.4751476627</c:v>
                </c:pt>
                <c:pt idx="97">
                  <c:v>6859301.9483503867</c:v>
                </c:pt>
                <c:pt idx="98">
                  <c:v>6852324.7706957925</c:v>
                </c:pt>
                <c:pt idx="99">
                  <c:v>6897919.2001187196</c:v>
                </c:pt>
                <c:pt idx="100">
                  <c:v>7062692.6453799829</c:v>
                </c:pt>
                <c:pt idx="101">
                  <c:v>7829571.46609117</c:v>
                </c:pt>
                <c:pt idx="102">
                  <c:v>8388819.7836606503</c:v>
                </c:pt>
                <c:pt idx="103">
                  <c:v>7974407.0092223538</c:v>
                </c:pt>
                <c:pt idx="104">
                  <c:v>7542293.307007391</c:v>
                </c:pt>
                <c:pt idx="105">
                  <c:v>7053660.6574563766</c:v>
                </c:pt>
                <c:pt idx="106">
                  <c:v>6836014.7168720877</c:v>
                </c:pt>
                <c:pt idx="107">
                  <c:v>6841728.7578076003</c:v>
                </c:pt>
                <c:pt idx="108">
                  <c:v>6867170.7022337401</c:v>
                </c:pt>
                <c:pt idx="109">
                  <c:v>6853004.066870085</c:v>
                </c:pt>
                <c:pt idx="110">
                  <c:v>6836622.5230059298</c:v>
                </c:pt>
                <c:pt idx="111">
                  <c:v>6811851.599429925</c:v>
                </c:pt>
                <c:pt idx="112">
                  <c:v>7223593.1692017801</c:v>
                </c:pt>
                <c:pt idx="113">
                  <c:v>7837225.4663902102</c:v>
                </c:pt>
                <c:pt idx="114">
                  <c:v>8512892.0219711456</c:v>
                </c:pt>
                <c:pt idx="115">
                  <c:v>8225018.2208407475</c:v>
                </c:pt>
                <c:pt idx="116">
                  <c:v>7603138.1420694022</c:v>
                </c:pt>
                <c:pt idx="117">
                  <c:v>6889570.1738393903</c:v>
                </c:pt>
                <c:pt idx="118">
                  <c:v>6862439.2025452107</c:v>
                </c:pt>
                <c:pt idx="119">
                  <c:v>6860535.331446507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7-47E8-ABBA-BF9F64AC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154</xdr:col>
      <xdr:colOff>237172</xdr:colOff>
      <xdr:row>1</xdr:row>
      <xdr:rowOff>97155</xdr:rowOff>
    </xdr:from>
    <xdr:to>
      <xdr:col>162</xdr:col>
      <xdr:colOff>597217</xdr:colOff>
      <xdr:row>18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154</xdr:col>
      <xdr:colOff>316230</xdr:colOff>
      <xdr:row>19</xdr:row>
      <xdr:rowOff>68580</xdr:rowOff>
    </xdr:from>
    <xdr:to>
      <xdr:col>162</xdr:col>
      <xdr:colOff>501015</xdr:colOff>
      <xdr:row>36</xdr:row>
      <xdr:rowOff>57150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154</xdr:col>
      <xdr:colOff>344805</xdr:colOff>
      <xdr:row>39</xdr:row>
      <xdr:rowOff>91440</xdr:rowOff>
    </xdr:from>
    <xdr:to>
      <xdr:col>162</xdr:col>
      <xdr:colOff>986790</xdr:colOff>
      <xdr:row>56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129</xdr:col>
      <xdr:colOff>188595</xdr:colOff>
      <xdr:row>3</xdr:row>
      <xdr:rowOff>19050</xdr:rowOff>
    </xdr:from>
    <xdr:to>
      <xdr:col>139</xdr:col>
      <xdr:colOff>446088</xdr:colOff>
      <xdr:row>22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129</xdr:col>
      <xdr:colOff>198438</xdr:colOff>
      <xdr:row>22</xdr:row>
      <xdr:rowOff>103188</xdr:rowOff>
    </xdr:from>
    <xdr:to>
      <xdr:col>139</xdr:col>
      <xdr:colOff>449263</xdr:colOff>
      <xdr:row>40</xdr:row>
      <xdr:rowOff>159703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213359</xdr:colOff>
      <xdr:row>41</xdr:row>
      <xdr:rowOff>75249</xdr:rowOff>
    </xdr:from>
    <xdr:to>
      <xdr:col>139</xdr:col>
      <xdr:colOff>438150</xdr:colOff>
      <xdr:row>59</xdr:row>
      <xdr:rowOff>135574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154</xdr:col>
      <xdr:colOff>571500</xdr:colOff>
      <xdr:row>57</xdr:row>
      <xdr:rowOff>0</xdr:rowOff>
    </xdr:from>
    <xdr:to>
      <xdr:col>163</xdr:col>
      <xdr:colOff>220980</xdr:colOff>
      <xdr:row>74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1CC5E2-1555-49C6-8A6D-DE78CFB3F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154</xdr:col>
      <xdr:colOff>600075</xdr:colOff>
      <xdr:row>74</xdr:row>
      <xdr:rowOff>123825</xdr:rowOff>
    </xdr:from>
    <xdr:to>
      <xdr:col>163</xdr:col>
      <xdr:colOff>245745</xdr:colOff>
      <xdr:row>91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5C59EE-5B2F-450D-87C5-FE363D8E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129</xdr:col>
      <xdr:colOff>190500</xdr:colOff>
      <xdr:row>60</xdr:row>
      <xdr:rowOff>38100</xdr:rowOff>
    </xdr:from>
    <xdr:to>
      <xdr:col>139</xdr:col>
      <xdr:colOff>415291</xdr:colOff>
      <xdr:row>78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C3F199C-565E-499C-9549-0E0D094D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129</xdr:col>
      <xdr:colOff>247650</xdr:colOff>
      <xdr:row>79</xdr:row>
      <xdr:rowOff>47625</xdr:rowOff>
    </xdr:from>
    <xdr:to>
      <xdr:col>139</xdr:col>
      <xdr:colOff>472441</xdr:colOff>
      <xdr:row>97</xdr:row>
      <xdr:rowOff>107950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A7C7B2B-BE5A-4E4E-ADD9-16D87ECB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216216</xdr:colOff>
      <xdr:row>2</xdr:row>
      <xdr:rowOff>59055</xdr:rowOff>
    </xdr:from>
    <xdr:to>
      <xdr:col>30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216216</xdr:colOff>
      <xdr:row>2</xdr:row>
      <xdr:rowOff>59055</xdr:rowOff>
    </xdr:from>
    <xdr:to>
      <xdr:col>28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F57ADD-1724-43BE-9F2C-CF8105106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216216</xdr:colOff>
      <xdr:row>2</xdr:row>
      <xdr:rowOff>59055</xdr:rowOff>
    </xdr:from>
    <xdr:to>
      <xdr:col>34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7DF81F-91EE-4158-B2B1-5FA72BE8C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17</xdr:row>
      <xdr:rowOff>104774</xdr:rowOff>
    </xdr:from>
    <xdr:to>
      <xdr:col>10</xdr:col>
      <xdr:colOff>781050</xdr:colOff>
      <xdr:row>39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63500</xdr:rowOff>
    </xdr:from>
    <xdr:to>
      <xdr:col>22</xdr:col>
      <xdr:colOff>196850</xdr:colOff>
      <xdr:row>38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126046</xdr:colOff>
      <xdr:row>17</xdr:row>
      <xdr:rowOff>99059</xdr:rowOff>
    </xdr:from>
    <xdr:to>
      <xdr:col>32</xdr:col>
      <xdr:colOff>1000126</xdr:colOff>
      <xdr:row>37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173990</xdr:colOff>
      <xdr:row>17</xdr:row>
      <xdr:rowOff>76200</xdr:rowOff>
    </xdr:from>
    <xdr:to>
      <xdr:col>63</xdr:col>
      <xdr:colOff>495300</xdr:colOff>
      <xdr:row>35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130808</xdr:colOff>
      <xdr:row>36</xdr:row>
      <xdr:rowOff>91440</xdr:rowOff>
    </xdr:from>
    <xdr:to>
      <xdr:col>63</xdr:col>
      <xdr:colOff>466725</xdr:colOff>
      <xdr:row>51</xdr:row>
      <xdr:rowOff>11430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76200</xdr:colOff>
      <xdr:row>16</xdr:row>
      <xdr:rowOff>120650</xdr:rowOff>
    </xdr:from>
    <xdr:to>
      <xdr:col>78</xdr:col>
      <xdr:colOff>301625</xdr:colOff>
      <xdr:row>34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139700</xdr:colOff>
      <xdr:row>36</xdr:row>
      <xdr:rowOff>66675</xdr:rowOff>
    </xdr:from>
    <xdr:to>
      <xdr:col>78</xdr:col>
      <xdr:colOff>438150</xdr:colOff>
      <xdr:row>51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59</xdr:row>
      <xdr:rowOff>104774</xdr:rowOff>
    </xdr:from>
    <xdr:to>
      <xdr:col>10</xdr:col>
      <xdr:colOff>781050</xdr:colOff>
      <xdr:row>81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59</xdr:row>
      <xdr:rowOff>63500</xdr:rowOff>
    </xdr:from>
    <xdr:to>
      <xdr:col>22</xdr:col>
      <xdr:colOff>196850</xdr:colOff>
      <xdr:row>80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126046</xdr:colOff>
      <xdr:row>59</xdr:row>
      <xdr:rowOff>99059</xdr:rowOff>
    </xdr:from>
    <xdr:to>
      <xdr:col>32</xdr:col>
      <xdr:colOff>942976</xdr:colOff>
      <xdr:row>79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63</xdr:col>
      <xdr:colOff>568962</xdr:colOff>
      <xdr:row>17</xdr:row>
      <xdr:rowOff>19050</xdr:rowOff>
    </xdr:from>
    <xdr:to>
      <xdr:col>70</xdr:col>
      <xdr:colOff>581025</xdr:colOff>
      <xdr:row>34</xdr:row>
      <xdr:rowOff>135255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A5889AE-42A0-4123-A57E-68E4A8A3C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533401</xdr:colOff>
      <xdr:row>36</xdr:row>
      <xdr:rowOff>20955</xdr:rowOff>
    </xdr:from>
    <xdr:to>
      <xdr:col>70</xdr:col>
      <xdr:colOff>564345</xdr:colOff>
      <xdr:row>50</xdr:row>
      <xdr:rowOff>125730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0B63CF2-F1AD-4CEC-8F2C-A701F389D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36</xdr:col>
      <xdr:colOff>228599</xdr:colOff>
      <xdr:row>18</xdr:row>
      <xdr:rowOff>0</xdr:rowOff>
    </xdr:from>
    <xdr:to>
      <xdr:col>45</xdr:col>
      <xdr:colOff>657224</xdr:colOff>
      <xdr:row>38</xdr:row>
      <xdr:rowOff>45720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538D8D5-880A-48D1-B9AD-C5E6FB859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47</xdr:col>
      <xdr:colOff>0</xdr:colOff>
      <xdr:row>18</xdr:row>
      <xdr:rowOff>0</xdr:rowOff>
    </xdr:from>
    <xdr:to>
      <xdr:col>56</xdr:col>
      <xdr:colOff>276225</xdr:colOff>
      <xdr:row>38</xdr:row>
      <xdr:rowOff>49530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D696EA3-10D0-48AB-95D5-264E41C2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36</xdr:col>
      <xdr:colOff>228599</xdr:colOff>
      <xdr:row>60</xdr:row>
      <xdr:rowOff>0</xdr:rowOff>
    </xdr:from>
    <xdr:to>
      <xdr:col>45</xdr:col>
      <xdr:colOff>657224</xdr:colOff>
      <xdr:row>80</xdr:row>
      <xdr:rowOff>45720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8B6D602-8C88-4D0D-9AF2-F294DB6A7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0</xdr:colOff>
      <xdr:row>60</xdr:row>
      <xdr:rowOff>0</xdr:rowOff>
    </xdr:from>
    <xdr:to>
      <xdr:col>56</xdr:col>
      <xdr:colOff>276225</xdr:colOff>
      <xdr:row>80</xdr:row>
      <xdr:rowOff>49530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0A5E5D3-C999-435C-A9D6-70508B3FF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</xdr:colOff>
      <xdr:row>28</xdr:row>
      <xdr:rowOff>132397</xdr:rowOff>
    </xdr:from>
    <xdr:to>
      <xdr:col>10</xdr:col>
      <xdr:colOff>200025</xdr:colOff>
      <xdr:row>45</xdr:row>
      <xdr:rowOff>120967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</xdr:colOff>
      <xdr:row>28</xdr:row>
      <xdr:rowOff>114300</xdr:rowOff>
    </xdr:from>
    <xdr:to>
      <xdr:col>36</xdr:col>
      <xdr:colOff>68580</xdr:colOff>
      <xdr:row>45</xdr:row>
      <xdr:rowOff>102870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28</xdr:row>
      <xdr:rowOff>115252</xdr:rowOff>
    </xdr:from>
    <xdr:to>
      <xdr:col>18</xdr:col>
      <xdr:colOff>524827</xdr:colOff>
      <xdr:row>45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FA3F9A5-915E-4227-BB86-631710F35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28</xdr:row>
      <xdr:rowOff>115252</xdr:rowOff>
    </xdr:from>
    <xdr:to>
      <xdr:col>27</xdr:col>
      <xdr:colOff>524827</xdr:colOff>
      <xdr:row>45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4CE820-E560-49F0-8F97-9F855931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78105</xdr:colOff>
      <xdr:row>28</xdr:row>
      <xdr:rowOff>114300</xdr:rowOff>
    </xdr:from>
    <xdr:to>
      <xdr:col>45</xdr:col>
      <xdr:colOff>68580</xdr:colOff>
      <xdr:row>45</xdr:row>
      <xdr:rowOff>102870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14BF6EE-19EC-4F7F-8F1B-0156B7EEC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10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238125</xdr:colOff>
      <xdr:row>37</xdr:row>
      <xdr:rowOff>114300</xdr:rowOff>
    </xdr:from>
    <xdr:to>
      <xdr:col>35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36</xdr:row>
      <xdr:rowOff>115252</xdr:rowOff>
    </xdr:from>
    <xdr:to>
      <xdr:col>18</xdr:col>
      <xdr:colOff>524827</xdr:colOff>
      <xdr:row>53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B97E84-F9F6-4D1C-9E2B-C1A373FEB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36</xdr:row>
      <xdr:rowOff>115252</xdr:rowOff>
    </xdr:from>
    <xdr:to>
      <xdr:col>27</xdr:col>
      <xdr:colOff>524827</xdr:colOff>
      <xdr:row>53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64BF53-AD07-4CD4-B543-2DBED7835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78105</xdr:colOff>
      <xdr:row>36</xdr:row>
      <xdr:rowOff>114300</xdr:rowOff>
    </xdr:from>
    <xdr:to>
      <xdr:col>44</xdr:col>
      <xdr:colOff>68580</xdr:colOff>
      <xdr:row>53</xdr:row>
      <xdr:rowOff>102870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10AE183-ECB2-4635-B7BF-7F9EEF336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555306</xdr:colOff>
      <xdr:row>3</xdr:row>
      <xdr:rowOff>125730</xdr:rowOff>
    </xdr:from>
    <xdr:to>
      <xdr:col>32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91755</xdr:colOff>
      <xdr:row>2</xdr:row>
      <xdr:rowOff>152400</xdr:rowOff>
    </xdr:from>
    <xdr:to>
      <xdr:col>34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86676</xdr:colOff>
      <xdr:row>2</xdr:row>
      <xdr:rowOff>49530</xdr:rowOff>
    </xdr:from>
    <xdr:to>
      <xdr:col>33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817561</xdr:colOff>
      <xdr:row>28</xdr:row>
      <xdr:rowOff>38100</xdr:rowOff>
    </xdr:from>
    <xdr:to>
      <xdr:col>31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216216</xdr:colOff>
      <xdr:row>2</xdr:row>
      <xdr:rowOff>59055</xdr:rowOff>
    </xdr:from>
    <xdr:to>
      <xdr:col>29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892CCF-68E6-477D-AA45-E2F626BA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216216</xdr:colOff>
      <xdr:row>2</xdr:row>
      <xdr:rowOff>59055</xdr:rowOff>
    </xdr:from>
    <xdr:to>
      <xdr:col>36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FAC094-0BEC-42BF-BCFD-069AF5E6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417511</xdr:colOff>
      <xdr:row>27</xdr:row>
      <xdr:rowOff>15875</xdr:rowOff>
    </xdr:from>
    <xdr:to>
      <xdr:col>34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255586</xdr:colOff>
      <xdr:row>28</xdr:row>
      <xdr:rowOff>6350</xdr:rowOff>
    </xdr:from>
    <xdr:to>
      <xdr:col>32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255586</xdr:colOff>
      <xdr:row>28</xdr:row>
      <xdr:rowOff>6350</xdr:rowOff>
    </xdr:from>
    <xdr:to>
      <xdr:col>30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AE2C93-2FCC-4E73-9395-C8CC338AC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255586</xdr:colOff>
      <xdr:row>28</xdr:row>
      <xdr:rowOff>6350</xdr:rowOff>
    </xdr:from>
    <xdr:to>
      <xdr:col>36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F0610-73A5-41FD-9A93-95C3C721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17</xdr:row>
      <xdr:rowOff>19050</xdr:rowOff>
    </xdr:from>
    <xdr:to>
      <xdr:col>5</xdr:col>
      <xdr:colOff>1162050</xdr:colOff>
      <xdr:row>36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17</xdr:row>
      <xdr:rowOff>1</xdr:rowOff>
    </xdr:from>
    <xdr:to>
      <xdr:col>11</xdr:col>
      <xdr:colOff>1038225</xdr:colOff>
      <xdr:row>36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17</xdr:row>
      <xdr:rowOff>0</xdr:rowOff>
    </xdr:from>
    <xdr:to>
      <xdr:col>17</xdr:col>
      <xdr:colOff>1257300</xdr:colOff>
      <xdr:row>36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91440</xdr:colOff>
      <xdr:row>17</xdr:row>
      <xdr:rowOff>15240</xdr:rowOff>
    </xdr:from>
    <xdr:to>
      <xdr:col>28</xdr:col>
      <xdr:colOff>5715</xdr:colOff>
      <xdr:row>36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881FB7-B061-4DD6-9461-5967CC03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507681</xdr:colOff>
      <xdr:row>4</xdr:row>
      <xdr:rowOff>30480</xdr:rowOff>
    </xdr:from>
    <xdr:to>
      <xdr:col>29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72705</xdr:colOff>
      <xdr:row>3</xdr:row>
      <xdr:rowOff>133350</xdr:rowOff>
    </xdr:from>
    <xdr:to>
      <xdr:col>32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ieso.ca/Sector-Participants/Energy-Efficiency/2025-2036-Electricity-Demand-Side-Management-Framework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udget.ontario.ca/2024/chapter-2.html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2:E13"/>
  <sheetViews>
    <sheetView workbookViewId="0">
      <selection activeCell="H9" sqref="H9"/>
    </sheetView>
  </sheetViews>
  <sheetFormatPr defaultColWidth="8.88671875" defaultRowHeight="13.2" x14ac:dyDescent="0.25"/>
  <cols>
    <col min="1" max="1" width="8.88671875" style="451"/>
    <col min="2" max="2" width="19.33203125" style="451" bestFit="1" customWidth="1"/>
    <col min="3" max="3" width="14.77734375" style="451" customWidth="1"/>
    <col min="4" max="4" width="12" style="451" bestFit="1" customWidth="1"/>
    <col min="5" max="5" width="14" style="451" customWidth="1"/>
    <col min="6" max="16384" width="8.88671875" style="451"/>
  </cols>
  <sheetData>
    <row r="2" spans="2:5" ht="17.399999999999999" x14ac:dyDescent="0.3">
      <c r="B2" s="467" t="s">
        <v>541</v>
      </c>
      <c r="C2" s="467"/>
      <c r="D2" s="467"/>
      <c r="E2" s="467"/>
    </row>
    <row r="3" spans="2:5" ht="13.8" thickBot="1" x14ac:dyDescent="0.3"/>
    <row r="4" spans="2:5" ht="26.4" x14ac:dyDescent="0.25">
      <c r="B4" s="132"/>
      <c r="C4" s="133" t="str">
        <f>'Summary Tables'!C56</f>
        <v>kWh</v>
      </c>
      <c r="D4" s="133" t="str">
        <f>'Summary Tables'!D56</f>
        <v>kW</v>
      </c>
      <c r="E4" s="134" t="str">
        <f>'Summary Tables'!E56</f>
        <v>Customers / Connections</v>
      </c>
    </row>
    <row r="5" spans="2:5" x14ac:dyDescent="0.25">
      <c r="B5" s="21" t="str">
        <f>'Summary Tables'!B57</f>
        <v>Residential</v>
      </c>
      <c r="C5" s="260">
        <f ca="1">'Summary Tables'!C57</f>
        <v>550241794.14455068</v>
      </c>
      <c r="D5" s="260"/>
      <c r="E5" s="278">
        <f ca="1">'Summary Tables'!E57</f>
        <v>59177.394403200509</v>
      </c>
    </row>
    <row r="6" spans="2:5" x14ac:dyDescent="0.25">
      <c r="B6" s="21" t="str">
        <f>'Summary Tables'!B58</f>
        <v>GS &lt; 50</v>
      </c>
      <c r="C6" s="260">
        <f ca="1">'Summary Tables'!C58</f>
        <v>125682650.1030491</v>
      </c>
      <c r="D6" s="260"/>
      <c r="E6" s="278">
        <f ca="1">'Summary Tables'!E58</f>
        <v>4371.6443325355931</v>
      </c>
    </row>
    <row r="7" spans="2:5" x14ac:dyDescent="0.25">
      <c r="B7" s="21" t="str">
        <f>'Summary Tables'!B59</f>
        <v>GS 50-999</v>
      </c>
      <c r="C7" s="260">
        <f ca="1">'Summary Tables'!C59</f>
        <v>332076482.13314188</v>
      </c>
      <c r="D7" s="260">
        <f ca="1">'Summary Tables'!D59</f>
        <v>841467.49778025842</v>
      </c>
      <c r="E7" s="278">
        <f ca="1">'Summary Tables'!E59</f>
        <v>515.4471775238834</v>
      </c>
    </row>
    <row r="8" spans="2:5" x14ac:dyDescent="0.25">
      <c r="B8" s="21" t="str">
        <f>'Summary Tables'!B60</f>
        <v>GS 1,000-4,999</v>
      </c>
      <c r="C8" s="260">
        <f ca="1">'Summary Tables'!C60</f>
        <v>74407628.446597368</v>
      </c>
      <c r="D8" s="260">
        <f ca="1">'Summary Tables'!D60</f>
        <v>178737.57776562765</v>
      </c>
      <c r="E8" s="278">
        <f ca="1">'Summary Tables'!E60</f>
        <v>17.679027564713657</v>
      </c>
    </row>
    <row r="9" spans="2:5" x14ac:dyDescent="0.25">
      <c r="B9" s="21" t="str">
        <f>'Summary Tables'!B61</f>
        <v>Large Use</v>
      </c>
      <c r="C9" s="260">
        <f ca="1">'Summary Tables'!C61</f>
        <v>34949625.751541801</v>
      </c>
      <c r="D9" s="260">
        <f ca="1">'Summary Tables'!D61</f>
        <v>77914.53401907449</v>
      </c>
      <c r="E9" s="278">
        <f ca="1">'Summary Tables'!E61</f>
        <v>1</v>
      </c>
    </row>
    <row r="10" spans="2:5" x14ac:dyDescent="0.25">
      <c r="B10" s="21" t="str">
        <f>'Summary Tables'!B62</f>
        <v>Street Light</v>
      </c>
      <c r="C10" s="260">
        <f ca="1">'Summary Tables'!C62</f>
        <v>4595142.2306357278</v>
      </c>
      <c r="D10" s="260">
        <f ca="1">'Summary Tables'!D62</f>
        <v>13027.998510812127</v>
      </c>
      <c r="E10" s="278">
        <f ca="1">'Summary Tables'!E62</f>
        <v>14728.067686244216</v>
      </c>
    </row>
    <row r="11" spans="2:5" x14ac:dyDescent="0.25">
      <c r="B11" s="21" t="str">
        <f>'Summary Tables'!B63</f>
        <v>Sentinel Lights</v>
      </c>
      <c r="C11" s="260">
        <f ca="1">'Summary Tables'!C63</f>
        <v>25474.399999999998</v>
      </c>
      <c r="D11" s="260">
        <f ca="1">'Summary Tables'!D63</f>
        <v>77.82188857560908</v>
      </c>
      <c r="E11" s="278">
        <f ca="1">'Summary Tables'!E63</f>
        <v>19</v>
      </c>
    </row>
    <row r="12" spans="2:5" x14ac:dyDescent="0.25">
      <c r="B12" s="21" t="str">
        <f>'Summary Tables'!B64</f>
        <v>USL</v>
      </c>
      <c r="C12" s="260">
        <f ca="1">'Summary Tables'!C64</f>
        <v>2898787.7721564621</v>
      </c>
      <c r="D12" s="260"/>
      <c r="E12" s="278">
        <f ca="1">'Summary Tables'!E64</f>
        <v>265.56996189345489</v>
      </c>
    </row>
    <row r="13" spans="2:5" ht="13.8" thickBot="1" x14ac:dyDescent="0.3">
      <c r="B13" s="135" t="str">
        <f>'Summary Tables'!B65</f>
        <v>Total</v>
      </c>
      <c r="C13" s="136">
        <f ca="1">'Summary Tables'!C65</f>
        <v>1124877584.9816732</v>
      </c>
      <c r="D13" s="136">
        <f ca="1">'Summary Tables'!D65</f>
        <v>1111225.4299643482</v>
      </c>
      <c r="E13" s="137">
        <f ca="1">'Summary Tables'!E65</f>
        <v>79095.802588962382</v>
      </c>
    </row>
  </sheetData>
  <mergeCells count="1"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AD141"/>
  <sheetViews>
    <sheetView topLeftCell="Q4" workbookViewId="0">
      <selection activeCell="AC15" sqref="Z10:AC15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15.77734375" style="1" customWidth="1"/>
    <col min="5" max="12" width="9.33203125" style="1"/>
    <col min="13" max="13" width="14.6640625" style="1" bestFit="1" customWidth="1"/>
    <col min="14" max="14" width="12.77734375" style="1" bestFit="1" customWidth="1"/>
    <col min="15" max="15" width="13.77734375" style="1" bestFit="1" customWidth="1"/>
    <col min="16" max="20" width="13.77734375" style="1" customWidth="1"/>
    <col min="21" max="21" width="18.109375" style="1" customWidth="1"/>
    <col min="22" max="22" width="13.77734375" style="1" customWidth="1"/>
    <col min="23" max="24" width="9.33203125" style="1"/>
    <col min="25" max="25" width="13.77734375" style="1" bestFit="1" customWidth="1"/>
    <col min="26" max="26" width="13.44140625" style="1" customWidth="1"/>
    <col min="27" max="27" width="13.77734375" style="1" bestFit="1" customWidth="1"/>
    <col min="28" max="28" width="12.77734375" style="1" bestFit="1" customWidth="1"/>
    <col min="29" max="29" width="12.6640625" style="1" bestFit="1" customWidth="1"/>
    <col min="30" max="30" width="18" style="1" bestFit="1" customWidth="1"/>
    <col min="31" max="31" width="12.77734375" style="1" bestFit="1" customWidth="1"/>
    <col min="32" max="16384" width="9.33203125" style="1"/>
  </cols>
  <sheetData>
    <row r="1" spans="1:29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152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196</v>
      </c>
      <c r="V1" s="265" t="s">
        <v>197</v>
      </c>
    </row>
    <row r="2" spans="1:29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4">
        <f>'Monthly Data'!X2</f>
        <v>3310187.7147286441</v>
      </c>
      <c r="E2" s="269">
        <f>'Monthly Data'!BL2</f>
        <v>487.89184782608703</v>
      </c>
      <c r="F2" s="269">
        <f>'Monthly Data'!BG2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1050929.47761405</v>
      </c>
      <c r="N2" s="18">
        <f>E2*'Large Use Predicted Monthly'!$Z$11</f>
        <v>201205.33468523482</v>
      </c>
      <c r="O2" s="18">
        <f>F2*'Large Use Predicted Monthly'!$Z$12</f>
        <v>0</v>
      </c>
      <c r="P2" s="18">
        <f>G2*'Large Use Predicted Monthly'!$Z$13</f>
        <v>-2896.1396061893302</v>
      </c>
      <c r="Q2" s="18">
        <f>H2*'Large Use Predicted Monthly'!$Z$14</f>
        <v>2172165.2722322186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>SUM(M2:T2)</f>
        <v>3421403.9449253143</v>
      </c>
      <c r="V2" s="18">
        <f t="shared" ref="V2:V33" si="3">U2-D2</f>
        <v>111216.23019667016</v>
      </c>
      <c r="W2" s="270">
        <f t="shared" ref="W2:W33" si="4">ABS(V2/D2)</f>
        <v>3.3598164146949966E-2</v>
      </c>
    </row>
    <row r="3" spans="1:29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4">
        <f>'Monthly Data'!X3</f>
        <v>3180175.3551415652</v>
      </c>
      <c r="E3" s="269">
        <f>'Monthly Data'!BL3</f>
        <v>585.85434782608695</v>
      </c>
      <c r="F3" s="269">
        <f>'Monthly Data'!BG3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1050929.47761405</v>
      </c>
      <c r="N3" s="18">
        <f>E3*'Large Use Predicted Monthly'!$Z$11</f>
        <v>241604.81601891</v>
      </c>
      <c r="O3" s="18">
        <f>F3*'Large Use Predicted Monthly'!$Z$12</f>
        <v>0</v>
      </c>
      <c r="P3" s="18">
        <f>G3*'Large Use Predicted Monthly'!$Z$13</f>
        <v>-5792.2792123786603</v>
      </c>
      <c r="Q3" s="18">
        <f>H3*'Large Use Predicted Monthly'!$Z$14</f>
        <v>1961955.7297581332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si="5">SUM(M3:T3)</f>
        <v>3248697.7441787142</v>
      </c>
      <c r="V3" s="18">
        <f t="shared" si="3"/>
        <v>68522.389037149027</v>
      </c>
      <c r="W3" s="270">
        <f t="shared" si="4"/>
        <v>2.1546732926649815E-2</v>
      </c>
    </row>
    <row r="4" spans="1:29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4">
        <f>'Monthly Data'!X4</f>
        <v>3522503.9865684011</v>
      </c>
      <c r="E4" s="269">
        <f>'Monthly Data'!BL4</f>
        <v>327.79999999999995</v>
      </c>
      <c r="F4" s="269">
        <f>'Monthly Data'!BG4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1050929.47761405</v>
      </c>
      <c r="N4" s="18">
        <f>E4*'Large Use Predicted Monthly'!$Z$11</f>
        <v>135183.87118722711</v>
      </c>
      <c r="O4" s="18">
        <f>F4*'Large Use Predicted Monthly'!$Z$12</f>
        <v>0</v>
      </c>
      <c r="P4" s="18">
        <f>G4*'Large Use Predicted Monthly'!$Z$13</f>
        <v>-8688.4188185679905</v>
      </c>
      <c r="Q4" s="18">
        <f>H4*'Large Use Predicted Monthly'!$Z$14</f>
        <v>2172165.2722322186</v>
      </c>
      <c r="R4" s="18">
        <f>I4*'Large Use Predicted Monthly'!$Z$15</f>
        <v>0</v>
      </c>
      <c r="S4" s="18">
        <f>J4*'Large Use Predicted Monthly'!$Z$16</f>
        <v>177044.57271687401</v>
      </c>
      <c r="T4" s="18">
        <f>K4*'Large Use Predicted Monthly'!$Z$17</f>
        <v>0</v>
      </c>
      <c r="U4" s="18">
        <f t="shared" si="5"/>
        <v>3526634.7749318019</v>
      </c>
      <c r="V4" s="18">
        <f t="shared" si="3"/>
        <v>4130.7883634008467</v>
      </c>
      <c r="W4" s="270">
        <f t="shared" si="4"/>
        <v>1.1726852202728186E-3</v>
      </c>
    </row>
    <row r="5" spans="1:29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4">
        <f>'Monthly Data'!X5</f>
        <v>3275756.0247792401</v>
      </c>
      <c r="E5" s="269">
        <f>'Monthly Data'!BL5</f>
        <v>72.862878787878799</v>
      </c>
      <c r="F5" s="269">
        <f>'Monthly Data'!BG5</f>
        <v>0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5139</v>
      </c>
      <c r="M5" s="18">
        <f>'Large Use Predicted Monthly'!$Z$10</f>
        <v>1050929.47761405</v>
      </c>
      <c r="N5" s="18">
        <f>E5*'Large Use Predicted Monthly'!$Z$11</f>
        <v>30048.462539326272</v>
      </c>
      <c r="O5" s="18">
        <f>F5*'Large Use Predicted Monthly'!$Z$12</f>
        <v>0</v>
      </c>
      <c r="P5" s="18">
        <f>G5*'Large Use Predicted Monthly'!$Z$13</f>
        <v>-11584.558424757321</v>
      </c>
      <c r="Q5" s="18">
        <f>H5*'Large Use Predicted Monthly'!$Z$14</f>
        <v>2102095.424740857</v>
      </c>
      <c r="R5" s="18">
        <f>I5*'Large Use Predicted Monthly'!$Z$15</f>
        <v>0</v>
      </c>
      <c r="S5" s="18">
        <f>J5*'Large Use Predicted Monthly'!$Z$16</f>
        <v>177044.57271687401</v>
      </c>
      <c r="T5" s="18">
        <f>K5*'Large Use Predicted Monthly'!$Z$17</f>
        <v>10791.140291496613</v>
      </c>
      <c r="U5" s="18">
        <f t="shared" si="5"/>
        <v>3359324.5194778466</v>
      </c>
      <c r="V5" s="18">
        <f t="shared" si="3"/>
        <v>83568.494698606431</v>
      </c>
      <c r="W5" s="270">
        <f t="shared" si="4"/>
        <v>2.5511208425309476E-2</v>
      </c>
      <c r="Y5" s="1" t="s">
        <v>581</v>
      </c>
    </row>
    <row r="6" spans="1:29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4">
        <f>'Monthly Data'!X6</f>
        <v>3629287.263527994</v>
      </c>
      <c r="E6" s="269">
        <f>'Monthly Data'!BL6</f>
        <v>0</v>
      </c>
      <c r="F6" s="269">
        <f>'Monthly Data'!BG6</f>
        <v>62.881547619047637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5139</v>
      </c>
      <c r="M6" s="18">
        <f>'Large Use Predicted Monthly'!$Z$10</f>
        <v>1050929.47761405</v>
      </c>
      <c r="N6" s="18">
        <f>E6*'Large Use Predicted Monthly'!$Z$11</f>
        <v>0</v>
      </c>
      <c r="O6" s="18">
        <f>F6*'Large Use Predicted Monthly'!$Z$12</f>
        <v>113444.81335714972</v>
      </c>
      <c r="P6" s="18">
        <f>G6*'Large Use Predicted Monthly'!$Z$13</f>
        <v>-14480.698030946651</v>
      </c>
      <c r="Q6" s="18">
        <f>H6*'Large Use Predicted Monthly'!$Z$14</f>
        <v>2172165.2722322186</v>
      </c>
      <c r="R6" s="18">
        <f>I6*'Large Use Predicted Monthly'!$Z$15</f>
        <v>0</v>
      </c>
      <c r="S6" s="18">
        <f>J6*'Large Use Predicted Monthly'!$Z$16</f>
        <v>177044.57271687401</v>
      </c>
      <c r="T6" s="18">
        <f>K6*'Large Use Predicted Monthly'!$Z$17</f>
        <v>10791.140291496613</v>
      </c>
      <c r="U6" s="18">
        <f t="shared" si="5"/>
        <v>3509894.5781808426</v>
      </c>
      <c r="V6" s="18">
        <f t="shared" si="3"/>
        <v>-119392.68534715148</v>
      </c>
      <c r="W6" s="270">
        <f t="shared" si="4"/>
        <v>3.2897006127613891E-2</v>
      </c>
      <c r="Y6" s="1" t="s">
        <v>185</v>
      </c>
    </row>
    <row r="7" spans="1:29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4">
        <f>'Monthly Data'!X7</f>
        <v>3515408.7356304238</v>
      </c>
      <c r="E7" s="269">
        <f>'Monthly Data'!BL7</f>
        <v>0</v>
      </c>
      <c r="F7" s="269">
        <f>'Monthly Data'!BG7</f>
        <v>95.599999999999966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5139</v>
      </c>
      <c r="M7" s="18">
        <f>'Large Use Predicted Monthly'!$Z$10</f>
        <v>1050929.47761405</v>
      </c>
      <c r="N7" s="18">
        <f>E7*'Large Use Predicted Monthly'!$Z$11</f>
        <v>0</v>
      </c>
      <c r="O7" s="18">
        <f>F7*'Large Use Predicted Monthly'!$Z$12</f>
        <v>172472.28428039388</v>
      </c>
      <c r="P7" s="18">
        <f>G7*'Large Use Predicted Monthly'!$Z$13</f>
        <v>-17376.837637135981</v>
      </c>
      <c r="Q7" s="18">
        <f>H7*'Large Use Predicted Monthly'!$Z$14</f>
        <v>2102095.424740857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10791.140291496613</v>
      </c>
      <c r="U7" s="18">
        <f t="shared" si="5"/>
        <v>3318911.4892896614</v>
      </c>
      <c r="V7" s="18">
        <f t="shared" si="3"/>
        <v>-196497.24634076236</v>
      </c>
      <c r="W7" s="270">
        <f t="shared" si="4"/>
        <v>5.5895988523088254E-2</v>
      </c>
      <c r="Y7" s="1" t="s">
        <v>582</v>
      </c>
    </row>
    <row r="8" spans="1:29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4">
        <f>'Monthly Data'!X8</f>
        <v>3903331.7192142233</v>
      </c>
      <c r="E8" s="269">
        <f>'Monthly Data'!BL8</f>
        <v>0</v>
      </c>
      <c r="F8" s="269">
        <f>'Monthly Data'!BG8</f>
        <v>205.53749999999997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6615</v>
      </c>
      <c r="M8" s="18">
        <f>'Large Use Predicted Monthly'!$Z$10</f>
        <v>1050929.47761405</v>
      </c>
      <c r="N8" s="18">
        <f>E8*'Large Use Predicted Monthly'!$Z$11</f>
        <v>0</v>
      </c>
      <c r="O8" s="18">
        <f>F8*'Large Use Predicted Monthly'!$Z$12</f>
        <v>370810.90094436682</v>
      </c>
      <c r="P8" s="18">
        <f>G8*'Large Use Predicted Monthly'!$Z$13</f>
        <v>-20272.977243325309</v>
      </c>
      <c r="Q8" s="18">
        <f>H8*'Large Use Predicted Monthly'!$Z$14</f>
        <v>2172165.2722322186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13890.522091506147</v>
      </c>
      <c r="U8" s="18">
        <f t="shared" si="5"/>
        <v>3587523.1956388163</v>
      </c>
      <c r="V8" s="18">
        <f t="shared" si="3"/>
        <v>-315808.52357540699</v>
      </c>
      <c r="W8" s="270">
        <f t="shared" si="4"/>
        <v>8.090742634576345E-2</v>
      </c>
    </row>
    <row r="9" spans="1:29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4">
        <f>'Monthly Data'!X9</f>
        <v>3934483.9152747728</v>
      </c>
      <c r="E9" s="269">
        <f>'Monthly Data'!BL9</f>
        <v>0</v>
      </c>
      <c r="F9" s="269">
        <f>'Monthly Data'!BG9</f>
        <v>167.94166666666666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6615</v>
      </c>
      <c r="M9" s="18">
        <f>'Large Use Predicted Monthly'!$Z$10</f>
        <v>1050929.47761405</v>
      </c>
      <c r="N9" s="18">
        <f>E9*'Large Use Predicted Monthly'!$Z$11</f>
        <v>0</v>
      </c>
      <c r="O9" s="18">
        <f>F9*'Large Use Predicted Monthly'!$Z$12</f>
        <v>302984.13050059095</v>
      </c>
      <c r="P9" s="18">
        <f>G9*'Large Use Predicted Monthly'!$Z$13</f>
        <v>-23169.116849514641</v>
      </c>
      <c r="Q9" s="18">
        <f>H9*'Large Use Predicted Monthly'!$Z$14</f>
        <v>2172165.2722322186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13890.522091506147</v>
      </c>
      <c r="U9" s="18">
        <f t="shared" si="5"/>
        <v>3516800.2855888512</v>
      </c>
      <c r="V9" s="18">
        <f t="shared" si="3"/>
        <v>-417683.62968592159</v>
      </c>
      <c r="W9" s="270">
        <f t="shared" si="4"/>
        <v>0.10615969938633027</v>
      </c>
      <c r="Z9" s="1" t="s">
        <v>148</v>
      </c>
      <c r="AA9" s="1" t="s">
        <v>149</v>
      </c>
      <c r="AB9" s="1" t="s">
        <v>150</v>
      </c>
      <c r="AC9" s="1" t="s">
        <v>151</v>
      </c>
    </row>
    <row r="10" spans="1:29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4">
        <f>'Monthly Data'!X10</f>
        <v>3833490.6826414838</v>
      </c>
      <c r="E10" s="269">
        <f>'Monthly Data'!BL10</f>
        <v>0</v>
      </c>
      <c r="F10" s="269">
        <f>'Monthly Data'!BG10</f>
        <v>134.9267857142857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6615</v>
      </c>
      <c r="M10" s="18">
        <f>'Large Use Predicted Monthly'!$Z$10</f>
        <v>1050929.47761405</v>
      </c>
      <c r="N10" s="18">
        <f>E10*'Large Use Predicted Monthly'!$Z$11</f>
        <v>0</v>
      </c>
      <c r="O10" s="18">
        <f>F10*'Large Use Predicted Monthly'!$Z$12</f>
        <v>243421.87178613053</v>
      </c>
      <c r="P10" s="18">
        <f>G10*'Large Use Predicted Monthly'!$Z$13</f>
        <v>-26065.256455703973</v>
      </c>
      <c r="Q10" s="18">
        <f>H10*'Large Use Predicted Monthly'!$Z$14</f>
        <v>2102095.424740857</v>
      </c>
      <c r="R10" s="18">
        <f>I10*'Large Use Predicted Monthly'!$Z$15</f>
        <v>0</v>
      </c>
      <c r="S10" s="18">
        <f>J10*'Large Use Predicted Monthly'!$Z$16</f>
        <v>177044.57271687401</v>
      </c>
      <c r="T10" s="18">
        <f>K10*'Large Use Predicted Monthly'!$Z$17</f>
        <v>13890.522091506147</v>
      </c>
      <c r="U10" s="18">
        <f t="shared" si="5"/>
        <v>3561316.6124937139</v>
      </c>
      <c r="V10" s="18">
        <f t="shared" si="3"/>
        <v>-272174.07014776999</v>
      </c>
      <c r="W10" s="270">
        <f t="shared" si="4"/>
        <v>7.0999017000408421E-2</v>
      </c>
      <c r="Y10" s="1" t="s">
        <v>152</v>
      </c>
      <c r="Z10" s="18">
        <v>1050929.47761405</v>
      </c>
      <c r="AA10" s="18">
        <v>411586.69090067601</v>
      </c>
      <c r="AB10" s="588">
        <v>2.5533611772389802</v>
      </c>
      <c r="AC10" s="588">
        <v>1.20136158965736E-2</v>
      </c>
    </row>
    <row r="11" spans="1:29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4">
        <f>'Monthly Data'!X11</f>
        <v>3429806.3555595707</v>
      </c>
      <c r="E11" s="269">
        <f>'Monthly Data'!BL11</f>
        <v>33.92916666666666</v>
      </c>
      <c r="F11" s="269">
        <f>'Monthly Data'!BG11</f>
        <v>4.3583333333333325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7443</v>
      </c>
      <c r="M11" s="18">
        <f>'Large Use Predicted Monthly'!$Z$10</f>
        <v>1050929.47761405</v>
      </c>
      <c r="N11" s="18">
        <f>E11*'Large Use Predicted Monthly'!$Z$11</f>
        <v>13992.30047637775</v>
      </c>
      <c r="O11" s="18">
        <f>F11*'Large Use Predicted Monthly'!$Z$12</f>
        <v>7862.8839503701201</v>
      </c>
      <c r="P11" s="18">
        <f>G11*'Large Use Predicted Monthly'!$Z$13</f>
        <v>-28961.396061893302</v>
      </c>
      <c r="Q11" s="18">
        <f>H11*'Large Use Predicted Monthly'!$Z$14</f>
        <v>2172165.2722322186</v>
      </c>
      <c r="R11" s="18">
        <f>I11*'Large Use Predicted Monthly'!$Z$15</f>
        <v>0</v>
      </c>
      <c r="S11" s="18">
        <f>J11*'Large Use Predicted Monthly'!$Z$16</f>
        <v>177044.57271687401</v>
      </c>
      <c r="T11" s="18">
        <f>K11*'Large Use Predicted Monthly'!$Z$17</f>
        <v>15629.199686633447</v>
      </c>
      <c r="U11" s="18">
        <f t="shared" si="5"/>
        <v>3408662.3106146306</v>
      </c>
      <c r="V11" s="18">
        <f t="shared" si="3"/>
        <v>-21144.044944940135</v>
      </c>
      <c r="W11" s="270">
        <f t="shared" si="4"/>
        <v>6.1647926305421104E-3</v>
      </c>
      <c r="Y11" s="1" t="s">
        <v>63</v>
      </c>
      <c r="Z11" s="18">
        <v>412.397410577264</v>
      </c>
      <c r="AA11" s="18">
        <v>186.16932664479401</v>
      </c>
      <c r="AB11" s="588">
        <v>2.2151737776014402</v>
      </c>
      <c r="AC11" s="588">
        <v>2.8771631251552E-2</v>
      </c>
    </row>
    <row r="12" spans="1:29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4">
        <f>'Monthly Data'!X12</f>
        <v>3420382.304454477</v>
      </c>
      <c r="E12" s="269">
        <f>'Monthly Data'!BL12</f>
        <v>99.970833333333317</v>
      </c>
      <c r="F12" s="269">
        <f>'Monthly Data'!BG12</f>
        <v>0.27083333333333393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7443</v>
      </c>
      <c r="M12" s="18">
        <f>'Large Use Predicted Monthly'!$Z$10</f>
        <v>1050929.47761405</v>
      </c>
      <c r="N12" s="18">
        <f>E12*'Large Use Predicted Monthly'!$Z$11</f>
        <v>41227.712799917892</v>
      </c>
      <c r="O12" s="18">
        <f>F12*'Large Use Predicted Monthly'!$Z$12</f>
        <v>488.61133534804878</v>
      </c>
      <c r="P12" s="18">
        <f>G12*'Large Use Predicted Monthly'!$Z$13</f>
        <v>-31857.53566808263</v>
      </c>
      <c r="Q12" s="18">
        <f>H12*'Large Use Predicted Monthly'!$Z$14</f>
        <v>2102095.424740857</v>
      </c>
      <c r="R12" s="18">
        <f>I12*'Large Use Predicted Monthly'!$Z$15</f>
        <v>0</v>
      </c>
      <c r="S12" s="18">
        <f>J12*'Large Use Predicted Monthly'!$Z$16</f>
        <v>177044.57271687401</v>
      </c>
      <c r="T12" s="18">
        <f>K12*'Large Use Predicted Monthly'!$Z$17</f>
        <v>15629.199686633447</v>
      </c>
      <c r="U12" s="18">
        <f t="shared" si="5"/>
        <v>3355557.463225598</v>
      </c>
      <c r="V12" s="18">
        <f t="shared" si="3"/>
        <v>-64824.841228879057</v>
      </c>
      <c r="W12" s="270">
        <f t="shared" si="4"/>
        <v>1.8952513332926416E-2</v>
      </c>
      <c r="Y12" s="1" t="s">
        <v>58</v>
      </c>
      <c r="Z12" s="18">
        <v>1804.10339205433</v>
      </c>
      <c r="AA12" s="18">
        <v>329.38250599030602</v>
      </c>
      <c r="AB12" s="588">
        <v>5.4772289336684503</v>
      </c>
      <c r="AC12" s="588">
        <v>2.6839359166229801E-7</v>
      </c>
    </row>
    <row r="13" spans="1:29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4">
        <f>'Monthly Data'!X13</f>
        <v>2994161.9424792021</v>
      </c>
      <c r="E13" s="269">
        <f>'Monthly Data'!BL13</f>
        <v>134.45072463768119</v>
      </c>
      <c r="F13" s="269">
        <f>'Monthly Data'!BG13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7443</v>
      </c>
      <c r="M13" s="18">
        <f>'Large Use Predicted Monthly'!$Z$10</f>
        <v>1050929.47761405</v>
      </c>
      <c r="N13" s="18">
        <f>E13*'Large Use Predicted Monthly'!$Z$11</f>
        <v>55447.130690816477</v>
      </c>
      <c r="O13" s="18">
        <f>F13*'Large Use Predicted Monthly'!$Z$12</f>
        <v>0</v>
      </c>
      <c r="P13" s="18">
        <f>G13*'Large Use Predicted Monthly'!$Z$13</f>
        <v>-34753.675274271962</v>
      </c>
      <c r="Q13" s="18">
        <f>H13*'Large Use Predicted Monthly'!$Z$14</f>
        <v>2172165.2722322186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15629.199686633447</v>
      </c>
      <c r="U13" s="18">
        <f t="shared" si="5"/>
        <v>3259417.4049494467</v>
      </c>
      <c r="V13" s="18">
        <f t="shared" si="3"/>
        <v>265255.46247024462</v>
      </c>
      <c r="W13" s="270">
        <f t="shared" si="4"/>
        <v>8.8590887054896539E-2</v>
      </c>
      <c r="Y13" s="1" t="s">
        <v>80</v>
      </c>
      <c r="Z13" s="18">
        <v>-2896.1396061893302</v>
      </c>
      <c r="AA13" s="18">
        <v>2310.58751254649</v>
      </c>
      <c r="AB13" s="588">
        <v>-1.25342130106014</v>
      </c>
      <c r="AC13" s="588">
        <v>0.21266266389487801</v>
      </c>
    </row>
    <row r="14" spans="1:29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4">
        <f>'Monthly Data'!X14</f>
        <v>3215727.4106118553</v>
      </c>
      <c r="E14" s="269">
        <f>'Monthly Data'!BL14</f>
        <v>365.87916666666672</v>
      </c>
      <c r="F14" s="269">
        <f>'Monthly Data'!BG14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5503</v>
      </c>
      <c r="M14" s="18">
        <f>'Large Use Predicted Monthly'!$Z$10</f>
        <v>1050929.47761405</v>
      </c>
      <c r="N14" s="18">
        <f>E14*'Large Use Predicted Monthly'!$Z$11</f>
        <v>150887.62091750055</v>
      </c>
      <c r="O14" s="18">
        <f>F14*'Large Use Predicted Monthly'!$Z$12</f>
        <v>0</v>
      </c>
      <c r="P14" s="18">
        <f>G14*'Large Use Predicted Monthly'!$Z$13</f>
        <v>-37649.814880461294</v>
      </c>
      <c r="Q14" s="18">
        <f>H14*'Large Use Predicted Monthly'!$Z$14</f>
        <v>2172165.2722322186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11555.486480658856</v>
      </c>
      <c r="U14" s="18">
        <f t="shared" si="5"/>
        <v>3347888.0423639668</v>
      </c>
      <c r="V14" s="18">
        <f t="shared" si="3"/>
        <v>132160.63175211148</v>
      </c>
      <c r="W14" s="270">
        <f t="shared" si="4"/>
        <v>4.10982073032631E-2</v>
      </c>
      <c r="Y14" s="1" t="s">
        <v>201</v>
      </c>
      <c r="Z14" s="18">
        <v>70069.847491361899</v>
      </c>
      <c r="AA14" s="18">
        <v>12706.9019956831</v>
      </c>
      <c r="AB14" s="588">
        <v>5.5143139936993704</v>
      </c>
      <c r="AC14" s="588">
        <v>2.2746571078911301E-7</v>
      </c>
    </row>
    <row r="15" spans="1:29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4">
        <f>'Monthly Data'!X15</f>
        <v>3430298.1465842407</v>
      </c>
      <c r="E15" s="269">
        <f>'Monthly Data'!BL15</f>
        <v>313.70833333333326</v>
      </c>
      <c r="F15" s="269">
        <f>'Monthly Data'!BG15</f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5503</v>
      </c>
      <c r="M15" s="18">
        <f>'Large Use Predicted Monthly'!$Z$10</f>
        <v>1050929.47761405</v>
      </c>
      <c r="N15" s="18">
        <f>E15*'Large Use Predicted Monthly'!$Z$11</f>
        <v>129372.50434317582</v>
      </c>
      <c r="O15" s="18">
        <f>F15*'Large Use Predicted Monthly'!$Z$12</f>
        <v>0</v>
      </c>
      <c r="P15" s="18">
        <f>G15*'Large Use Predicted Monthly'!$Z$13</f>
        <v>-40545.954486650618</v>
      </c>
      <c r="Q15" s="18">
        <f>H15*'Large Use Predicted Monthly'!$Z$14</f>
        <v>2032025.5772494951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11555.486480658856</v>
      </c>
      <c r="U15" s="18">
        <f t="shared" si="5"/>
        <v>3183337.0912007289</v>
      </c>
      <c r="V15" s="18">
        <f t="shared" si="3"/>
        <v>-246961.05538351182</v>
      </c>
      <c r="W15" s="270">
        <f t="shared" si="4"/>
        <v>7.1994049738628746E-2</v>
      </c>
      <c r="Y15" s="1" t="s">
        <v>84</v>
      </c>
      <c r="Z15" s="18">
        <v>-688391.15678794996</v>
      </c>
      <c r="AA15" s="18">
        <v>186845.518478021</v>
      </c>
      <c r="AB15" s="588">
        <v>-3.68427973223733</v>
      </c>
      <c r="AC15" s="588">
        <v>3.5490817372167401E-4</v>
      </c>
    </row>
    <row r="16" spans="1:29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4">
        <f>'Monthly Data'!X16</f>
        <v>3622320.7069886015</v>
      </c>
      <c r="E16" s="269">
        <f>'Monthly Data'!BL16</f>
        <v>207.6751811594203</v>
      </c>
      <c r="F16" s="269">
        <f>'Monthly Data'!BG16</f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5503</v>
      </c>
      <c r="M16" s="18">
        <f>'Large Use Predicted Monthly'!$Z$10</f>
        <v>1050929.47761405</v>
      </c>
      <c r="N16" s="18">
        <f>E16*'Large Use Predicted Monthly'!$Z$11</f>
        <v>85644.706951309141</v>
      </c>
      <c r="O16" s="18">
        <f>F16*'Large Use Predicted Monthly'!$Z$12</f>
        <v>0</v>
      </c>
      <c r="P16" s="18">
        <f>G16*'Large Use Predicted Monthly'!$Z$13</f>
        <v>-43442.09409283995</v>
      </c>
      <c r="Q16" s="18">
        <f>H16*'Large Use Predicted Monthly'!$Z$14</f>
        <v>2172165.2722322186</v>
      </c>
      <c r="R16" s="18">
        <f>I16*'Large Use Predicted Monthly'!$Z$15</f>
        <v>0</v>
      </c>
      <c r="S16" s="18">
        <f>J16*'Large Use Predicted Monthly'!$Z$16</f>
        <v>177044.57271687401</v>
      </c>
      <c r="T16" s="18">
        <f>K16*'Large Use Predicted Monthly'!$Z$17</f>
        <v>11555.486480658856</v>
      </c>
      <c r="U16" s="18">
        <f t="shared" si="5"/>
        <v>3453897.421902271</v>
      </c>
      <c r="V16" s="18">
        <f t="shared" si="3"/>
        <v>-168423.28508633049</v>
      </c>
      <c r="W16" s="270">
        <f t="shared" si="4"/>
        <v>4.6495961763238891E-2</v>
      </c>
      <c r="Y16" s="1" t="s">
        <v>79</v>
      </c>
      <c r="Z16" s="18">
        <v>177044.57271687401</v>
      </c>
      <c r="AA16" s="18">
        <v>37530.225320682403</v>
      </c>
      <c r="AB16" s="588">
        <v>4.7173863520427002</v>
      </c>
      <c r="AC16" s="588">
        <v>6.9425011015105301E-6</v>
      </c>
    </row>
    <row r="17" spans="1:29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4">
        <f>'Monthly Data'!X17</f>
        <v>3453242.8504224992</v>
      </c>
      <c r="E17" s="269">
        <f>'Monthly Data'!BL17</f>
        <v>127.94999999999997</v>
      </c>
      <c r="F17" s="269">
        <f>'Monthly Data'!BG17</f>
        <v>0.83333333333333393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-2655</v>
      </c>
      <c r="M17" s="18">
        <f>'Large Use Predicted Monthly'!$Z$10</f>
        <v>1050929.47761405</v>
      </c>
      <c r="N17" s="18">
        <f>E17*'Large Use Predicted Monthly'!$Z$11</f>
        <v>52766.248683360915</v>
      </c>
      <c r="O17" s="18">
        <f>F17*'Large Use Predicted Monthly'!$Z$12</f>
        <v>1503.4194933786093</v>
      </c>
      <c r="P17" s="18">
        <f>G17*'Large Use Predicted Monthly'!$Z$13</f>
        <v>-46338.233699029282</v>
      </c>
      <c r="Q17" s="18">
        <f>H17*'Large Use Predicted Monthly'!$Z$14</f>
        <v>2102095.424740857</v>
      </c>
      <c r="R17" s="18">
        <f>I17*'Large Use Predicted Monthly'!$Z$15</f>
        <v>0</v>
      </c>
      <c r="S17" s="18">
        <f>J17*'Large Use Predicted Monthly'!$Z$16</f>
        <v>177044.57271687401</v>
      </c>
      <c r="T17" s="18">
        <f>K17*'Large Use Predicted Monthly'!$Z$17</f>
        <v>-5575.1075061147121</v>
      </c>
      <c r="U17" s="18">
        <f t="shared" si="5"/>
        <v>3332425.802043377</v>
      </c>
      <c r="V17" s="18">
        <f t="shared" si="3"/>
        <v>-120817.04837912228</v>
      </c>
      <c r="W17" s="270">
        <f t="shared" si="4"/>
        <v>3.4986548474093125E-2</v>
      </c>
      <c r="Y17" s="1" t="s">
        <v>49</v>
      </c>
      <c r="Z17" s="18">
        <v>2.0998521680281401</v>
      </c>
      <c r="AA17" s="18">
        <v>0.97746620254926597</v>
      </c>
      <c r="AB17" s="588">
        <v>2.1482606381189</v>
      </c>
      <c r="AC17" s="588">
        <v>3.3847339920288197E-2</v>
      </c>
    </row>
    <row r="18" spans="1:29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4">
        <f>'Monthly Data'!X18</f>
        <v>3397618.0244841203</v>
      </c>
      <c r="E18" s="269">
        <f>'Monthly Data'!BL18</f>
        <v>4.2083333333333348</v>
      </c>
      <c r="F18" s="269">
        <f>'Monthly Data'!BG18</f>
        <v>66.604166666666671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-2655</v>
      </c>
      <c r="M18" s="18">
        <f>'Large Use Predicted Monthly'!$Z$10</f>
        <v>1050929.47761405</v>
      </c>
      <c r="N18" s="18">
        <f>E18*'Large Use Predicted Monthly'!$Z$11</f>
        <v>1735.5057695126532</v>
      </c>
      <c r="O18" s="18">
        <f>F18*'Large Use Predicted Monthly'!$Z$12</f>
        <v>120160.80300828528</v>
      </c>
      <c r="P18" s="18">
        <f>G18*'Large Use Predicted Monthly'!$Z$13</f>
        <v>-49234.373305218614</v>
      </c>
      <c r="Q18" s="18">
        <f>H18*'Large Use Predicted Monthly'!$Z$14</f>
        <v>2172165.2722322186</v>
      </c>
      <c r="R18" s="18">
        <f>I18*'Large Use Predicted Monthly'!$Z$15</f>
        <v>0</v>
      </c>
      <c r="S18" s="18">
        <f>J18*'Large Use Predicted Monthly'!$Z$16</f>
        <v>177044.57271687401</v>
      </c>
      <c r="T18" s="18">
        <f>K18*'Large Use Predicted Monthly'!$Z$17</f>
        <v>-5575.1075061147121</v>
      </c>
      <c r="U18" s="18">
        <f t="shared" si="5"/>
        <v>3467226.1505296077</v>
      </c>
      <c r="V18" s="18">
        <f t="shared" si="3"/>
        <v>69608.126045487355</v>
      </c>
      <c r="W18" s="270">
        <f t="shared" si="4"/>
        <v>2.048733128440957E-2</v>
      </c>
    </row>
    <row r="19" spans="1:29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4">
        <f>'Monthly Data'!X19</f>
        <v>3372600.7862359551</v>
      </c>
      <c r="E19" s="269">
        <f>'Monthly Data'!BL19</f>
        <v>0</v>
      </c>
      <c r="F19" s="269">
        <f>'Monthly Data'!BG19</f>
        <v>147.17916666666667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-2655</v>
      </c>
      <c r="M19" s="18">
        <f>'Large Use Predicted Monthly'!$Z$10</f>
        <v>1050929.47761405</v>
      </c>
      <c r="N19" s="18">
        <f>E19*'Large Use Predicted Monthly'!$Z$11</f>
        <v>0</v>
      </c>
      <c r="O19" s="18">
        <f>F19*'Large Use Predicted Monthly'!$Z$12</f>
        <v>265526.43382306292</v>
      </c>
      <c r="P19" s="18">
        <f>G19*'Large Use Predicted Monthly'!$Z$13</f>
        <v>-52130.512911407946</v>
      </c>
      <c r="Q19" s="18">
        <f>H19*'Large Use Predicted Monthly'!$Z$14</f>
        <v>2102095.424740857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-5575.1075061147121</v>
      </c>
      <c r="U19" s="18">
        <f t="shared" si="5"/>
        <v>3360845.7157604476</v>
      </c>
      <c r="V19" s="18">
        <f t="shared" si="3"/>
        <v>-11755.070475507528</v>
      </c>
      <c r="W19" s="270">
        <f t="shared" si="4"/>
        <v>3.4854615830849527E-3</v>
      </c>
      <c r="Y19" s="1" t="s">
        <v>153</v>
      </c>
      <c r="Z19" s="18"/>
      <c r="AA19" s="18"/>
      <c r="AB19" s="273"/>
    </row>
    <row r="20" spans="1:29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4">
        <f>'Monthly Data'!X20</f>
        <v>3721310.9432763467</v>
      </c>
      <c r="E20" s="269">
        <f>'Monthly Data'!BL20</f>
        <v>0</v>
      </c>
      <c r="F20" s="269">
        <f>'Monthly Data'!BG20</f>
        <v>251.2291666666666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1050929.47761405</v>
      </c>
      <c r="N20" s="18">
        <f>E20*'Large Use Predicted Monthly'!$Z$11</f>
        <v>0</v>
      </c>
      <c r="O20" s="18">
        <f>F20*'Large Use Predicted Monthly'!$Z$12</f>
        <v>453243.39176631585</v>
      </c>
      <c r="P20" s="18">
        <f>G20*'Large Use Predicted Monthly'!$Z$13</f>
        <v>-55026.652517597271</v>
      </c>
      <c r="Q20" s="18">
        <f>H20*'Large Use Predicted Monthly'!$Z$14</f>
        <v>2172165.2722322186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12544.516851800108</v>
      </c>
      <c r="U20" s="18">
        <f t="shared" si="5"/>
        <v>3633856.0059467875</v>
      </c>
      <c r="V20" s="18">
        <f t="shared" si="3"/>
        <v>-87454.937329559121</v>
      </c>
      <c r="W20" s="270">
        <f t="shared" si="4"/>
        <v>2.3501109867632115E-2</v>
      </c>
      <c r="Y20" s="1" t="s">
        <v>154</v>
      </c>
      <c r="Z20" s="1">
        <v>3192967955317.6602</v>
      </c>
      <c r="AA20" s="1" t="s">
        <v>155</v>
      </c>
      <c r="AB20" s="18">
        <v>168845.02497317901</v>
      </c>
    </row>
    <row r="21" spans="1:29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4">
        <f>'Monthly Data'!X21</f>
        <v>3656370.200016906</v>
      </c>
      <c r="E21" s="269">
        <f>'Monthly Data'!BL21</f>
        <v>0</v>
      </c>
      <c r="F21" s="269">
        <f>'Monthly Data'!BG21</f>
        <v>266.02500000000003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1050929.47761405</v>
      </c>
      <c r="N21" s="18">
        <f>E21*'Large Use Predicted Monthly'!$Z$11</f>
        <v>0</v>
      </c>
      <c r="O21" s="18">
        <f>F21*'Large Use Predicted Monthly'!$Z$12</f>
        <v>479936.60487125319</v>
      </c>
      <c r="P21" s="18">
        <f>G21*'Large Use Predicted Monthly'!$Z$13</f>
        <v>-57922.792123786603</v>
      </c>
      <c r="Q21" s="18">
        <f>H21*'Large Use Predicted Monthly'!$Z$14</f>
        <v>2172165.2722322186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12544.516851800108</v>
      </c>
      <c r="U21" s="18">
        <f t="shared" si="5"/>
        <v>3657653.0794455353</v>
      </c>
      <c r="V21" s="18">
        <f t="shared" si="3"/>
        <v>1282.8794286292978</v>
      </c>
      <c r="W21" s="270">
        <f t="shared" si="4"/>
        <v>3.5086147147336615E-4</v>
      </c>
      <c r="Y21" s="1" t="s">
        <v>156</v>
      </c>
      <c r="Z21" s="275">
        <v>0.84884182591629598</v>
      </c>
      <c r="AA21" s="1" t="s">
        <v>157</v>
      </c>
      <c r="AB21" s="275">
        <v>0.839394440036064</v>
      </c>
    </row>
    <row r="22" spans="1:29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4">
        <f>'Monthly Data'!X22</f>
        <v>3775313.6989102969</v>
      </c>
      <c r="E22" s="269">
        <f>'Monthly Data'!BL22</f>
        <v>0</v>
      </c>
      <c r="F22" s="269">
        <f>'Monthly Data'!BG22</f>
        <v>120.65416666666664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1050929.47761405</v>
      </c>
      <c r="N22" s="18">
        <f>E22*'Large Use Predicted Monthly'!$Z$11</f>
        <v>0</v>
      </c>
      <c r="O22" s="18">
        <f>F22*'Large Use Predicted Monthly'!$Z$12</f>
        <v>217672.59134882176</v>
      </c>
      <c r="P22" s="18">
        <f>G22*'Large Use Predicted Monthly'!$Z$13</f>
        <v>-60818.931729975935</v>
      </c>
      <c r="Q22" s="18">
        <f>H22*'Large Use Predicted Monthly'!$Z$14</f>
        <v>2102095.424740857</v>
      </c>
      <c r="R22" s="18">
        <f>I22*'Large Use Predicted Monthly'!$Z$15</f>
        <v>0</v>
      </c>
      <c r="S22" s="18">
        <f>J22*'Large Use Predicted Monthly'!$Z$16</f>
        <v>177044.57271687401</v>
      </c>
      <c r="T22" s="18">
        <f>K22*'Large Use Predicted Monthly'!$Z$17</f>
        <v>12544.516851800108</v>
      </c>
      <c r="U22" s="18">
        <f t="shared" si="5"/>
        <v>3499467.651542427</v>
      </c>
      <c r="V22" s="18">
        <f t="shared" si="3"/>
        <v>-275846.04736786988</v>
      </c>
      <c r="W22" s="270">
        <f t="shared" si="4"/>
        <v>7.30657289346551E-2</v>
      </c>
      <c r="Y22" s="1" t="s">
        <v>203</v>
      </c>
      <c r="Z22" s="272">
        <v>26.069433869211899</v>
      </c>
      <c r="AA22" s="1" t="s">
        <v>159</v>
      </c>
      <c r="AB22" s="272">
        <v>7.2937042953549393E-21</v>
      </c>
    </row>
    <row r="23" spans="1:29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4">
        <f>'Monthly Data'!X23</f>
        <v>3484851.2475000508</v>
      </c>
      <c r="E23" s="269">
        <f>'Monthly Data'!BL23</f>
        <v>33.25</v>
      </c>
      <c r="F23" s="269">
        <f>'Monthly Data'!BG23</f>
        <v>24.770833333333336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-1226</v>
      </c>
      <c r="M23" s="18">
        <f>'Large Use Predicted Monthly'!$Z$10</f>
        <v>1050929.47761405</v>
      </c>
      <c r="N23" s="18">
        <f>E23*'Large Use Predicted Monthly'!$Z$11</f>
        <v>13712.213901694027</v>
      </c>
      <c r="O23" s="18">
        <f>F23*'Large Use Predicted Monthly'!$Z$12</f>
        <v>44689.144440679134</v>
      </c>
      <c r="P23" s="18">
        <f>G23*'Large Use Predicted Monthly'!$Z$13</f>
        <v>-63715.07133616526</v>
      </c>
      <c r="Q23" s="18">
        <f>H23*'Large Use Predicted Monthly'!$Z$14</f>
        <v>2172165.2722322186</v>
      </c>
      <c r="R23" s="18">
        <f>I23*'Large Use Predicted Monthly'!$Z$15</f>
        <v>0</v>
      </c>
      <c r="S23" s="18">
        <f>J23*'Large Use Predicted Monthly'!$Z$16</f>
        <v>177044.57271687401</v>
      </c>
      <c r="T23" s="18">
        <f>K23*'Large Use Predicted Monthly'!$Z$17</f>
        <v>-2574.4187580025</v>
      </c>
      <c r="U23" s="18">
        <f t="shared" si="5"/>
        <v>3392251.1908113477</v>
      </c>
      <c r="V23" s="18">
        <f t="shared" si="3"/>
        <v>-92600.056688703131</v>
      </c>
      <c r="W23" s="270">
        <f t="shared" si="4"/>
        <v>2.657216911486027E-2</v>
      </c>
      <c r="Y23" s="1" t="s">
        <v>160</v>
      </c>
      <c r="Z23" s="2">
        <v>2.0221962005067599E-2</v>
      </c>
      <c r="AA23" s="1" t="s">
        <v>161</v>
      </c>
      <c r="AB23" s="272">
        <v>1.9583293874043901</v>
      </c>
    </row>
    <row r="24" spans="1:29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4">
        <f>'Monthly Data'!X24</f>
        <v>3264640.2214974263</v>
      </c>
      <c r="E24" s="269">
        <f>'Monthly Data'!BL24</f>
        <v>89.230952380952388</v>
      </c>
      <c r="F24" s="269">
        <f>'Monthly Data'!BG24</f>
        <v>0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-1226</v>
      </c>
      <c r="M24" s="18">
        <f>'Large Use Predicted Monthly'!$Z$10</f>
        <v>1050929.47761405</v>
      </c>
      <c r="N24" s="18">
        <f>E24*'Large Use Predicted Monthly'!$Z$11</f>
        <v>36798.613705247917</v>
      </c>
      <c r="O24" s="18">
        <f>F24*'Large Use Predicted Monthly'!$Z$12</f>
        <v>0</v>
      </c>
      <c r="P24" s="18">
        <f>G24*'Large Use Predicted Monthly'!$Z$13</f>
        <v>-66611.210942354592</v>
      </c>
      <c r="Q24" s="18">
        <f>H24*'Large Use Predicted Monthly'!$Z$14</f>
        <v>2102095.424740857</v>
      </c>
      <c r="R24" s="18">
        <f>I24*'Large Use Predicted Monthly'!$Z$15</f>
        <v>0</v>
      </c>
      <c r="S24" s="18">
        <f>J24*'Large Use Predicted Monthly'!$Z$16</f>
        <v>177044.57271687401</v>
      </c>
      <c r="T24" s="18">
        <f>K24*'Large Use Predicted Monthly'!$Z$17</f>
        <v>-2574.4187580025</v>
      </c>
      <c r="U24" s="18">
        <f t="shared" si="5"/>
        <v>3297682.4590766719</v>
      </c>
      <c r="V24" s="18">
        <f t="shared" si="3"/>
        <v>33042.237579245586</v>
      </c>
      <c r="W24" s="270">
        <f t="shared" si="4"/>
        <v>1.0121249306941934E-2</v>
      </c>
      <c r="Z24" s="272"/>
      <c r="AB24" s="272"/>
    </row>
    <row r="25" spans="1:29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4">
        <f>'Monthly Data'!X25</f>
        <v>3043951.7634717003</v>
      </c>
      <c r="E25" s="269">
        <f>'Monthly Data'!BL25</f>
        <v>306.67083333333341</v>
      </c>
      <c r="F25" s="269">
        <f>'Monthly Data'!BG25</f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-1226</v>
      </c>
      <c r="M25" s="18">
        <f>'Large Use Predicted Monthly'!$Z$10</f>
        <v>1050929.47761405</v>
      </c>
      <c r="N25" s="18">
        <f>E25*'Large Use Predicted Monthly'!$Z$11</f>
        <v>126470.25756623839</v>
      </c>
      <c r="O25" s="18">
        <f>F25*'Large Use Predicted Monthly'!$Z$12</f>
        <v>0</v>
      </c>
      <c r="P25" s="18">
        <f>G25*'Large Use Predicted Monthly'!$Z$13</f>
        <v>-69507.350548543924</v>
      </c>
      <c r="Q25" s="18">
        <f>H25*'Large Use Predicted Monthly'!$Z$14</f>
        <v>2172165.2722322186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-2574.4187580025</v>
      </c>
      <c r="U25" s="18">
        <f t="shared" si="5"/>
        <v>3277483.2381059607</v>
      </c>
      <c r="V25" s="18">
        <f t="shared" si="3"/>
        <v>233531.4746342604</v>
      </c>
      <c r="W25" s="270">
        <f t="shared" si="4"/>
        <v>7.6719834209170293E-2</v>
      </c>
      <c r="Y25" s="1" t="s">
        <v>162</v>
      </c>
    </row>
    <row r="26" spans="1:29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4">
        <f>'Monthly Data'!X26</f>
        <v>3141631.0463145096</v>
      </c>
      <c r="E26" s="269">
        <f>'Monthly Data'!BL26</f>
        <v>310.2166666666667</v>
      </c>
      <c r="F26" s="269">
        <f>'Monthly Data'!BG26</f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1050929.47761405</v>
      </c>
      <c r="N26" s="18">
        <f>E26*'Large Use Predicted Monthly'!$Z$11</f>
        <v>127932.5500512436</v>
      </c>
      <c r="O26" s="18">
        <f>F26*'Large Use Predicted Monthly'!$Z$12</f>
        <v>0</v>
      </c>
      <c r="P26" s="18">
        <f>G26*'Large Use Predicted Monthly'!$Z$13</f>
        <v>-72403.490154733256</v>
      </c>
      <c r="Q26" s="18">
        <f>H26*'Large Use Predicted Monthly'!$Z$14</f>
        <v>2172165.2722322186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23774.526246414604</v>
      </c>
      <c r="U26" s="18">
        <f t="shared" si="5"/>
        <v>3302398.3359891935</v>
      </c>
      <c r="V26" s="18">
        <f t="shared" si="3"/>
        <v>160767.28967468394</v>
      </c>
      <c r="W26" s="270">
        <f t="shared" si="4"/>
        <v>5.1173192301903897E-2</v>
      </c>
      <c r="Y26" s="1" t="s">
        <v>163</v>
      </c>
      <c r="Z26" s="18">
        <v>3182767.8518770998</v>
      </c>
      <c r="AA26" s="1" t="s">
        <v>164</v>
      </c>
      <c r="AB26" s="18">
        <v>419635.27790732798</v>
      </c>
    </row>
    <row r="27" spans="1:29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4">
        <f>'Monthly Data'!X27</f>
        <v>2680217.6612751428</v>
      </c>
      <c r="E27" s="269">
        <f>'Monthly Data'!BL27</f>
        <v>251.42499999999998</v>
      </c>
      <c r="F27" s="269">
        <f>'Monthly Data'!BG27</f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1050929.47761405</v>
      </c>
      <c r="N27" s="18">
        <f>E27*'Large Use Predicted Monthly'!$Z$11</f>
        <v>103687.01895438859</v>
      </c>
      <c r="O27" s="18">
        <f>F27*'Large Use Predicted Monthly'!$Z$12</f>
        <v>0</v>
      </c>
      <c r="P27" s="18">
        <f>G27*'Large Use Predicted Monthly'!$Z$13</f>
        <v>-75299.629760922588</v>
      </c>
      <c r="Q27" s="18">
        <f>H27*'Large Use Predicted Monthly'!$Z$14</f>
        <v>1961955.7297581332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23774.526246414604</v>
      </c>
      <c r="U27" s="18">
        <f t="shared" si="5"/>
        <v>3065047.1228120634</v>
      </c>
      <c r="V27" s="18">
        <f t="shared" si="3"/>
        <v>384829.46153692063</v>
      </c>
      <c r="W27" s="270">
        <f t="shared" si="4"/>
        <v>0.1435814214259874</v>
      </c>
    </row>
    <row r="28" spans="1:29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4">
        <f>'Monthly Data'!X28</f>
        <v>3176117.730370699</v>
      </c>
      <c r="E28" s="269">
        <f>'Monthly Data'!BL28</f>
        <v>290.67916666666662</v>
      </c>
      <c r="F28" s="269">
        <f>'Monthly Data'!BG28</f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1050929.47761405</v>
      </c>
      <c r="N28" s="18">
        <f>E28*'Large Use Predicted Monthly'!$Z$11</f>
        <v>119875.33564209027</v>
      </c>
      <c r="O28" s="18">
        <f>F28*'Large Use Predicted Monthly'!$Z$12</f>
        <v>0</v>
      </c>
      <c r="P28" s="18">
        <f>G28*'Large Use Predicted Monthly'!$Z$13</f>
        <v>-78195.76936711192</v>
      </c>
      <c r="Q28" s="18">
        <f>H28*'Large Use Predicted Monthly'!$Z$14</f>
        <v>2172165.2722322186</v>
      </c>
      <c r="R28" s="18">
        <f>I28*'Large Use Predicted Monthly'!$Z$15</f>
        <v>0</v>
      </c>
      <c r="S28" s="18">
        <f>J28*'Large Use Predicted Monthly'!$Z$16</f>
        <v>177044.57271687401</v>
      </c>
      <c r="T28" s="18">
        <f>K28*'Large Use Predicted Monthly'!$Z$17</f>
        <v>23774.526246414604</v>
      </c>
      <c r="U28" s="18">
        <f t="shared" si="5"/>
        <v>3465593.4150845357</v>
      </c>
      <c r="V28" s="18">
        <f t="shared" si="3"/>
        <v>289475.68471383676</v>
      </c>
      <c r="W28" s="270">
        <f t="shared" si="4"/>
        <v>9.1141358503751296E-2</v>
      </c>
    </row>
    <row r="29" spans="1:29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4">
        <f>'Monthly Data'!X29</f>
        <v>2861019.1771277706</v>
      </c>
      <c r="E29" s="269">
        <f>'Monthly Data'!BL29</f>
        <v>34.695833333333326</v>
      </c>
      <c r="F29" s="269">
        <f>'Monthly Data'!BG29</f>
        <v>5.6500000000000057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1050929.47761405</v>
      </c>
      <c r="N29" s="18">
        <f>E29*'Large Use Predicted Monthly'!$Z$11</f>
        <v>14308.471824486985</v>
      </c>
      <c r="O29" s="18">
        <f>F29*'Large Use Predicted Monthly'!$Z$12</f>
        <v>10193.184165106975</v>
      </c>
      <c r="P29" s="18">
        <f>G29*'Large Use Predicted Monthly'!$Z$13</f>
        <v>-81091.908973301237</v>
      </c>
      <c r="Q29" s="18">
        <f>H29*'Large Use Predicted Monthly'!$Z$14</f>
        <v>2102095.424740857</v>
      </c>
      <c r="R29" s="18">
        <f>I29*'Large Use Predicted Monthly'!$Z$15</f>
        <v>0</v>
      </c>
      <c r="S29" s="18">
        <f>J29*'Large Use Predicted Monthly'!$Z$16</f>
        <v>177044.57271687401</v>
      </c>
      <c r="T29" s="18">
        <f>K29*'Large Use Predicted Monthly'!$Z$17</f>
        <v>16677.025918479489</v>
      </c>
      <c r="U29" s="18">
        <f t="shared" si="5"/>
        <v>3290156.2480065534</v>
      </c>
      <c r="V29" s="18">
        <f t="shared" si="3"/>
        <v>429137.07087878278</v>
      </c>
      <c r="W29" s="270">
        <f t="shared" si="4"/>
        <v>0.14999447550351666</v>
      </c>
    </row>
    <row r="30" spans="1:29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4">
        <f>'Monthly Data'!X30</f>
        <v>3114292.1851983243</v>
      </c>
      <c r="E30" s="269">
        <f>'Monthly Data'!BL30</f>
        <v>10.045833333333327</v>
      </c>
      <c r="F30" s="269">
        <f>'Monthly Data'!BG30</f>
        <v>28.370833333333344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1050929.47761405</v>
      </c>
      <c r="N30" s="18">
        <f>E30*'Large Use Predicted Monthly'!$Z$11</f>
        <v>4142.8756537574291</v>
      </c>
      <c r="O30" s="18">
        <f>F30*'Large Use Predicted Monthly'!$Z$12</f>
        <v>51183.916652074739</v>
      </c>
      <c r="P30" s="18">
        <f>G30*'Large Use Predicted Monthly'!$Z$13</f>
        <v>-83988.048579490569</v>
      </c>
      <c r="Q30" s="18">
        <f>H30*'Large Use Predicted Monthly'!$Z$14</f>
        <v>2172165.2722322186</v>
      </c>
      <c r="R30" s="18">
        <f>I30*'Large Use Predicted Monthly'!$Z$15</f>
        <v>0</v>
      </c>
      <c r="S30" s="18">
        <f>J30*'Large Use Predicted Monthly'!$Z$16</f>
        <v>177044.57271687401</v>
      </c>
      <c r="T30" s="18">
        <f>K30*'Large Use Predicted Monthly'!$Z$17</f>
        <v>16677.025918479489</v>
      </c>
      <c r="U30" s="18">
        <f t="shared" si="5"/>
        <v>3388155.092207964</v>
      </c>
      <c r="V30" s="18">
        <f t="shared" si="3"/>
        <v>273862.90700963978</v>
      </c>
      <c r="W30" s="270">
        <f t="shared" si="4"/>
        <v>8.793744797333447E-2</v>
      </c>
    </row>
    <row r="31" spans="1:29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4">
        <f>'Monthly Data'!X31</f>
        <v>3175507.694888188</v>
      </c>
      <c r="E31" s="269">
        <f>'Monthly Data'!BL31</f>
        <v>0</v>
      </c>
      <c r="F31" s="269">
        <f>'Monthly Data'!BG31</f>
        <v>112.71333333333334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1050929.47761405</v>
      </c>
      <c r="N31" s="18">
        <f>E31*'Large Use Predicted Monthly'!$Z$11</f>
        <v>0</v>
      </c>
      <c r="O31" s="18">
        <f>F31*'Large Use Predicted Monthly'!$Z$12</f>
        <v>203346.50699641707</v>
      </c>
      <c r="P31" s="18">
        <f>G31*'Large Use Predicted Monthly'!$Z$13</f>
        <v>-86884.188185679901</v>
      </c>
      <c r="Q31" s="18">
        <f>H31*'Large Use Predicted Monthly'!$Z$14</f>
        <v>2102095.424740857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16677.025918479489</v>
      </c>
      <c r="U31" s="18">
        <f t="shared" si="5"/>
        <v>3286164.2470841235</v>
      </c>
      <c r="V31" s="18">
        <f t="shared" si="3"/>
        <v>110656.55219593551</v>
      </c>
      <c r="W31" s="270">
        <f t="shared" si="4"/>
        <v>3.4846885231632797E-2</v>
      </c>
    </row>
    <row r="32" spans="1:29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4">
        <f>'Monthly Data'!X32</f>
        <v>3342901.2671752255</v>
      </c>
      <c r="E32" s="269">
        <f>'Monthly Data'!BL32</f>
        <v>0</v>
      </c>
      <c r="F32" s="269">
        <f>'Monthly Data'!BG32</f>
        <v>198.16666666666666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416</v>
      </c>
      <c r="M32" s="18">
        <f>'Large Use Predicted Monthly'!$Z$10</f>
        <v>1050929.47761405</v>
      </c>
      <c r="N32" s="18">
        <f>E32*'Large Use Predicted Monthly'!$Z$11</f>
        <v>0</v>
      </c>
      <c r="O32" s="18">
        <f>F32*'Large Use Predicted Monthly'!$Z$12</f>
        <v>357513.15552543307</v>
      </c>
      <c r="P32" s="18">
        <f>G32*'Large Use Predicted Monthly'!$Z$13</f>
        <v>-89780.327791869233</v>
      </c>
      <c r="Q32" s="18">
        <f>H32*'Large Use Predicted Monthly'!$Z$14</f>
        <v>2172165.2722322186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873.53850189970626</v>
      </c>
      <c r="U32" s="18">
        <f t="shared" si="5"/>
        <v>3491701.1160817323</v>
      </c>
      <c r="V32" s="18">
        <f t="shared" si="3"/>
        <v>148799.84890650678</v>
      </c>
      <c r="W32" s="270">
        <f t="shared" si="4"/>
        <v>4.4512187771624995E-2</v>
      </c>
    </row>
    <row r="33" spans="1:23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4">
        <f>'Monthly Data'!X33</f>
        <v>3439029.868955615</v>
      </c>
      <c r="E33" s="269">
        <f>'Monthly Data'!BL33</f>
        <v>0</v>
      </c>
      <c r="F33" s="269">
        <f>'Monthly Data'!BG33</f>
        <v>155.42409420289857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416</v>
      </c>
      <c r="M33" s="18">
        <f>'Large Use Predicted Monthly'!$Z$10</f>
        <v>1050929.47761405</v>
      </c>
      <c r="N33" s="18">
        <f>E33*'Large Use Predicted Monthly'!$Z$11</f>
        <v>0</v>
      </c>
      <c r="O33" s="18">
        <f>F33*'Large Use Predicted Monthly'!$Z$12</f>
        <v>280401.13555842103</v>
      </c>
      <c r="P33" s="18">
        <f>G33*'Large Use Predicted Monthly'!$Z$13</f>
        <v>-92676.467398058565</v>
      </c>
      <c r="Q33" s="18">
        <f>H33*'Large Use Predicted Monthly'!$Z$14</f>
        <v>2172165.2722322186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873.53850189970626</v>
      </c>
      <c r="U33" s="18">
        <f t="shared" si="5"/>
        <v>3411692.9565085308</v>
      </c>
      <c r="V33" s="18">
        <f t="shared" si="3"/>
        <v>-27336.912447084207</v>
      </c>
      <c r="W33" s="270">
        <f t="shared" si="4"/>
        <v>7.9490186153533017E-3</v>
      </c>
    </row>
    <row r="34" spans="1:23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4">
        <f>'Monthly Data'!X34</f>
        <v>3377365.2000244949</v>
      </c>
      <c r="E34" s="269">
        <f>'Monthly Data'!BL34</f>
        <v>0</v>
      </c>
      <c r="F34" s="269">
        <f>'Monthly Data'!BG34</f>
        <v>112.67916666666666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416</v>
      </c>
      <c r="M34" s="18">
        <f>'Large Use Predicted Monthly'!$Z$10</f>
        <v>1050929.47761405</v>
      </c>
      <c r="N34" s="18">
        <f>E34*'Large Use Predicted Monthly'!$Z$11</f>
        <v>0</v>
      </c>
      <c r="O34" s="18">
        <f>F34*'Large Use Predicted Monthly'!$Z$12</f>
        <v>203284.86679718853</v>
      </c>
      <c r="P34" s="18">
        <f>G34*'Large Use Predicted Monthly'!$Z$13</f>
        <v>-95572.607004247897</v>
      </c>
      <c r="Q34" s="18">
        <f>H34*'Large Use Predicted Monthly'!$Z$14</f>
        <v>2102095.424740857</v>
      </c>
      <c r="R34" s="18">
        <f>I34*'Large Use Predicted Monthly'!$Z$15</f>
        <v>0</v>
      </c>
      <c r="S34" s="18">
        <f>J34*'Large Use Predicted Monthly'!$Z$16</f>
        <v>177044.57271687401</v>
      </c>
      <c r="T34" s="18">
        <f>K34*'Large Use Predicted Monthly'!$Z$17</f>
        <v>873.53850189970626</v>
      </c>
      <c r="U34" s="18">
        <f t="shared" si="5"/>
        <v>3438655.2733666217</v>
      </c>
      <c r="V34" s="18">
        <f t="shared" ref="V34:V65" si="6">U34-D34</f>
        <v>61290.073342126794</v>
      </c>
      <c r="W34" s="270">
        <f t="shared" ref="W34:W65" si="7">ABS(V34/D34)</f>
        <v>1.8147304100155436E-2</v>
      </c>
    </row>
    <row r="35" spans="1:23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4">
        <f>'Monthly Data'!X35</f>
        <v>3378259.0697360332</v>
      </c>
      <c r="E35" s="269">
        <f>'Monthly Data'!BL35</f>
        <v>11.620833333333334</v>
      </c>
      <c r="F35" s="269">
        <f>'Monthly Data'!BG35</f>
        <v>29.654166666666669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6393</v>
      </c>
      <c r="M35" s="18">
        <f>'Large Use Predicted Monthly'!$Z$10</f>
        <v>1050929.47761405</v>
      </c>
      <c r="N35" s="18">
        <f>E35*'Large Use Predicted Monthly'!$Z$11</f>
        <v>4792.4015754166221</v>
      </c>
      <c r="O35" s="18">
        <f>F35*'Large Use Predicted Monthly'!$Z$12</f>
        <v>53499.182671877781</v>
      </c>
      <c r="P35" s="18">
        <f>G35*'Large Use Predicted Monthly'!$Z$13</f>
        <v>-98468.746610437229</v>
      </c>
      <c r="Q35" s="18">
        <f>H35*'Large Use Predicted Monthly'!$Z$14</f>
        <v>2172165.2722322186</v>
      </c>
      <c r="R35" s="18">
        <f>I35*'Large Use Predicted Monthly'!$Z$15</f>
        <v>0</v>
      </c>
      <c r="S35" s="18">
        <f>J35*'Large Use Predicted Monthly'!$Z$16</f>
        <v>177044.57271687401</v>
      </c>
      <c r="T35" s="18">
        <f>K35*'Large Use Predicted Monthly'!$Z$17</f>
        <v>13424.3549102039</v>
      </c>
      <c r="U35" s="18">
        <f t="shared" si="5"/>
        <v>3373386.5151102035</v>
      </c>
      <c r="V35" s="18">
        <f t="shared" si="6"/>
        <v>-4872.5546258296818</v>
      </c>
      <c r="W35" s="270">
        <f t="shared" si="7"/>
        <v>1.4423271055438646E-3</v>
      </c>
    </row>
    <row r="36" spans="1:23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4">
        <f>'Monthly Data'!X36</f>
        <v>2933829.9156862791</v>
      </c>
      <c r="E36" s="269">
        <f>'Monthly Data'!BL36</f>
        <v>148.02424242424243</v>
      </c>
      <c r="F36" s="269">
        <f>'Monthly Data'!BG36</f>
        <v>0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6393</v>
      </c>
      <c r="M36" s="18">
        <f>'Large Use Predicted Monthly'!$Z$10</f>
        <v>1050929.47761405</v>
      </c>
      <c r="N36" s="18">
        <f>E36*'Large Use Predicted Monthly'!$Z$11</f>
        <v>61044.814278418766</v>
      </c>
      <c r="O36" s="18">
        <f>F36*'Large Use Predicted Monthly'!$Z$12</f>
        <v>0</v>
      </c>
      <c r="P36" s="18">
        <f>G36*'Large Use Predicted Monthly'!$Z$13</f>
        <v>-101364.88621662656</v>
      </c>
      <c r="Q36" s="18">
        <f>H36*'Large Use Predicted Monthly'!$Z$14</f>
        <v>2102095.424740857</v>
      </c>
      <c r="R36" s="18">
        <f>I36*'Large Use Predicted Monthly'!$Z$15</f>
        <v>0</v>
      </c>
      <c r="S36" s="18">
        <f>J36*'Large Use Predicted Monthly'!$Z$16</f>
        <v>177044.57271687401</v>
      </c>
      <c r="T36" s="18">
        <f>K36*'Large Use Predicted Monthly'!$Z$17</f>
        <v>13424.3549102039</v>
      </c>
      <c r="U36" s="18">
        <f t="shared" si="5"/>
        <v>3303173.7580437767</v>
      </c>
      <c r="V36" s="18">
        <f t="shared" si="6"/>
        <v>369343.84235749766</v>
      </c>
      <c r="W36" s="270">
        <f t="shared" si="7"/>
        <v>0.1258913614530722</v>
      </c>
    </row>
    <row r="37" spans="1:23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4">
        <f>'Monthly Data'!X37</f>
        <v>3055515.8582477211</v>
      </c>
      <c r="E37" s="269">
        <f>'Monthly Data'!BL37</f>
        <v>426.3125</v>
      </c>
      <c r="F37" s="269">
        <f>'Monthly Data'!BG37</f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6393</v>
      </c>
      <c r="M37" s="18">
        <f>'Large Use Predicted Monthly'!$Z$10</f>
        <v>1050929.47761405</v>
      </c>
      <c r="N37" s="18">
        <f>E37*'Large Use Predicted Monthly'!$Z$11</f>
        <v>175810.17109671986</v>
      </c>
      <c r="O37" s="18">
        <f>F37*'Large Use Predicted Monthly'!$Z$12</f>
        <v>0</v>
      </c>
      <c r="P37" s="18">
        <f>G37*'Large Use Predicted Monthly'!$Z$13</f>
        <v>-104261.02582281589</v>
      </c>
      <c r="Q37" s="18">
        <f>H37*'Large Use Predicted Monthly'!$Z$14</f>
        <v>2172165.2722322186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13424.3549102039</v>
      </c>
      <c r="U37" s="18">
        <f t="shared" si="5"/>
        <v>3308068.2500303765</v>
      </c>
      <c r="V37" s="18">
        <f t="shared" si="6"/>
        <v>252552.39178265538</v>
      </c>
      <c r="W37" s="270">
        <f t="shared" si="7"/>
        <v>8.2654583873601389E-2</v>
      </c>
    </row>
    <row r="38" spans="1:23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4">
        <f>'Monthly Data'!X38</f>
        <v>3620160.6120360349</v>
      </c>
      <c r="E38" s="269">
        <f>'Monthly Data'!BL38</f>
        <v>440.53750000000002</v>
      </c>
      <c r="F38" s="269">
        <f>'Monthly Data'!BG38</f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8006</v>
      </c>
      <c r="M38" s="18">
        <f>'Large Use Predicted Monthly'!$Z$10</f>
        <v>1050929.47761405</v>
      </c>
      <c r="N38" s="18">
        <f>E38*'Large Use Predicted Monthly'!$Z$11</f>
        <v>181676.52426218145</v>
      </c>
      <c r="O38" s="18">
        <f>F38*'Large Use Predicted Monthly'!$Z$12</f>
        <v>0</v>
      </c>
      <c r="P38" s="18">
        <f>G38*'Large Use Predicted Monthly'!$Z$13</f>
        <v>-107157.16542900521</v>
      </c>
      <c r="Q38" s="18">
        <f>H38*'Large Use Predicted Monthly'!$Z$14</f>
        <v>2172165.2722322186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16811.416457233288</v>
      </c>
      <c r="U38" s="18">
        <f t="shared" si="5"/>
        <v>3314425.5251366785</v>
      </c>
      <c r="V38" s="18">
        <f t="shared" si="6"/>
        <v>-305735.08689935645</v>
      </c>
      <c r="W38" s="270">
        <f t="shared" si="7"/>
        <v>8.4453459297599023E-2</v>
      </c>
    </row>
    <row r="39" spans="1:23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4">
        <f>'Monthly Data'!X39</f>
        <v>3387300.9512546035</v>
      </c>
      <c r="E39" s="269">
        <f>'Monthly Data'!BL39</f>
        <v>296.49583333333334</v>
      </c>
      <c r="F39" s="269">
        <f>'Monthly Data'!BG39</f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8006</v>
      </c>
      <c r="M39" s="18">
        <f>'Large Use Predicted Monthly'!$Z$10</f>
        <v>1050929.47761405</v>
      </c>
      <c r="N39" s="18">
        <f>E39*'Large Use Predicted Monthly'!$Z$11</f>
        <v>122274.11391361471</v>
      </c>
      <c r="O39" s="18">
        <f>F39*'Large Use Predicted Monthly'!$Z$12</f>
        <v>0</v>
      </c>
      <c r="P39" s="18">
        <f>G39*'Large Use Predicted Monthly'!$Z$13</f>
        <v>-110053.30503519454</v>
      </c>
      <c r="Q39" s="18">
        <f>H39*'Large Use Predicted Monthly'!$Z$14</f>
        <v>1961955.7297581332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16811.416457233288</v>
      </c>
      <c r="U39" s="18">
        <f t="shared" si="5"/>
        <v>3041917.4327078369</v>
      </c>
      <c r="V39" s="18">
        <f t="shared" si="6"/>
        <v>-345383.5185467666</v>
      </c>
      <c r="W39" s="270">
        <f t="shared" si="7"/>
        <v>0.10196422565253374</v>
      </c>
    </row>
    <row r="40" spans="1:23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4">
        <f>'Monthly Data'!X40</f>
        <v>3736997.0486223674</v>
      </c>
      <c r="E40" s="269">
        <f>'Monthly Data'!BL40</f>
        <v>257.2791666666667</v>
      </c>
      <c r="F40" s="269">
        <f>'Monthly Data'!BG40</f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8006</v>
      </c>
      <c r="M40" s="18">
        <f>'Large Use Predicted Monthly'!$Z$10</f>
        <v>1050929.47761405</v>
      </c>
      <c r="N40" s="18">
        <f>E40*'Large Use Predicted Monthly'!$Z$11</f>
        <v>106101.26212880969</v>
      </c>
      <c r="O40" s="18">
        <f>F40*'Large Use Predicted Monthly'!$Z$12</f>
        <v>0</v>
      </c>
      <c r="P40" s="18">
        <f>G40*'Large Use Predicted Monthly'!$Z$13</f>
        <v>-112949.44464138387</v>
      </c>
      <c r="Q40" s="18">
        <f>H40*'Large Use Predicted Monthly'!$Z$14</f>
        <v>2172165.2722322186</v>
      </c>
      <c r="R40" s="18">
        <f>I40*'Large Use Predicted Monthly'!$Z$15</f>
        <v>0</v>
      </c>
      <c r="S40" s="18">
        <f>J40*'Large Use Predicted Monthly'!$Z$16</f>
        <v>177044.57271687401</v>
      </c>
      <c r="T40" s="18">
        <f>K40*'Large Use Predicted Monthly'!$Z$17</f>
        <v>16811.416457233288</v>
      </c>
      <c r="U40" s="18">
        <f t="shared" si="5"/>
        <v>3410102.5565078021</v>
      </c>
      <c r="V40" s="18">
        <f t="shared" si="6"/>
        <v>-326894.49211456534</v>
      </c>
      <c r="W40" s="270">
        <f t="shared" si="7"/>
        <v>8.7475180702932046E-2</v>
      </c>
    </row>
    <row r="41" spans="1:23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4">
        <f>'Monthly Data'!X41</f>
        <v>3419037.4477658686</v>
      </c>
      <c r="E41" s="269">
        <f>'Monthly Data'!BL41</f>
        <v>158.6666666666666</v>
      </c>
      <c r="F41" s="269">
        <f>'Monthly Data'!BG41</f>
        <v>0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1050929.47761405</v>
      </c>
      <c r="N41" s="18">
        <f>E41*'Large Use Predicted Monthly'!$Z$11</f>
        <v>65433.722478259195</v>
      </c>
      <c r="O41" s="18">
        <f>F41*'Large Use Predicted Monthly'!$Z$12</f>
        <v>0</v>
      </c>
      <c r="P41" s="18">
        <f>G41*'Large Use Predicted Monthly'!$Z$13</f>
        <v>-115845.58424757321</v>
      </c>
      <c r="Q41" s="18">
        <f>H41*'Large Use Predicted Monthly'!$Z$14</f>
        <v>2102095.424740857</v>
      </c>
      <c r="R41" s="18">
        <f>I41*'Large Use Predicted Monthly'!$Z$15</f>
        <v>0</v>
      </c>
      <c r="S41" s="18">
        <f>J41*'Large Use Predicted Monthly'!$Z$16</f>
        <v>177044.57271687401</v>
      </c>
      <c r="T41" s="18">
        <f>K41*'Large Use Predicted Monthly'!$Z$17</f>
        <v>11416.896237568997</v>
      </c>
      <c r="U41" s="18">
        <f t="shared" si="5"/>
        <v>3291074.5095400359</v>
      </c>
      <c r="V41" s="18">
        <f t="shared" si="6"/>
        <v>-127962.93822583277</v>
      </c>
      <c r="W41" s="270">
        <f t="shared" si="7"/>
        <v>3.742659745053354E-2</v>
      </c>
    </row>
    <row r="42" spans="1:23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4">
        <f>'Monthly Data'!X42</f>
        <v>3787056.8058039271</v>
      </c>
      <c r="E42" s="269">
        <f>'Monthly Data'!BL42</f>
        <v>0.50416666666666554</v>
      </c>
      <c r="F42" s="269">
        <f>'Monthly Data'!BG42</f>
        <v>80.600541125541127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1050929.47761405</v>
      </c>
      <c r="N42" s="18">
        <f>E42*'Large Use Predicted Monthly'!$Z$11</f>
        <v>207.91702783270347</v>
      </c>
      <c r="O42" s="18">
        <f>F42*'Large Use Predicted Monthly'!$Z$12</f>
        <v>145411.70964600326</v>
      </c>
      <c r="P42" s="18">
        <f>G42*'Large Use Predicted Monthly'!$Z$13</f>
        <v>-118741.72385376254</v>
      </c>
      <c r="Q42" s="18">
        <f>H42*'Large Use Predicted Monthly'!$Z$14</f>
        <v>2172165.2722322186</v>
      </c>
      <c r="R42" s="18">
        <f>I42*'Large Use Predicted Monthly'!$Z$15</f>
        <v>0</v>
      </c>
      <c r="S42" s="18">
        <f>J42*'Large Use Predicted Monthly'!$Z$16</f>
        <v>177044.57271687401</v>
      </c>
      <c r="T42" s="18">
        <f>K42*'Large Use Predicted Monthly'!$Z$17</f>
        <v>11416.896237568997</v>
      </c>
      <c r="U42" s="18">
        <f t="shared" si="5"/>
        <v>3438434.1216207854</v>
      </c>
      <c r="V42" s="18">
        <f t="shared" si="6"/>
        <v>-348622.68418314168</v>
      </c>
      <c r="W42" s="270">
        <f t="shared" si="7"/>
        <v>9.205636515640675E-2</v>
      </c>
    </row>
    <row r="43" spans="1:23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4">
        <f>'Monthly Data'!X43</f>
        <v>3565064.5816179486</v>
      </c>
      <c r="E43" s="269">
        <f>'Monthly Data'!BL43</f>
        <v>0</v>
      </c>
      <c r="F43" s="269">
        <f>'Monthly Data'!BG43</f>
        <v>141.51477272727271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1050929.47761405</v>
      </c>
      <c r="N43" s="18">
        <f>E43*'Large Use Predicted Monthly'!$Z$11</f>
        <v>0</v>
      </c>
      <c r="O43" s="18">
        <f>F43*'Large Use Predicted Monthly'!$Z$12</f>
        <v>255307.28150307029</v>
      </c>
      <c r="P43" s="18">
        <f>G43*'Large Use Predicted Monthly'!$Z$13</f>
        <v>-121637.86345995187</v>
      </c>
      <c r="Q43" s="18">
        <f>H43*'Large Use Predicted Monthly'!$Z$14</f>
        <v>2102095.424740857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11416.896237568997</v>
      </c>
      <c r="U43" s="18">
        <f t="shared" si="5"/>
        <v>3298111.2166355941</v>
      </c>
      <c r="V43" s="18">
        <f t="shared" si="6"/>
        <v>-266953.36498235445</v>
      </c>
      <c r="W43" s="270">
        <f t="shared" si="7"/>
        <v>7.488037281535076E-2</v>
      </c>
    </row>
    <row r="44" spans="1:23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4">
        <f>'Monthly Data'!X44</f>
        <v>3968524.5859418889</v>
      </c>
      <c r="E44" s="269">
        <f>'Monthly Data'!BL44</f>
        <v>0</v>
      </c>
      <c r="F44" s="269">
        <f>'Monthly Data'!BG44</f>
        <v>256.39861424807077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1050929.47761405</v>
      </c>
      <c r="N44" s="18">
        <f>E44*'Large Use Predicted Monthly'!$Z$11</f>
        <v>0</v>
      </c>
      <c r="O44" s="18">
        <f>F44*'Large Use Predicted Monthly'!$Z$12</f>
        <v>462569.60968297417</v>
      </c>
      <c r="P44" s="18">
        <f>G44*'Large Use Predicted Monthly'!$Z$13</f>
        <v>-124534.0030661412</v>
      </c>
      <c r="Q44" s="18">
        <f>H44*'Large Use Predicted Monthly'!$Z$14</f>
        <v>2172165.2722322186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19411.033441252126</v>
      </c>
      <c r="U44" s="18">
        <f t="shared" si="5"/>
        <v>3580541.3899043538</v>
      </c>
      <c r="V44" s="18">
        <f t="shared" si="6"/>
        <v>-387983.19603753509</v>
      </c>
      <c r="W44" s="270">
        <f t="shared" si="7"/>
        <v>9.7765098246317461E-2</v>
      </c>
    </row>
    <row r="45" spans="1:23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4">
        <f>'Monthly Data'!X45</f>
        <v>4489467.8842810066</v>
      </c>
      <c r="E45" s="269">
        <f>'Monthly Data'!BL45</f>
        <v>0</v>
      </c>
      <c r="F45" s="269">
        <f>'Monthly Data'!BG45</f>
        <v>252.24583333333339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1050929.47761405</v>
      </c>
      <c r="N45" s="18">
        <f>E45*'Large Use Predicted Monthly'!$Z$11</f>
        <v>0</v>
      </c>
      <c r="O45" s="18">
        <f>F45*'Large Use Predicted Monthly'!$Z$12</f>
        <v>455077.56354823796</v>
      </c>
      <c r="P45" s="18">
        <f>G45*'Large Use Predicted Monthly'!$Z$13</f>
        <v>-127430.14267233052</v>
      </c>
      <c r="Q45" s="18">
        <f>H45*'Large Use Predicted Monthly'!$Z$14</f>
        <v>2172165.2722322186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19411.033441252126</v>
      </c>
      <c r="U45" s="18">
        <f t="shared" si="5"/>
        <v>3570153.2041634284</v>
      </c>
      <c r="V45" s="18">
        <f t="shared" si="6"/>
        <v>-919314.68011757825</v>
      </c>
      <c r="W45" s="270">
        <f t="shared" si="7"/>
        <v>0.20477141251781281</v>
      </c>
    </row>
    <row r="46" spans="1:23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4">
        <f>'Monthly Data'!X46</f>
        <v>4295278.7381676789</v>
      </c>
      <c r="E46" s="269">
        <f>'Monthly Data'!BL46</f>
        <v>0</v>
      </c>
      <c r="F46" s="269">
        <f>'Monthly Data'!BG46</f>
        <v>135.06250000000003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1050929.47761405</v>
      </c>
      <c r="N46" s="18">
        <f>E46*'Large Use Predicted Monthly'!$Z$11</f>
        <v>0</v>
      </c>
      <c r="O46" s="18">
        <f>F46*'Large Use Predicted Monthly'!$Z$12</f>
        <v>243666.71438933801</v>
      </c>
      <c r="P46" s="18">
        <f>G46*'Large Use Predicted Monthly'!$Z$13</f>
        <v>-130326.28227851985</v>
      </c>
      <c r="Q46" s="18">
        <f>H46*'Large Use Predicted Monthly'!$Z$14</f>
        <v>2102095.424740857</v>
      </c>
      <c r="R46" s="18">
        <f>I46*'Large Use Predicted Monthly'!$Z$15</f>
        <v>0</v>
      </c>
      <c r="S46" s="18">
        <f>J46*'Large Use Predicted Monthly'!$Z$16</f>
        <v>177044.57271687401</v>
      </c>
      <c r="T46" s="18">
        <f>K46*'Large Use Predicted Monthly'!$Z$17</f>
        <v>19411.033441252126</v>
      </c>
      <c r="U46" s="18">
        <f t="shared" si="5"/>
        <v>3462820.9406238515</v>
      </c>
      <c r="V46" s="18">
        <f t="shared" si="6"/>
        <v>-832457.79754382744</v>
      </c>
      <c r="W46" s="270">
        <f t="shared" si="7"/>
        <v>0.19380763118971536</v>
      </c>
    </row>
    <row r="47" spans="1:23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4">
        <f>'Monthly Data'!X47</f>
        <v>3908812.9224410886</v>
      </c>
      <c r="E47" s="269">
        <f>'Monthly Data'!BL47</f>
        <v>55.56666666666667</v>
      </c>
      <c r="F47" s="269">
        <f>'Monthly Data'!BG47</f>
        <v>15.387500000000001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1050929.47761405</v>
      </c>
      <c r="N47" s="18">
        <f>E47*'Large Use Predicted Monthly'!$Z$11</f>
        <v>22915.549447743306</v>
      </c>
      <c r="O47" s="18">
        <f>F47*'Large Use Predicted Monthly'!$Z$12</f>
        <v>27760.640945236006</v>
      </c>
      <c r="P47" s="18">
        <f>G47*'Large Use Predicted Monthly'!$Z$13</f>
        <v>-133222.42188470918</v>
      </c>
      <c r="Q47" s="18">
        <f>H47*'Large Use Predicted Monthly'!$Z$14</f>
        <v>2172165.2722322186</v>
      </c>
      <c r="R47" s="18">
        <f>I47*'Large Use Predicted Monthly'!$Z$15</f>
        <v>0</v>
      </c>
      <c r="S47" s="18">
        <f>J47*'Large Use Predicted Monthly'!$Z$16</f>
        <v>177044.57271687401</v>
      </c>
      <c r="T47" s="18">
        <f>K47*'Large Use Predicted Monthly'!$Z$17</f>
        <v>11532.388106810546</v>
      </c>
      <c r="U47" s="18">
        <f t="shared" si="5"/>
        <v>3329125.4791782233</v>
      </c>
      <c r="V47" s="18">
        <f t="shared" si="6"/>
        <v>-579687.4432628653</v>
      </c>
      <c r="W47" s="270">
        <f t="shared" si="7"/>
        <v>0.14830268287714454</v>
      </c>
    </row>
    <row r="48" spans="1:23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4">
        <f>'Monthly Data'!X48</f>
        <v>3642797.6299564238</v>
      </c>
      <c r="E48" s="269">
        <f>'Monthly Data'!BL48</f>
        <v>206.24583333333334</v>
      </c>
      <c r="F48" s="269">
        <f>'Monthly Data'!BG48</f>
        <v>0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1050929.47761405</v>
      </c>
      <c r="N48" s="18">
        <f>E48*'Large Use Predicted Monthly'!$Z$11</f>
        <v>85055.247609016631</v>
      </c>
      <c r="O48" s="18">
        <f>F48*'Large Use Predicted Monthly'!$Z$12</f>
        <v>0</v>
      </c>
      <c r="P48" s="18">
        <f>G48*'Large Use Predicted Monthly'!$Z$13</f>
        <v>-136118.56149089852</v>
      </c>
      <c r="Q48" s="18">
        <f>H48*'Large Use Predicted Monthly'!$Z$14</f>
        <v>2102095.424740857</v>
      </c>
      <c r="R48" s="18">
        <f>I48*'Large Use Predicted Monthly'!$Z$15</f>
        <v>0</v>
      </c>
      <c r="S48" s="18">
        <f>J48*'Large Use Predicted Monthly'!$Z$16</f>
        <v>177044.57271687401</v>
      </c>
      <c r="T48" s="18">
        <f>K48*'Large Use Predicted Monthly'!$Z$17</f>
        <v>11532.388106810546</v>
      </c>
      <c r="U48" s="18">
        <f t="shared" si="5"/>
        <v>3290538.5492967097</v>
      </c>
      <c r="V48" s="18">
        <f t="shared" si="6"/>
        <v>-352259.08065971406</v>
      </c>
      <c r="W48" s="270">
        <f t="shared" si="7"/>
        <v>9.6700150939740201E-2</v>
      </c>
    </row>
    <row r="49" spans="1:25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4">
        <f>'Monthly Data'!X49</f>
        <v>3331834.9087778269</v>
      </c>
      <c r="E49" s="269">
        <f>'Monthly Data'!BL49</f>
        <v>274.91666666666663</v>
      </c>
      <c r="F49" s="269">
        <f>'Monthly Data'!BG49</f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1050929.47761405</v>
      </c>
      <c r="N49" s="18">
        <f>E49*'Large Use Predicted Monthly'!$Z$11</f>
        <v>113374.92145786615</v>
      </c>
      <c r="O49" s="18">
        <f>F49*'Large Use Predicted Monthly'!$Z$12</f>
        <v>0</v>
      </c>
      <c r="P49" s="18">
        <f>G49*'Large Use Predicted Monthly'!$Z$13</f>
        <v>-139014.70109708785</v>
      </c>
      <c r="Q49" s="18">
        <f>H49*'Large Use Predicted Monthly'!$Z$14</f>
        <v>2172165.2722322186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11532.388106810546</v>
      </c>
      <c r="U49" s="18">
        <f t="shared" si="5"/>
        <v>3208987.3583138576</v>
      </c>
      <c r="V49" s="18">
        <f t="shared" si="6"/>
        <v>-122847.55046396935</v>
      </c>
      <c r="W49" s="270">
        <f t="shared" si="7"/>
        <v>3.6870839590618223E-2</v>
      </c>
    </row>
    <row r="50" spans="1:25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4">
        <f>'Monthly Data'!X50</f>
        <v>3395269.4007415762</v>
      </c>
      <c r="E50" s="269">
        <f>'Monthly Data'!BL50</f>
        <v>469.93333333333328</v>
      </c>
      <c r="F50" s="269">
        <f>'Monthly Data'!BG50</f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1050929.47761405</v>
      </c>
      <c r="N50" s="18">
        <f>E50*'Large Use Predicted Monthly'!$Z$11</f>
        <v>193799.2898106089</v>
      </c>
      <c r="O50" s="18">
        <f>F50*'Large Use Predicted Monthly'!$Z$12</f>
        <v>0</v>
      </c>
      <c r="P50" s="18">
        <f>G50*'Large Use Predicted Monthly'!$Z$13</f>
        <v>-141910.84070327718</v>
      </c>
      <c r="Q50" s="18">
        <f>H50*'Large Use Predicted Monthly'!$Z$14</f>
        <v>2172165.2722322186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2293.0385674867289</v>
      </c>
      <c r="U50" s="18">
        <f t="shared" si="5"/>
        <v>3277276.2375210873</v>
      </c>
      <c r="V50" s="18">
        <f t="shared" si="6"/>
        <v>-117993.16322048893</v>
      </c>
      <c r="W50" s="270">
        <f t="shared" si="7"/>
        <v>3.47522241371237E-2</v>
      </c>
    </row>
    <row r="51" spans="1:25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4">
        <f>'Monthly Data'!X51</f>
        <v>2887304.4970666612</v>
      </c>
      <c r="E51" s="269">
        <f>'Monthly Data'!BL51</f>
        <v>359.30416666666662</v>
      </c>
      <c r="F51" s="269">
        <f>'Monthly Data'!BG51</f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1050929.47761405</v>
      </c>
      <c r="N51" s="18">
        <f>E51*'Large Use Predicted Monthly'!$Z$11</f>
        <v>148176.10794295502</v>
      </c>
      <c r="O51" s="18">
        <f>F51*'Large Use Predicted Monthly'!$Z$12</f>
        <v>0</v>
      </c>
      <c r="P51" s="18">
        <f>G51*'Large Use Predicted Monthly'!$Z$13</f>
        <v>-144806.98030946651</v>
      </c>
      <c r="Q51" s="18">
        <f>H51*'Large Use Predicted Monthly'!$Z$14</f>
        <v>1961955.7297581332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2293.0385674867289</v>
      </c>
      <c r="U51" s="18">
        <f t="shared" si="5"/>
        <v>3018547.3735731584</v>
      </c>
      <c r="V51" s="18">
        <f t="shared" si="6"/>
        <v>131242.87650649715</v>
      </c>
      <c r="W51" s="270">
        <f t="shared" si="7"/>
        <v>4.5455156059858781E-2</v>
      </c>
    </row>
    <row r="52" spans="1:25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4">
        <f>'Monthly Data'!X52</f>
        <v>3294416.6973172254</v>
      </c>
      <c r="E52" s="269">
        <f>'Monthly Data'!BL52</f>
        <v>301.45833333333326</v>
      </c>
      <c r="F52" s="269">
        <f>'Monthly Data'!BG52</f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1050929.47761405</v>
      </c>
      <c r="N52" s="18">
        <f>E52*'Large Use Predicted Monthly'!$Z$11</f>
        <v>124320.63606360434</v>
      </c>
      <c r="O52" s="18">
        <f>F52*'Large Use Predicted Monthly'!$Z$12</f>
        <v>0</v>
      </c>
      <c r="P52" s="18">
        <f>G52*'Large Use Predicted Monthly'!$Z$13</f>
        <v>-147703.11991565584</v>
      </c>
      <c r="Q52" s="18">
        <f>H52*'Large Use Predicted Monthly'!$Z$14</f>
        <v>2172165.2722322186</v>
      </c>
      <c r="R52" s="18">
        <f>I52*'Large Use Predicted Monthly'!$Z$15</f>
        <v>0</v>
      </c>
      <c r="S52" s="18">
        <f>J52*'Large Use Predicted Monthly'!$Z$16</f>
        <v>177044.57271687401</v>
      </c>
      <c r="T52" s="18">
        <f>K52*'Large Use Predicted Monthly'!$Z$17</f>
        <v>2293.0385674867289</v>
      </c>
      <c r="U52" s="18">
        <f t="shared" si="5"/>
        <v>3379049.877278578</v>
      </c>
      <c r="V52" s="18">
        <f t="shared" si="6"/>
        <v>84633.179961352609</v>
      </c>
      <c r="W52" s="270">
        <f t="shared" si="7"/>
        <v>2.5689883137817015E-2</v>
      </c>
    </row>
    <row r="53" spans="1:25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4">
        <f>'Monthly Data'!X53</f>
        <v>3139158.8880381845</v>
      </c>
      <c r="E53" s="269">
        <f>'Monthly Data'!BL53</f>
        <v>81.245833333333351</v>
      </c>
      <c r="F53" s="269">
        <f>'Monthly Data'!BG53</f>
        <v>0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1050929.47761405</v>
      </c>
      <c r="N53" s="18">
        <f>E53*'Large Use Predicted Monthly'!$Z$11</f>
        <v>33505.571286858634</v>
      </c>
      <c r="O53" s="18">
        <f>F53*'Large Use Predicted Monthly'!$Z$12</f>
        <v>0</v>
      </c>
      <c r="P53" s="18">
        <f>G53*'Large Use Predicted Monthly'!$Z$13</f>
        <v>-150599.25952184518</v>
      </c>
      <c r="Q53" s="18">
        <f>H53*'Large Use Predicted Monthly'!$Z$14</f>
        <v>2102095.424740857</v>
      </c>
      <c r="R53" s="18">
        <f>I53*'Large Use Predicted Monthly'!$Z$15</f>
        <v>0</v>
      </c>
      <c r="S53" s="18">
        <f>J53*'Large Use Predicted Monthly'!$Z$16</f>
        <v>177044.57271687401</v>
      </c>
      <c r="T53" s="18">
        <f>K53*'Large Use Predicted Monthly'!$Z$17</f>
        <v>12401.726904374196</v>
      </c>
      <c r="U53" s="18">
        <f t="shared" si="5"/>
        <v>3225377.5137411687</v>
      </c>
      <c r="V53" s="18">
        <f t="shared" si="6"/>
        <v>86218.625702984165</v>
      </c>
      <c r="W53" s="270">
        <f t="shared" si="7"/>
        <v>2.7465518241692584E-2</v>
      </c>
    </row>
    <row r="54" spans="1:25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4">
        <f>'Monthly Data'!X54</f>
        <v>3185460.1100917053</v>
      </c>
      <c r="E54" s="269">
        <f>'Monthly Data'!BL54</f>
        <v>5.4041666666666659</v>
      </c>
      <c r="F54" s="269">
        <f>'Monthly Data'!BG54</f>
        <v>11.208333333333332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1050929.47761405</v>
      </c>
      <c r="N54" s="18">
        <f>E54*'Large Use Predicted Monthly'!$Z$11</f>
        <v>2228.6643396612972</v>
      </c>
      <c r="O54" s="18">
        <f>F54*'Large Use Predicted Monthly'!$Z$12</f>
        <v>20220.992185942279</v>
      </c>
      <c r="P54" s="18">
        <f>G54*'Large Use Predicted Monthly'!$Z$13</f>
        <v>-153495.39912803451</v>
      </c>
      <c r="Q54" s="18">
        <f>H54*'Large Use Predicted Monthly'!$Z$14</f>
        <v>2172165.2722322186</v>
      </c>
      <c r="R54" s="18">
        <f>I54*'Large Use Predicted Monthly'!$Z$15</f>
        <v>0</v>
      </c>
      <c r="S54" s="18">
        <f>J54*'Large Use Predicted Monthly'!$Z$16</f>
        <v>177044.57271687401</v>
      </c>
      <c r="T54" s="18">
        <f>K54*'Large Use Predicted Monthly'!$Z$17</f>
        <v>12401.726904374196</v>
      </c>
      <c r="U54" s="18">
        <f t="shared" si="5"/>
        <v>3281495.3068650863</v>
      </c>
      <c r="V54" s="18">
        <f t="shared" si="6"/>
        <v>96035.196773380972</v>
      </c>
      <c r="W54" s="270">
        <f t="shared" si="7"/>
        <v>3.0147982851562453E-2</v>
      </c>
    </row>
    <row r="55" spans="1:25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4">
        <f>'Monthly Data'!X55</f>
        <v>3195698.6000678479</v>
      </c>
      <c r="E55" s="269">
        <f>'Monthly Data'!BL55</f>
        <v>0</v>
      </c>
      <c r="F55" s="269">
        <f>'Monthly Data'!BG55</f>
        <v>118.81666666666663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1050929.47761405</v>
      </c>
      <c r="N55" s="18">
        <f>E55*'Large Use Predicted Monthly'!$Z$11</f>
        <v>0</v>
      </c>
      <c r="O55" s="18">
        <f>F55*'Large Use Predicted Monthly'!$Z$12</f>
        <v>214357.55136592191</v>
      </c>
      <c r="P55" s="18">
        <f>G55*'Large Use Predicted Monthly'!$Z$13</f>
        <v>-156391.53873422384</v>
      </c>
      <c r="Q55" s="18">
        <f>H55*'Large Use Predicted Monthly'!$Z$14</f>
        <v>2102095.424740857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12401.726904374196</v>
      </c>
      <c r="U55" s="18">
        <f t="shared" si="5"/>
        <v>3223392.6418909789</v>
      </c>
      <c r="V55" s="18">
        <f t="shared" si="6"/>
        <v>27694.041823131032</v>
      </c>
      <c r="W55" s="270">
        <f t="shared" si="7"/>
        <v>8.6660368479502606E-3</v>
      </c>
    </row>
    <row r="56" spans="1:25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4">
        <f>'Monthly Data'!X56</f>
        <v>3490545.2096623592</v>
      </c>
      <c r="E56" s="269">
        <f>'Monthly Data'!BL56</f>
        <v>0</v>
      </c>
      <c r="F56" s="269">
        <f>'Monthly Data'!BG56</f>
        <v>259.60000000000008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1050929.47761405</v>
      </c>
      <c r="N56" s="18">
        <f>E56*'Large Use Predicted Monthly'!$Z$11</f>
        <v>0</v>
      </c>
      <c r="O56" s="18">
        <f>F56*'Large Use Predicted Monthly'!$Z$12</f>
        <v>468345.24057730421</v>
      </c>
      <c r="P56" s="18">
        <f>G56*'Large Use Predicted Monthly'!$Z$13</f>
        <v>-159287.67834041317</v>
      </c>
      <c r="Q56" s="18">
        <f>H56*'Large Use Predicted Monthly'!$Z$14</f>
        <v>2172165.2722322186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7805.1505085605968</v>
      </c>
      <c r="U56" s="18">
        <f t="shared" si="5"/>
        <v>3539957.4625917203</v>
      </c>
      <c r="V56" s="18">
        <f t="shared" si="6"/>
        <v>49412.252929361071</v>
      </c>
      <c r="W56" s="270">
        <f t="shared" si="7"/>
        <v>1.4156027199584881E-2</v>
      </c>
    </row>
    <row r="57" spans="1:25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4">
        <f>'Monthly Data'!X57</f>
        <v>3574224.7099011471</v>
      </c>
      <c r="E57" s="269">
        <f>'Monthly Data'!BL57</f>
        <v>0</v>
      </c>
      <c r="F57" s="269">
        <f>'Monthly Data'!BG57</f>
        <v>190.07083333333335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1050929.47761405</v>
      </c>
      <c r="N57" s="18">
        <f>E57*'Large Use Predicted Monthly'!$Z$11</f>
        <v>0</v>
      </c>
      <c r="O57" s="18">
        <f>F57*'Large Use Predicted Monthly'!$Z$12</f>
        <v>342907.43514725991</v>
      </c>
      <c r="P57" s="18">
        <f>G57*'Large Use Predicted Monthly'!$Z$13</f>
        <v>-162183.81794660247</v>
      </c>
      <c r="Q57" s="18">
        <f>H57*'Large Use Predicted Monthly'!$Z$14</f>
        <v>2172165.2722322186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7805.1505085605968</v>
      </c>
      <c r="U57" s="18">
        <f t="shared" si="5"/>
        <v>3411623.5175554869</v>
      </c>
      <c r="V57" s="18">
        <f t="shared" si="6"/>
        <v>-162601.19234566018</v>
      </c>
      <c r="W57" s="270">
        <f t="shared" si="7"/>
        <v>4.5492716754833601E-2</v>
      </c>
    </row>
    <row r="58" spans="1:25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4">
        <f>'Monthly Data'!X58</f>
        <v>3325099.9908512547</v>
      </c>
      <c r="E58" s="269">
        <f>'Monthly Data'!BL58</f>
        <v>0</v>
      </c>
      <c r="F58" s="269">
        <f>'Monthly Data'!BG58</f>
        <v>76.5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1050929.47761405</v>
      </c>
      <c r="N58" s="18">
        <f>E58*'Large Use Predicted Monthly'!$Z$11</f>
        <v>0</v>
      </c>
      <c r="O58" s="18">
        <f>F58*'Large Use Predicted Monthly'!$Z$12</f>
        <v>138013.90949215624</v>
      </c>
      <c r="P58" s="18">
        <f>G58*'Large Use Predicted Monthly'!$Z$13</f>
        <v>-165079.95755279181</v>
      </c>
      <c r="Q58" s="18">
        <f>H58*'Large Use Predicted Monthly'!$Z$14</f>
        <v>2102095.424740857</v>
      </c>
      <c r="R58" s="18">
        <f>I58*'Large Use Predicted Monthly'!$Z$15</f>
        <v>0</v>
      </c>
      <c r="S58" s="18">
        <f>J58*'Large Use Predicted Monthly'!$Z$16</f>
        <v>177044.57271687401</v>
      </c>
      <c r="T58" s="18">
        <f>K58*'Large Use Predicted Monthly'!$Z$17</f>
        <v>7805.1505085605968</v>
      </c>
      <c r="U58" s="18">
        <f t="shared" si="5"/>
        <v>3310808.577519706</v>
      </c>
      <c r="V58" s="18">
        <f t="shared" si="6"/>
        <v>-14291.413331548683</v>
      </c>
      <c r="W58" s="270">
        <f t="shared" si="7"/>
        <v>4.2980401704821982E-3</v>
      </c>
    </row>
    <row r="59" spans="1:25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4">
        <f>'Monthly Data'!X59</f>
        <v>3258814.2217580262</v>
      </c>
      <c r="E59" s="269">
        <f>'Monthly Data'!BL59</f>
        <v>8.0666666666666664</v>
      </c>
      <c r="F59" s="269">
        <f>'Monthly Data'!BG59</f>
        <v>7.3333333333333357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1050929.47761405</v>
      </c>
      <c r="N59" s="18">
        <f>E59*'Large Use Predicted Monthly'!$Z$11</f>
        <v>3326.6724453232628</v>
      </c>
      <c r="O59" s="18">
        <f>F59*'Large Use Predicted Monthly'!$Z$12</f>
        <v>13230.091541731757</v>
      </c>
      <c r="P59" s="18">
        <f>G59*'Large Use Predicted Monthly'!$Z$13</f>
        <v>-167976.09715898114</v>
      </c>
      <c r="Q59" s="18">
        <f>H59*'Large Use Predicted Monthly'!$Z$14</f>
        <v>2172165.2722322186</v>
      </c>
      <c r="R59" s="18">
        <f>I59*'Large Use Predicted Monthly'!$Z$15</f>
        <v>0</v>
      </c>
      <c r="S59" s="18">
        <f>J59*'Large Use Predicted Monthly'!$Z$16</f>
        <v>177044.57271687401</v>
      </c>
      <c r="T59" s="18">
        <f>K59*'Large Use Predicted Monthly'!$Z$17</f>
        <v>2204.844776429547</v>
      </c>
      <c r="U59" s="18">
        <f t="shared" si="5"/>
        <v>3250924.8341676462</v>
      </c>
      <c r="V59" s="18">
        <f t="shared" si="6"/>
        <v>-7889.3875903799199</v>
      </c>
      <c r="W59" s="270">
        <f t="shared" si="7"/>
        <v>2.4209381245807399E-3</v>
      </c>
    </row>
    <row r="60" spans="1:25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4">
        <f>'Monthly Data'!X60</f>
        <v>3258812.8122494793</v>
      </c>
      <c r="E60" s="269">
        <f>'Monthly Data'!BL60</f>
        <v>229.72499999999999</v>
      </c>
      <c r="F60" s="269">
        <f>'Monthly Data'!BG60</f>
        <v>0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1050929.47761405</v>
      </c>
      <c r="N60" s="18">
        <f>E60*'Large Use Predicted Monthly'!$Z$11</f>
        <v>94737.995144861969</v>
      </c>
      <c r="O60" s="18">
        <f>F60*'Large Use Predicted Monthly'!$Z$12</f>
        <v>0</v>
      </c>
      <c r="P60" s="18">
        <f>G60*'Large Use Predicted Monthly'!$Z$13</f>
        <v>-170872.23676517047</v>
      </c>
      <c r="Q60" s="18">
        <f>H60*'Large Use Predicted Monthly'!$Z$14</f>
        <v>2102095.424740857</v>
      </c>
      <c r="R60" s="18">
        <f>I60*'Large Use Predicted Monthly'!$Z$15</f>
        <v>0</v>
      </c>
      <c r="S60" s="18">
        <f>J60*'Large Use Predicted Monthly'!$Z$16</f>
        <v>177044.57271687401</v>
      </c>
      <c r="T60" s="18">
        <f>K60*'Large Use Predicted Monthly'!$Z$17</f>
        <v>2204.844776429547</v>
      </c>
      <c r="U60" s="18">
        <f t="shared" si="5"/>
        <v>3256140.0782279023</v>
      </c>
      <c r="V60" s="18">
        <f t="shared" si="6"/>
        <v>-2672.7340215770528</v>
      </c>
      <c r="W60" s="270">
        <f t="shared" si="7"/>
        <v>8.2015573632537961E-4</v>
      </c>
    </row>
    <row r="61" spans="1:25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4">
        <f>'Monthly Data'!X61</f>
        <v>3152827.0955878673</v>
      </c>
      <c r="E61" s="269">
        <f>'Monthly Data'!BL61</f>
        <v>304.42916666666662</v>
      </c>
      <c r="F61" s="269">
        <f>'Monthly Data'!BG61</f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1050929.47761405</v>
      </c>
      <c r="N61" s="18">
        <f>E61*'Large Use Predicted Monthly'!$Z$11</f>
        <v>125545.80003752765</v>
      </c>
      <c r="O61" s="18">
        <f>F61*'Large Use Predicted Monthly'!$Z$12</f>
        <v>0</v>
      </c>
      <c r="P61" s="18">
        <f>G61*'Large Use Predicted Monthly'!$Z$13</f>
        <v>-173768.3763713598</v>
      </c>
      <c r="Q61" s="18">
        <f>H61*'Large Use Predicted Monthly'!$Z$14</f>
        <v>2172165.2722322186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2204.844776429547</v>
      </c>
      <c r="U61" s="18">
        <f t="shared" si="5"/>
        <v>3177077.0182888662</v>
      </c>
      <c r="V61" s="18">
        <f t="shared" si="6"/>
        <v>24249.922700998839</v>
      </c>
      <c r="W61" s="270">
        <f t="shared" si="7"/>
        <v>7.691485122966208E-3</v>
      </c>
    </row>
    <row r="62" spans="1:25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4">
        <f>'Monthly Data'!X62</f>
        <v>3074944.6463091564</v>
      </c>
      <c r="E62" s="269">
        <f>'Monthly Data'!BL62</f>
        <v>318.82083333333333</v>
      </c>
      <c r="F62" s="269">
        <f>'Monthly Data'!BG62</f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1050929.47761405</v>
      </c>
      <c r="N62" s="18">
        <f>E62*'Large Use Predicted Monthly'!$Z$11</f>
        <v>131480.88610475211</v>
      </c>
      <c r="O62" s="18">
        <f>F62*'Large Use Predicted Monthly'!$Z$12</f>
        <v>0</v>
      </c>
      <c r="P62" s="18">
        <f>G62*'Large Use Predicted Monthly'!$Z$13</f>
        <v>-176664.51597754913</v>
      </c>
      <c r="Q62" s="18">
        <f>H62*'Large Use Predicted Monthly'!$Z$14</f>
        <v>2172165.2722322186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-23667.433785845169</v>
      </c>
      <c r="U62" s="18">
        <f t="shared" si="5"/>
        <v>3154243.6861876263</v>
      </c>
      <c r="V62" s="18">
        <f t="shared" si="6"/>
        <v>79299.039878469892</v>
      </c>
      <c r="W62" s="270">
        <f t="shared" si="7"/>
        <v>2.5788769880346368E-2</v>
      </c>
    </row>
    <row r="63" spans="1:25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4">
        <f>'Monthly Data'!X63</f>
        <v>2762028.6144291847</v>
      </c>
      <c r="E63" s="269">
        <f>'Monthly Data'!BL63</f>
        <v>330.40000000000003</v>
      </c>
      <c r="F63" s="269">
        <f>'Monthly Data'!BG63</f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1050929.47761405</v>
      </c>
      <c r="N63" s="18">
        <f>E63*'Large Use Predicted Monthly'!$Z$11</f>
        <v>136256.10445472805</v>
      </c>
      <c r="O63" s="18">
        <f>F63*'Large Use Predicted Monthly'!$Z$12</f>
        <v>0</v>
      </c>
      <c r="P63" s="18">
        <f>G63*'Large Use Predicted Monthly'!$Z$13</f>
        <v>-179560.65558373847</v>
      </c>
      <c r="Q63" s="18">
        <f>H63*'Large Use Predicted Monthly'!$Z$14</f>
        <v>2032025.5772494951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-23667.433785845169</v>
      </c>
      <c r="U63" s="18">
        <f t="shared" si="5"/>
        <v>3015983.0699486895</v>
      </c>
      <c r="V63" s="18">
        <f t="shared" si="6"/>
        <v>253954.45551950485</v>
      </c>
      <c r="W63" s="270">
        <f t="shared" si="7"/>
        <v>9.1944903898828145E-2</v>
      </c>
    </row>
    <row r="64" spans="1:25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4">
        <f>'Monthly Data'!X64</f>
        <v>2607055.7041125842</v>
      </c>
      <c r="E64" s="269">
        <f>'Monthly Data'!BL64</f>
        <v>174.47500000000005</v>
      </c>
      <c r="F64" s="269">
        <f>'Monthly Data'!BG64</f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1050929.47761405</v>
      </c>
      <c r="N64" s="18">
        <f>E64*'Large Use Predicted Monthly'!$Z$11</f>
        <v>71953.038210468163</v>
      </c>
      <c r="O64" s="18">
        <f>F64*'Large Use Predicted Monthly'!$Z$12</f>
        <v>0</v>
      </c>
      <c r="P64" s="18">
        <f>G64*'Large Use Predicted Monthly'!$Z$13</f>
        <v>-182456.7951899278</v>
      </c>
      <c r="Q64" s="18">
        <f>H64*'Large Use Predicted Monthly'!$Z$14</f>
        <v>2172165.2722322186</v>
      </c>
      <c r="R64" s="18">
        <f>I64*'Large Use Predicted Monthly'!$Z$15</f>
        <v>-344195.57839397498</v>
      </c>
      <c r="S64" s="18">
        <f>J64*'Large Use Predicted Monthly'!$Z$16</f>
        <v>177044.57271687401</v>
      </c>
      <c r="T64" s="18">
        <f>K64*'Large Use Predicted Monthly'!$Z$17</f>
        <v>-23667.433785845169</v>
      </c>
      <c r="U64" s="18">
        <f t="shared" si="5"/>
        <v>2921772.5534038632</v>
      </c>
      <c r="V64" s="18">
        <f t="shared" si="6"/>
        <v>314716.84929127898</v>
      </c>
      <c r="W64" s="270">
        <f t="shared" si="7"/>
        <v>0.12071734746396816</v>
      </c>
      <c r="Y64" s="18"/>
    </row>
    <row r="65" spans="1:30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4">
        <f>'Monthly Data'!X65</f>
        <v>2049425.4094162788</v>
      </c>
      <c r="E65" s="269">
        <f>'Monthly Data'!BL65</f>
        <v>89.183333333333337</v>
      </c>
      <c r="F65" s="269">
        <f>'Monthly Data'!BG65</f>
        <v>0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1050929.47761405</v>
      </c>
      <c r="N65" s="18">
        <f>E65*'Large Use Predicted Monthly'!$Z$11</f>
        <v>36778.975733315659</v>
      </c>
      <c r="O65" s="18">
        <f>F65*'Large Use Predicted Monthly'!$Z$12</f>
        <v>0</v>
      </c>
      <c r="P65" s="18">
        <f>G65*'Large Use Predicted Monthly'!$Z$13</f>
        <v>-185352.93479611713</v>
      </c>
      <c r="Q65" s="18">
        <f>H65*'Large Use Predicted Monthly'!$Z$14</f>
        <v>2102095.424740857</v>
      </c>
      <c r="R65" s="18">
        <f>I65*'Large Use Predicted Monthly'!$Z$15</f>
        <v>-688391.15678794996</v>
      </c>
      <c r="S65" s="18">
        <f>J65*'Large Use Predicted Monthly'!$Z$16</f>
        <v>177044.57271687401</v>
      </c>
      <c r="T65" s="18">
        <f>K65*'Large Use Predicted Monthly'!$Z$17</f>
        <v>-196518.86484924954</v>
      </c>
      <c r="U65" s="18">
        <f t="shared" si="5"/>
        <v>2296585.4943717802</v>
      </c>
      <c r="V65" s="18">
        <f t="shared" si="6"/>
        <v>247160.08495550137</v>
      </c>
      <c r="W65" s="270">
        <f t="shared" si="7"/>
        <v>0.12059969775913824</v>
      </c>
      <c r="Y65" s="18"/>
    </row>
    <row r="66" spans="1:30" x14ac:dyDescent="0.25">
      <c r="A66" s="3">
        <f>'Monthly Data'!A66</f>
        <v>43952</v>
      </c>
      <c r="B66" s="1">
        <f t="shared" ref="B66:B121" si="8">YEAR(A66)</f>
        <v>2020</v>
      </c>
      <c r="C66" s="1">
        <f t="shared" ref="C66:C121" si="9">MONTH(A66)</f>
        <v>5</v>
      </c>
      <c r="D66" s="24">
        <f>'Monthly Data'!X66</f>
        <v>1973281.7621213137</v>
      </c>
      <c r="E66" s="269">
        <f>'Monthly Data'!BL66</f>
        <v>36.524999999999999</v>
      </c>
      <c r="F66" s="269">
        <f>'Monthly Data'!BG66</f>
        <v>50.900595238095221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1050929.47761405</v>
      </c>
      <c r="N66" s="18">
        <f>E66*'Large Use Predicted Monthly'!$Z$11</f>
        <v>15062.815421334566</v>
      </c>
      <c r="O66" s="18">
        <f>F66*'Large Use Predicted Monthly'!$Z$12</f>
        <v>91829.936526632067</v>
      </c>
      <c r="P66" s="18">
        <f>G66*'Large Use Predicted Monthly'!$Z$13</f>
        <v>-188249.07440230646</v>
      </c>
      <c r="Q66" s="18">
        <f>H66*'Large Use Predicted Monthly'!$Z$14</f>
        <v>2172165.2722322186</v>
      </c>
      <c r="R66" s="18">
        <f>I66*'Large Use Predicted Monthly'!$Z$15</f>
        <v>-688391.15678794996</v>
      </c>
      <c r="S66" s="18">
        <f>J66*'Large Use Predicted Monthly'!$Z$16</f>
        <v>177044.57271687401</v>
      </c>
      <c r="T66" s="18">
        <f>K66*'Large Use Predicted Monthly'!$Z$17</f>
        <v>-196518.86484924954</v>
      </c>
      <c r="U66" s="18">
        <f t="shared" si="5"/>
        <v>2433872.9784716032</v>
      </c>
      <c r="V66" s="18">
        <f t="shared" ref="V66:V97" si="10">U66-D66</f>
        <v>460591.21635028953</v>
      </c>
      <c r="W66" s="270">
        <f t="shared" ref="W66:W97" si="11">ABS(V66/D66)</f>
        <v>0.23341381103889877</v>
      </c>
      <c r="Y66" s="18"/>
    </row>
    <row r="67" spans="1:30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Data'!X67</f>
        <v>2238034.5752989105</v>
      </c>
      <c r="E67" s="269">
        <f>'Monthly Data'!BL67</f>
        <v>0</v>
      </c>
      <c r="F67" s="269">
        <f>'Monthly Data'!BG67</f>
        <v>165.96956521739128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1050929.47761405</v>
      </c>
      <c r="N67" s="18">
        <f>E67*'Large Use Predicted Monthly'!$Z$11</f>
        <v>0</v>
      </c>
      <c r="O67" s="18">
        <f>F67*'Large Use Predicted Monthly'!$Z$12</f>
        <v>299426.25558647793</v>
      </c>
      <c r="P67" s="18">
        <f>G67*'Large Use Predicted Monthly'!$Z$13</f>
        <v>-191145.21400849579</v>
      </c>
      <c r="Q67" s="18">
        <f>H67*'Large Use Predicted Monthly'!$Z$14</f>
        <v>2102095.424740857</v>
      </c>
      <c r="R67" s="18">
        <f>I67*'Large Use Predicted Monthly'!$Z$15</f>
        <v>-344195.57839397498</v>
      </c>
      <c r="S67" s="18">
        <f>J67*'Large Use Predicted Monthly'!$Z$16</f>
        <v>0</v>
      </c>
      <c r="T67" s="18">
        <f>K67*'Large Use Predicted Monthly'!$Z$17</f>
        <v>-196518.86484924954</v>
      </c>
      <c r="U67" s="18">
        <f t="shared" ref="U67:U121" si="12">SUM(M67:T67)</f>
        <v>2720591.5006896649</v>
      </c>
      <c r="V67" s="18">
        <f t="shared" si="10"/>
        <v>482556.92539075436</v>
      </c>
      <c r="W67" s="270">
        <f t="shared" si="11"/>
        <v>0.21561638533949118</v>
      </c>
      <c r="Y67" s="18"/>
    </row>
    <row r="68" spans="1:30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Data'!X68</f>
        <v>2794912.6777092903</v>
      </c>
      <c r="E68" s="269">
        <f>'Monthly Data'!BL68</f>
        <v>0</v>
      </c>
      <c r="F68" s="269">
        <f>'Monthly Data'!BG68</f>
        <v>308.88750000000005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1050929.47761405</v>
      </c>
      <c r="N68" s="18">
        <f>E68*'Large Use Predicted Monthly'!$Z$11</f>
        <v>0</v>
      </c>
      <c r="O68" s="18">
        <f>F68*'Large Use Predicted Monthly'!$Z$12</f>
        <v>557264.98651318194</v>
      </c>
      <c r="P68" s="18">
        <f>G68*'Large Use Predicted Monthly'!$Z$13</f>
        <v>-194041.35361468513</v>
      </c>
      <c r="Q68" s="18">
        <f>H68*'Large Use Predicted Monthly'!$Z$14</f>
        <v>2172165.2722322186</v>
      </c>
      <c r="R68" s="18">
        <f>I68*'Large Use Predicted Monthly'!$Z$15</f>
        <v>-344195.57839397498</v>
      </c>
      <c r="S68" s="18">
        <f>J68*'Large Use Predicted Monthly'!$Z$16</f>
        <v>0</v>
      </c>
      <c r="T68" s="18">
        <f>K68*'Large Use Predicted Monthly'!$Z$17</f>
        <v>148430.15034923711</v>
      </c>
      <c r="U68" s="18">
        <f t="shared" si="12"/>
        <v>3390552.9547000276</v>
      </c>
      <c r="V68" s="18">
        <f t="shared" si="10"/>
        <v>595640.2769907373</v>
      </c>
      <c r="W68" s="270">
        <f t="shared" si="11"/>
        <v>0.2131158807719617</v>
      </c>
      <c r="Y68" s="18"/>
    </row>
    <row r="69" spans="1:30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Data'!X69</f>
        <v>2846971.9201273769</v>
      </c>
      <c r="E69" s="269">
        <f>'Monthly Data'!BL69</f>
        <v>0</v>
      </c>
      <c r="F69" s="269">
        <f>'Monthly Data'!BG69</f>
        <v>216.93106060606064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1050929.47761405</v>
      </c>
      <c r="N69" s="18">
        <f>E69*'Large Use Predicted Monthly'!$Z$11</f>
        <v>0</v>
      </c>
      <c r="O69" s="18">
        <f>F69*'Large Use Predicted Monthly'!$Z$12</f>
        <v>391366.06228133745</v>
      </c>
      <c r="P69" s="18">
        <f>G69*'Large Use Predicted Monthly'!$Z$13</f>
        <v>-196937.49322087446</v>
      </c>
      <c r="Q69" s="18">
        <f>H69*'Large Use Predicted Monthly'!$Z$14</f>
        <v>2172165.2722322186</v>
      </c>
      <c r="R69" s="18">
        <f>I69*'Large Use Predicted Monthly'!$Z$15</f>
        <v>-344195.57839397498</v>
      </c>
      <c r="S69" s="18">
        <f>J69*'Large Use Predicted Monthly'!$Z$16</f>
        <v>0</v>
      </c>
      <c r="T69" s="18">
        <f>K69*'Large Use Predicted Monthly'!$Z$17</f>
        <v>148430.15034923711</v>
      </c>
      <c r="U69" s="18">
        <f t="shared" si="12"/>
        <v>3221757.8908619937</v>
      </c>
      <c r="V69" s="18">
        <f t="shared" si="10"/>
        <v>374785.97073461674</v>
      </c>
      <c r="W69" s="270">
        <f t="shared" si="11"/>
        <v>0.13164371874726757</v>
      </c>
      <c r="Y69" s="18"/>
    </row>
    <row r="70" spans="1:30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Data'!X70</f>
        <v>2796480.6781213125</v>
      </c>
      <c r="E70" s="269">
        <f>'Monthly Data'!BL70</f>
        <v>0</v>
      </c>
      <c r="F70" s="269">
        <f>'Monthly Data'!BG70</f>
        <v>75.812499999999972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1050929.47761405</v>
      </c>
      <c r="N70" s="18">
        <f>E70*'Large Use Predicted Monthly'!$Z$11</f>
        <v>0</v>
      </c>
      <c r="O70" s="18">
        <f>F70*'Large Use Predicted Monthly'!$Z$12</f>
        <v>136773.58841011886</v>
      </c>
      <c r="P70" s="18">
        <f>G70*'Large Use Predicted Monthly'!$Z$13</f>
        <v>-199833.63282706379</v>
      </c>
      <c r="Q70" s="18">
        <f>H70*'Large Use Predicted Monthly'!$Z$14</f>
        <v>2102095.424740857</v>
      </c>
      <c r="R70" s="18">
        <f>I70*'Large Use Predicted Monthly'!$Z$15</f>
        <v>-344195.57839397498</v>
      </c>
      <c r="S70" s="18">
        <f>J70*'Large Use Predicted Monthly'!$Z$16</f>
        <v>177044.57271687401</v>
      </c>
      <c r="T70" s="18">
        <f>K70*'Large Use Predicted Monthly'!$Z$17</f>
        <v>148430.15034923711</v>
      </c>
      <c r="U70" s="18">
        <f t="shared" si="12"/>
        <v>3071244.0026100981</v>
      </c>
      <c r="V70" s="18">
        <f t="shared" si="10"/>
        <v>274763.32448878558</v>
      </c>
      <c r="W70" s="270">
        <f t="shared" si="11"/>
        <v>9.8253253326024317E-2</v>
      </c>
      <c r="Y70" s="18"/>
    </row>
    <row r="71" spans="1:30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Data'!X71</f>
        <v>2572644.9041530807</v>
      </c>
      <c r="E71" s="269">
        <f>'Monthly Data'!BL71</f>
        <v>38.454166666666666</v>
      </c>
      <c r="F71" s="269">
        <f>'Monthly Data'!BG71</f>
        <v>3.9291666666666654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1050929.47761405</v>
      </c>
      <c r="N71" s="18">
        <f>E71*'Large Use Predicted Monthly'!$Z$11</f>
        <v>15858.398759239872</v>
      </c>
      <c r="O71" s="18">
        <f>F71*'Large Use Predicted Monthly'!$Z$12</f>
        <v>7088.6229112801357</v>
      </c>
      <c r="P71" s="18">
        <f>G71*'Large Use Predicted Monthly'!$Z$13</f>
        <v>-202729.77243325312</v>
      </c>
      <c r="Q71" s="18">
        <f>H71*'Large Use Predicted Monthly'!$Z$14</f>
        <v>2172165.2722322186</v>
      </c>
      <c r="R71" s="18">
        <f>I71*'Large Use Predicted Monthly'!$Z$15</f>
        <v>-344195.57839397498</v>
      </c>
      <c r="S71" s="18">
        <f>J71*'Large Use Predicted Monthly'!$Z$16</f>
        <v>177044.57271687401</v>
      </c>
      <c r="T71" s="18">
        <f>K71*'Large Use Predicted Monthly'!$Z$17</f>
        <v>39170.642342396925</v>
      </c>
      <c r="U71" s="18">
        <f t="shared" si="12"/>
        <v>2915331.6357488316</v>
      </c>
      <c r="V71" s="18">
        <f t="shared" si="10"/>
        <v>342686.7315957509</v>
      </c>
      <c r="W71" s="270">
        <f t="shared" si="11"/>
        <v>0.13320405433433263</v>
      </c>
      <c r="Y71" s="18"/>
    </row>
    <row r="72" spans="1:30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Data'!X72</f>
        <v>2636145.3575018547</v>
      </c>
      <c r="E72" s="269">
        <f>'Monthly Data'!BL72</f>
        <v>92.875724637681159</v>
      </c>
      <c r="F72" s="269">
        <f>'Monthly Data'!BG72</f>
        <v>0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1050929.47761405</v>
      </c>
      <c r="N72" s="18">
        <f>E72*'Large Use Predicted Monthly'!$Z$11</f>
        <v>38301.708346066713</v>
      </c>
      <c r="O72" s="18">
        <f>F72*'Large Use Predicted Monthly'!$Z$12</f>
        <v>0</v>
      </c>
      <c r="P72" s="18">
        <f>G72*'Large Use Predicted Monthly'!$Z$13</f>
        <v>-205625.91203944245</v>
      </c>
      <c r="Q72" s="18">
        <f>H72*'Large Use Predicted Monthly'!$Z$14</f>
        <v>2102095.424740857</v>
      </c>
      <c r="R72" s="18">
        <f>I72*'Large Use Predicted Monthly'!$Z$15</f>
        <v>-344195.57839397498</v>
      </c>
      <c r="S72" s="18">
        <f>J72*'Large Use Predicted Monthly'!$Z$16</f>
        <v>177044.57271687401</v>
      </c>
      <c r="T72" s="18">
        <f>K72*'Large Use Predicted Monthly'!$Z$17</f>
        <v>39170.642342396925</v>
      </c>
      <c r="U72" s="18">
        <f t="shared" si="12"/>
        <v>2857720.3353268276</v>
      </c>
      <c r="V72" s="18">
        <f t="shared" si="10"/>
        <v>221574.97782497294</v>
      </c>
      <c r="W72" s="270">
        <f t="shared" si="11"/>
        <v>8.4052640418489158E-2</v>
      </c>
      <c r="Y72" s="18"/>
    </row>
    <row r="73" spans="1:30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Data'!X73</f>
        <v>2725064.1006996538</v>
      </c>
      <c r="E73" s="269">
        <f>'Monthly Data'!BL73</f>
        <v>272.9041666666667</v>
      </c>
      <c r="F73" s="269">
        <f>'Monthly Data'!BG73</f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1050929.47761405</v>
      </c>
      <c r="N73" s="18">
        <f>E73*'Large Use Predicted Monthly'!$Z$11</f>
        <v>112544.97166907943</v>
      </c>
      <c r="O73" s="18">
        <f>F73*'Large Use Predicted Monthly'!$Z$12</f>
        <v>0</v>
      </c>
      <c r="P73" s="18">
        <f>G73*'Large Use Predicted Monthly'!$Z$13</f>
        <v>-208522.05164563179</v>
      </c>
      <c r="Q73" s="18">
        <f>H73*'Large Use Predicted Monthly'!$Z$14</f>
        <v>2172165.2722322186</v>
      </c>
      <c r="R73" s="18">
        <f>I73*'Large Use Predicted Monthly'!$Z$15</f>
        <v>-344195.57839397498</v>
      </c>
      <c r="S73" s="18">
        <f>J73*'Large Use Predicted Monthly'!$Z$16</f>
        <v>0</v>
      </c>
      <c r="T73" s="18">
        <f>K73*'Large Use Predicted Monthly'!$Z$17</f>
        <v>39170.642342396925</v>
      </c>
      <c r="U73" s="18">
        <f t="shared" si="12"/>
        <v>2822092.7338181385</v>
      </c>
      <c r="V73" s="18">
        <f t="shared" si="10"/>
        <v>97028.633118484635</v>
      </c>
      <c r="W73" s="270">
        <f t="shared" si="11"/>
        <v>3.5606000274845923E-2</v>
      </c>
      <c r="Y73" s="18"/>
    </row>
    <row r="74" spans="1:30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 ca="1">'Monthly Data'!X74</f>
        <v>2863051.0296910401</v>
      </c>
      <c r="E74" s="269">
        <f>'Monthly Data'!BL74</f>
        <v>343.50416666666661</v>
      </c>
      <c r="F74" s="269">
        <f>'Monthly Data'!BG74</f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1050929.47761405</v>
      </c>
      <c r="N74" s="18">
        <f>E74*'Large Use Predicted Monthly'!$Z$11</f>
        <v>141660.22885583423</v>
      </c>
      <c r="O74" s="18">
        <f>F74*'Large Use Predicted Monthly'!$Z$12</f>
        <v>0</v>
      </c>
      <c r="P74" s="18">
        <f>G74*'Large Use Predicted Monthly'!$Z$13</f>
        <v>-211418.19125182109</v>
      </c>
      <c r="Q74" s="18">
        <f>H74*'Large Use Predicted Monthly'!$Z$14</f>
        <v>2172165.2722322186</v>
      </c>
      <c r="R74" s="18">
        <f>I74*'Large Use Predicted Monthly'!$Z$15</f>
        <v>-344195.57839397498</v>
      </c>
      <c r="S74" s="18">
        <f>J74*'Large Use Predicted Monthly'!$Z$16</f>
        <v>0</v>
      </c>
      <c r="T74" s="18">
        <f>K74*'Large Use Predicted Monthly'!$Z$17</f>
        <v>26678.62179479752</v>
      </c>
      <c r="U74" s="18">
        <f t="shared" si="12"/>
        <v>2835819.8308511046</v>
      </c>
      <c r="V74" s="18">
        <f t="shared" ca="1" si="10"/>
        <v>-27231.198839935474</v>
      </c>
      <c r="W74" s="270">
        <f t="shared" ca="1" si="11"/>
        <v>9.5112516534062858E-3</v>
      </c>
      <c r="Y74" s="18"/>
    </row>
    <row r="75" spans="1:30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 ca="1">'Monthly Data'!X75</f>
        <v>2497146.4742054013</v>
      </c>
      <c r="E75" s="269">
        <f>'Monthly Data'!BL75</f>
        <v>373.45416666666665</v>
      </c>
      <c r="F75" s="269">
        <f>'Monthly Data'!BG75</f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1050929.47761405</v>
      </c>
      <c r="N75" s="18">
        <f>E75*'Large Use Predicted Monthly'!$Z$11</f>
        <v>154011.53130262331</v>
      </c>
      <c r="O75" s="18">
        <f>F75*'Large Use Predicted Monthly'!$Z$12</f>
        <v>0</v>
      </c>
      <c r="P75" s="18">
        <f>G75*'Large Use Predicted Monthly'!$Z$13</f>
        <v>-214314.33085801042</v>
      </c>
      <c r="Q75" s="18">
        <f>H75*'Large Use Predicted Monthly'!$Z$14</f>
        <v>1961955.7297581332</v>
      </c>
      <c r="R75" s="18">
        <f>I75*'Large Use Predicted Monthly'!$Z$15</f>
        <v>-344195.57839397498</v>
      </c>
      <c r="S75" s="18">
        <f>J75*'Large Use Predicted Monthly'!$Z$16</f>
        <v>0</v>
      </c>
      <c r="T75" s="18">
        <f>K75*'Large Use Predicted Monthly'!$Z$17</f>
        <v>26678.62179479752</v>
      </c>
      <c r="U75" s="18">
        <f t="shared" si="12"/>
        <v>2635065.4512176188</v>
      </c>
      <c r="V75" s="18">
        <f t="shared" ca="1" si="10"/>
        <v>137918.97701221751</v>
      </c>
      <c r="W75" s="270">
        <f t="shared" ca="1" si="11"/>
        <v>5.5230631617676211E-2</v>
      </c>
      <c r="Y75" s="18"/>
    </row>
    <row r="76" spans="1:30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 ca="1">'Monthly Data'!X76</f>
        <v>3029704.918719762</v>
      </c>
      <c r="E76" s="269">
        <f>'Monthly Data'!BL76</f>
        <v>194.65054347826086</v>
      </c>
      <c r="F76" s="269">
        <f>'Monthly Data'!BG76</f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1050929.47761405</v>
      </c>
      <c r="N76" s="18">
        <f>E76*'Large Use Predicted Monthly'!$Z$11</f>
        <v>80273.380097891917</v>
      </c>
      <c r="O76" s="18">
        <f>F76*'Large Use Predicted Monthly'!$Z$12</f>
        <v>0</v>
      </c>
      <c r="P76" s="18">
        <f>G76*'Large Use Predicted Monthly'!$Z$13</f>
        <v>-217210.47046419975</v>
      </c>
      <c r="Q76" s="18">
        <f>H76*'Large Use Predicted Monthly'!$Z$14</f>
        <v>2172165.2722322186</v>
      </c>
      <c r="R76" s="18">
        <f>I76*'Large Use Predicted Monthly'!$Z$15</f>
        <v>-344195.57839397498</v>
      </c>
      <c r="S76" s="18">
        <f>J76*'Large Use Predicted Monthly'!$Z$16</f>
        <v>177044.57271687401</v>
      </c>
      <c r="T76" s="18">
        <f>K76*'Large Use Predicted Monthly'!$Z$17</f>
        <v>26678.62179479752</v>
      </c>
      <c r="U76" s="18">
        <f t="shared" si="12"/>
        <v>2945685.2755976575</v>
      </c>
      <c r="V76" s="18">
        <f t="shared" ca="1" si="10"/>
        <v>-84019.643122104462</v>
      </c>
      <c r="W76" s="270">
        <f t="shared" ca="1" si="11"/>
        <v>2.7731955875626317E-2</v>
      </c>
    </row>
    <row r="77" spans="1:30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 ca="1">'Monthly Data'!X77</f>
        <v>2753401.3632341232</v>
      </c>
      <c r="E77" s="269">
        <f>'Monthly Data'!BL77</f>
        <v>60.454166666666659</v>
      </c>
      <c r="F77" s="269">
        <f>'Monthly Data'!BG77</f>
        <v>3.7083333333333339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1050929.47761405</v>
      </c>
      <c r="N77" s="18">
        <f>E77*'Large Use Predicted Monthly'!$Z$11</f>
        <v>24931.141791939677</v>
      </c>
      <c r="O77" s="18">
        <f>F77*'Large Use Predicted Monthly'!$Z$12</f>
        <v>6690.2167455348081</v>
      </c>
      <c r="P77" s="18">
        <f>G77*'Large Use Predicted Monthly'!$Z$13</f>
        <v>-220106.61007038908</v>
      </c>
      <c r="Q77" s="18">
        <f>H77*'Large Use Predicted Monthly'!$Z$14</f>
        <v>2102095.424740857</v>
      </c>
      <c r="R77" s="18">
        <f>I77*'Large Use Predicted Monthly'!$Z$15</f>
        <v>-344195.57839397498</v>
      </c>
      <c r="S77" s="18">
        <f>J77*'Large Use Predicted Monthly'!$Z$16</f>
        <v>177044.57271687401</v>
      </c>
      <c r="T77" s="18">
        <f>K77*'Large Use Predicted Monthly'!$Z$17</f>
        <v>-12737.703251258697</v>
      </c>
      <c r="U77" s="18">
        <f t="shared" si="12"/>
        <v>2784650.9418936335</v>
      </c>
      <c r="V77" s="18">
        <f t="shared" ca="1" si="10"/>
        <v>31249.57865951024</v>
      </c>
      <c r="W77" s="270">
        <f t="shared" ca="1" si="11"/>
        <v>1.1349445481063007E-2</v>
      </c>
      <c r="Y77" s="18"/>
    </row>
    <row r="78" spans="1:30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 ca="1">'Monthly Data'!X78</f>
        <v>2873180.807748484</v>
      </c>
      <c r="E78" s="269">
        <f>'Monthly Data'!BL78</f>
        <v>8.125</v>
      </c>
      <c r="F78" s="269">
        <f>'Monthly Data'!BG78</f>
        <v>53.908333333333317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1050929.47761405</v>
      </c>
      <c r="N78" s="18">
        <f>E78*'Large Use Predicted Monthly'!$Z$11</f>
        <v>3350.7289609402701</v>
      </c>
      <c r="O78" s="18">
        <f>F78*'Large Use Predicted Monthly'!$Z$12</f>
        <v>97256.207026662145</v>
      </c>
      <c r="P78" s="18">
        <f>G78*'Large Use Predicted Monthly'!$Z$13</f>
        <v>-223002.74967657842</v>
      </c>
      <c r="Q78" s="18">
        <f>H78*'Large Use Predicted Monthly'!$Z$14</f>
        <v>2172165.2722322186</v>
      </c>
      <c r="R78" s="18">
        <f>I78*'Large Use Predicted Monthly'!$Z$15</f>
        <v>-344195.57839397498</v>
      </c>
      <c r="S78" s="18">
        <f>J78*'Large Use Predicted Monthly'!$Z$16</f>
        <v>177044.57271687401</v>
      </c>
      <c r="T78" s="18">
        <f>K78*'Large Use Predicted Monthly'!$Z$17</f>
        <v>-12737.703251258697</v>
      </c>
      <c r="U78" s="18">
        <f t="shared" si="12"/>
        <v>2920810.2272289335</v>
      </c>
      <c r="V78" s="18">
        <f t="shared" ca="1" si="10"/>
        <v>47629.41948044952</v>
      </c>
      <c r="W78" s="270">
        <f t="shared" ca="1" si="11"/>
        <v>1.6577244060659534E-2</v>
      </c>
      <c r="Y78" s="18"/>
      <c r="AB78" s="18"/>
      <c r="AC78" s="18"/>
      <c r="AD78" s="231"/>
    </row>
    <row r="79" spans="1:30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 ca="1">'Monthly Data'!X79</f>
        <v>3095392.2522628447</v>
      </c>
      <c r="E79" s="269">
        <f>'Monthly Data'!BL79</f>
        <v>0</v>
      </c>
      <c r="F79" s="269">
        <f>'Monthly Data'!BG79</f>
        <v>181.67499999999995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1050929.47761405</v>
      </c>
      <c r="N79" s="18">
        <f>E79*'Large Use Predicted Monthly'!$Z$11</f>
        <v>0</v>
      </c>
      <c r="O79" s="18">
        <f>F79*'Large Use Predicted Monthly'!$Z$12</f>
        <v>327760.48375147034</v>
      </c>
      <c r="P79" s="18">
        <f>G79*'Large Use Predicted Monthly'!$Z$13</f>
        <v>-225898.88928276775</v>
      </c>
      <c r="Q79" s="18">
        <f>H79*'Large Use Predicted Monthly'!$Z$14</f>
        <v>2102095.424740857</v>
      </c>
      <c r="R79" s="18">
        <f>I79*'Large Use Predicted Monthly'!$Z$15</f>
        <v>-344195.57839397498</v>
      </c>
      <c r="S79" s="18">
        <f>J79*'Large Use Predicted Monthly'!$Z$16</f>
        <v>0</v>
      </c>
      <c r="T79" s="18">
        <f>K79*'Large Use Predicted Monthly'!$Z$17</f>
        <v>-12737.703251258697</v>
      </c>
      <c r="U79" s="18">
        <f t="shared" si="12"/>
        <v>2897953.2151783765</v>
      </c>
      <c r="V79" s="18">
        <f t="shared" ca="1" si="10"/>
        <v>-197439.03708446817</v>
      </c>
      <c r="W79" s="270">
        <f t="shared" ca="1" si="11"/>
        <v>6.378481982053584E-2</v>
      </c>
      <c r="Y79" s="18"/>
      <c r="AB79" s="18"/>
      <c r="AC79" s="18"/>
      <c r="AD79" s="231"/>
    </row>
    <row r="80" spans="1:30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 ca="1">'Monthly Data'!X80</f>
        <v>3232857.6967772059</v>
      </c>
      <c r="E80" s="269">
        <f>'Monthly Data'!BL80</f>
        <v>0</v>
      </c>
      <c r="F80" s="269">
        <f>'Monthly Data'!BG80</f>
        <v>192.87499999999994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1050929.47761405</v>
      </c>
      <c r="N80" s="18">
        <f>E80*'Large Use Predicted Monthly'!$Z$11</f>
        <v>0</v>
      </c>
      <c r="O80" s="18">
        <f>F80*'Large Use Predicted Monthly'!$Z$12</f>
        <v>347966.44174247881</v>
      </c>
      <c r="P80" s="18">
        <f>G80*'Large Use Predicted Monthly'!$Z$13</f>
        <v>-228795.02888895708</v>
      </c>
      <c r="Q80" s="18">
        <f>H80*'Large Use Predicted Monthly'!$Z$14</f>
        <v>2172165.2722322186</v>
      </c>
      <c r="R80" s="18">
        <f>I80*'Large Use Predicted Monthly'!$Z$15</f>
        <v>-344195.57839397498</v>
      </c>
      <c r="S80" s="18">
        <f>J80*'Large Use Predicted Monthly'!$Z$16</f>
        <v>0</v>
      </c>
      <c r="T80" s="18">
        <f>K80*'Large Use Predicted Monthly'!$Z$17</f>
        <v>35794.080056207677</v>
      </c>
      <c r="U80" s="18">
        <f t="shared" si="12"/>
        <v>3033864.6643620236</v>
      </c>
      <c r="V80" s="18">
        <f t="shared" ca="1" si="10"/>
        <v>-198993.03241518233</v>
      </c>
      <c r="W80" s="270">
        <f t="shared" ca="1" si="11"/>
        <v>6.1553291570351491E-2</v>
      </c>
      <c r="Y80" s="18"/>
      <c r="AB80" s="18"/>
      <c r="AC80" s="18"/>
      <c r="AD80" s="231"/>
    </row>
    <row r="81" spans="1:30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 ca="1">'Monthly Data'!X81</f>
        <v>3572502.1412915667</v>
      </c>
      <c r="E81" s="269">
        <f>'Monthly Data'!BL81</f>
        <v>0</v>
      </c>
      <c r="F81" s="269">
        <f>'Monthly Data'!BG81</f>
        <v>266.0625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1050929.47761405</v>
      </c>
      <c r="N81" s="18">
        <f>E81*'Large Use Predicted Monthly'!$Z$11</f>
        <v>0</v>
      </c>
      <c r="O81" s="18">
        <f>F81*'Large Use Predicted Monthly'!$Z$12</f>
        <v>480004.25874845521</v>
      </c>
      <c r="P81" s="18">
        <f>G81*'Large Use Predicted Monthly'!$Z$13</f>
        <v>-231691.16849514641</v>
      </c>
      <c r="Q81" s="18">
        <f>H81*'Large Use Predicted Monthly'!$Z$14</f>
        <v>2172165.2722322186</v>
      </c>
      <c r="R81" s="18">
        <f>I81*'Large Use Predicted Monthly'!$Z$15</f>
        <v>-344195.57839397498</v>
      </c>
      <c r="S81" s="18">
        <f>J81*'Large Use Predicted Monthly'!$Z$16</f>
        <v>0</v>
      </c>
      <c r="T81" s="18">
        <f>K81*'Large Use Predicted Monthly'!$Z$17</f>
        <v>35794.080056207677</v>
      </c>
      <c r="U81" s="18">
        <f t="shared" si="12"/>
        <v>3163006.3417618107</v>
      </c>
      <c r="V81" s="18">
        <f t="shared" ca="1" si="10"/>
        <v>-409495.79952975595</v>
      </c>
      <c r="W81" s="270">
        <f t="shared" ca="1" si="11"/>
        <v>0.11462436783360777</v>
      </c>
      <c r="Y81" s="18"/>
      <c r="AB81" s="18"/>
      <c r="AC81" s="18"/>
      <c r="AD81" s="231"/>
    </row>
    <row r="82" spans="1:30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 ca="1">'Monthly Data'!X82</f>
        <v>3259588.5858059279</v>
      </c>
      <c r="E82" s="269">
        <f>'Monthly Data'!BL82</f>
        <v>0</v>
      </c>
      <c r="F82" s="269">
        <f>'Monthly Data'!BG82</f>
        <v>95.25833333333334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1050929.47761405</v>
      </c>
      <c r="N82" s="18">
        <f>E82*'Large Use Predicted Monthly'!$Z$11</f>
        <v>0</v>
      </c>
      <c r="O82" s="18">
        <f>F82*'Large Use Predicted Monthly'!$Z$12</f>
        <v>171855.88228810873</v>
      </c>
      <c r="P82" s="18">
        <f>G82*'Large Use Predicted Monthly'!$Z$13</f>
        <v>-234587.30810133574</v>
      </c>
      <c r="Q82" s="18">
        <f>H82*'Large Use Predicted Monthly'!$Z$14</f>
        <v>2102095.424740857</v>
      </c>
      <c r="R82" s="18">
        <f>I82*'Large Use Predicted Monthly'!$Z$15</f>
        <v>-344195.57839397498</v>
      </c>
      <c r="S82" s="18">
        <f>J82*'Large Use Predicted Monthly'!$Z$16</f>
        <v>177044.57271687401</v>
      </c>
      <c r="T82" s="18">
        <f>K82*'Large Use Predicted Monthly'!$Z$17</f>
        <v>35794.080056207677</v>
      </c>
      <c r="U82" s="18">
        <f t="shared" si="12"/>
        <v>2958936.5509207873</v>
      </c>
      <c r="V82" s="18">
        <f t="shared" ca="1" si="10"/>
        <v>-300652.0348851406</v>
      </c>
      <c r="W82" s="270">
        <f t="shared" ca="1" si="11"/>
        <v>9.223619084762652E-2</v>
      </c>
      <c r="Y82" s="18"/>
      <c r="AB82" s="18"/>
      <c r="AC82" s="18"/>
      <c r="AD82" s="231"/>
    </row>
    <row r="83" spans="1:30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 ca="1">'Monthly Data'!X83</f>
        <v>3128531.0303202886</v>
      </c>
      <c r="E83" s="269">
        <f>'Monthly Data'!BL83</f>
        <v>6.6666666666666643</v>
      </c>
      <c r="F83" s="269">
        <f>'Monthly Data'!BG83</f>
        <v>44.562500000000028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1050929.47761405</v>
      </c>
      <c r="N83" s="18">
        <f>E83*'Large Use Predicted Monthly'!$Z$11</f>
        <v>2749.3160705150922</v>
      </c>
      <c r="O83" s="18">
        <f>F83*'Large Use Predicted Monthly'!$Z$12</f>
        <v>80395.357408421129</v>
      </c>
      <c r="P83" s="18">
        <f>G83*'Large Use Predicted Monthly'!$Z$13</f>
        <v>-237483.44770752508</v>
      </c>
      <c r="Q83" s="18">
        <f>H83*'Large Use Predicted Monthly'!$Z$14</f>
        <v>2172165.2722322186</v>
      </c>
      <c r="R83" s="18">
        <f>I83*'Large Use Predicted Monthly'!$Z$15</f>
        <v>-344195.57839397498</v>
      </c>
      <c r="S83" s="18">
        <f>J83*'Large Use Predicted Monthly'!$Z$16</f>
        <v>177044.57271687401</v>
      </c>
      <c r="T83" s="18">
        <f>K83*'Large Use Predicted Monthly'!$Z$17</f>
        <v>39546.515880473962</v>
      </c>
      <c r="U83" s="18">
        <f t="shared" si="12"/>
        <v>2941151.4858210529</v>
      </c>
      <c r="V83" s="18">
        <f t="shared" ca="1" si="10"/>
        <v>-187379.54449923569</v>
      </c>
      <c r="W83" s="270">
        <f t="shared" ca="1" si="11"/>
        <v>5.9893778480455857E-2</v>
      </c>
      <c r="Y83" s="18"/>
      <c r="AB83" s="18"/>
      <c r="AC83" s="18"/>
      <c r="AD83" s="231"/>
    </row>
    <row r="84" spans="1:30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 ca="1">'Monthly Data'!X84</f>
        <v>3070979.4748346494</v>
      </c>
      <c r="E84" s="269">
        <f>'Monthly Data'!BL84</f>
        <v>148.50427018633536</v>
      </c>
      <c r="F84" s="269">
        <f>'Monthly Data'!BG84</f>
        <v>0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1050929.47761405</v>
      </c>
      <c r="N84" s="18">
        <f>E84*'Large Use Predicted Monthly'!$Z$11</f>
        <v>61242.776484511087</v>
      </c>
      <c r="O84" s="18">
        <f>F84*'Large Use Predicted Monthly'!$Z$12</f>
        <v>0</v>
      </c>
      <c r="P84" s="18">
        <f>G84*'Large Use Predicted Monthly'!$Z$13</f>
        <v>-240379.58731371441</v>
      </c>
      <c r="Q84" s="18">
        <f>H84*'Large Use Predicted Monthly'!$Z$14</f>
        <v>2102095.424740857</v>
      </c>
      <c r="R84" s="18">
        <f>I84*'Large Use Predicted Monthly'!$Z$15</f>
        <v>-344195.57839397498</v>
      </c>
      <c r="S84" s="18">
        <f>J84*'Large Use Predicted Monthly'!$Z$16</f>
        <v>177044.57271687401</v>
      </c>
      <c r="T84" s="18">
        <f>K84*'Large Use Predicted Monthly'!$Z$17</f>
        <v>39546.515880473962</v>
      </c>
      <c r="U84" s="18">
        <f t="shared" si="12"/>
        <v>2846283.6017290768</v>
      </c>
      <c r="V84" s="18">
        <f t="shared" ca="1" si="10"/>
        <v>-224695.87310557254</v>
      </c>
      <c r="W84" s="270">
        <f t="shared" ca="1" si="11"/>
        <v>7.3167494262614971E-2</v>
      </c>
      <c r="Y84" s="18"/>
      <c r="AB84" s="18"/>
      <c r="AC84" s="18"/>
      <c r="AD84" s="231"/>
    </row>
    <row r="85" spans="1:30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 ca="1">'Monthly Data'!X85</f>
        <v>3093923.9193490106</v>
      </c>
      <c r="E85" s="269">
        <f>'Monthly Data'!BL85</f>
        <v>225.45833333333331</v>
      </c>
      <c r="F85" s="269">
        <f>'Monthly Data'!BG85</f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1050929.47761405</v>
      </c>
      <c r="N85" s="18">
        <f>E85*'Large Use Predicted Monthly'!$Z$11</f>
        <v>92978.432859732304</v>
      </c>
      <c r="O85" s="18">
        <f>F85*'Large Use Predicted Monthly'!$Z$12</f>
        <v>0</v>
      </c>
      <c r="P85" s="18">
        <f>G85*'Large Use Predicted Monthly'!$Z$13</f>
        <v>-243275.72691990374</v>
      </c>
      <c r="Q85" s="18">
        <f>H85*'Large Use Predicted Monthly'!$Z$14</f>
        <v>2172165.2722322186</v>
      </c>
      <c r="R85" s="18">
        <f>I85*'Large Use Predicted Monthly'!$Z$15</f>
        <v>-344195.57839397498</v>
      </c>
      <c r="S85" s="18">
        <f>J85*'Large Use Predicted Monthly'!$Z$16</f>
        <v>0</v>
      </c>
      <c r="T85" s="18">
        <f>K85*'Large Use Predicted Monthly'!$Z$17</f>
        <v>39546.515880473962</v>
      </c>
      <c r="U85" s="18">
        <f t="shared" si="12"/>
        <v>2768148.3932725964</v>
      </c>
      <c r="V85" s="18">
        <f t="shared" ca="1" si="10"/>
        <v>-325775.52607641416</v>
      </c>
      <c r="W85" s="270">
        <f t="shared" ca="1" si="11"/>
        <v>0.10529526083012418</v>
      </c>
      <c r="Y85" s="18"/>
      <c r="AB85" s="18"/>
      <c r="AC85" s="18"/>
      <c r="AD85" s="231"/>
    </row>
    <row r="86" spans="1:30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 ca="1">'Monthly Data'!X86</f>
        <v>3050906.5880068415</v>
      </c>
      <c r="E86" s="269">
        <f>'Monthly Data'!BL86</f>
        <v>515.49166666666679</v>
      </c>
      <c r="F86" s="269">
        <f>'Monthly Data'!BG86</f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1050929.47761405</v>
      </c>
      <c r="N86" s="18">
        <f>E86*'Large Use Predicted Monthly'!$Z$11</f>
        <v>212587.42850749151</v>
      </c>
      <c r="O86" s="18">
        <f>F86*'Large Use Predicted Monthly'!$Z$12</f>
        <v>0</v>
      </c>
      <c r="P86" s="18">
        <f>G86*'Large Use Predicted Monthly'!$Z$13</f>
        <v>-246171.86652609307</v>
      </c>
      <c r="Q86" s="18">
        <f>H86*'Large Use Predicted Monthly'!$Z$14</f>
        <v>2172165.2722322186</v>
      </c>
      <c r="R86" s="18">
        <f>I86*'Large Use Predicted Monthly'!$Z$15</f>
        <v>-172097.78919698749</v>
      </c>
      <c r="S86" s="18">
        <f>J86*'Large Use Predicted Monthly'!$Z$16</f>
        <v>0</v>
      </c>
      <c r="T86" s="18">
        <f>K86*'Large Use Predicted Monthly'!$Z$17</f>
        <v>14323.091638119944</v>
      </c>
      <c r="U86" s="18">
        <f t="shared" si="12"/>
        <v>3031735.6142687993</v>
      </c>
      <c r="V86" s="18">
        <f t="shared" ca="1" si="10"/>
        <v>-19170.973738042172</v>
      </c>
      <c r="W86" s="270">
        <f t="shared" ca="1" si="11"/>
        <v>6.2836973814287041E-3</v>
      </c>
      <c r="Y86" s="18"/>
      <c r="AB86" s="18"/>
      <c r="AC86" s="18"/>
      <c r="AD86" s="231"/>
    </row>
    <row r="87" spans="1:30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 ca="1">'Monthly Data'!X87</f>
        <v>2729039.6698050834</v>
      </c>
      <c r="E87" s="269">
        <f>'Monthly Data'!BL87</f>
        <v>356.85</v>
      </c>
      <c r="F87" s="269">
        <f>'Monthly Data'!BG87</f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1050929.47761405</v>
      </c>
      <c r="N87" s="18">
        <f>E87*'Large Use Predicted Monthly'!$Z$11</f>
        <v>147164.01596449668</v>
      </c>
      <c r="O87" s="18">
        <f>F87*'Large Use Predicted Monthly'!$Z$12</f>
        <v>0</v>
      </c>
      <c r="P87" s="18">
        <f>G87*'Large Use Predicted Monthly'!$Z$13</f>
        <v>-249068.0061322824</v>
      </c>
      <c r="Q87" s="18">
        <f>H87*'Large Use Predicted Monthly'!$Z$14</f>
        <v>1961955.7297581332</v>
      </c>
      <c r="R87" s="18">
        <f>I87*'Large Use Predicted Monthly'!$Z$15</f>
        <v>-172097.78919698749</v>
      </c>
      <c r="S87" s="18">
        <f>J87*'Large Use Predicted Monthly'!$Z$16</f>
        <v>0</v>
      </c>
      <c r="T87" s="18">
        <f>K87*'Large Use Predicted Monthly'!$Z$17</f>
        <v>14323.091638119944</v>
      </c>
      <c r="U87" s="18">
        <f t="shared" si="12"/>
        <v>2753206.5196455298</v>
      </c>
      <c r="V87" s="18">
        <f t="shared" ca="1" si="10"/>
        <v>24166.849840446375</v>
      </c>
      <c r="W87" s="270">
        <f t="shared" ca="1" si="11"/>
        <v>8.8554410211898627E-3</v>
      </c>
      <c r="Y87" s="18"/>
      <c r="AB87" s="18"/>
      <c r="AC87" s="18"/>
      <c r="AD87" s="231"/>
    </row>
    <row r="88" spans="1:30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 ca="1">'Monthly Data'!X88</f>
        <v>3180468.7516033254</v>
      </c>
      <c r="E88" s="269">
        <f>'Monthly Data'!BL88</f>
        <v>236.04166666666666</v>
      </c>
      <c r="F88" s="269">
        <f>'Monthly Data'!BG88</f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1050929.47761405</v>
      </c>
      <c r="N88" s="18">
        <f>E88*'Large Use Predicted Monthly'!$Z$11</f>
        <v>97342.972121675019</v>
      </c>
      <c r="O88" s="18">
        <f>F88*'Large Use Predicted Monthly'!$Z$12</f>
        <v>0</v>
      </c>
      <c r="P88" s="18">
        <f>G88*'Large Use Predicted Monthly'!$Z$13</f>
        <v>-251964.14573847174</v>
      </c>
      <c r="Q88" s="18">
        <f>H88*'Large Use Predicted Monthly'!$Z$14</f>
        <v>2172165.2722322186</v>
      </c>
      <c r="R88" s="18">
        <f>I88*'Large Use Predicted Monthly'!$Z$15</f>
        <v>-172097.78919698749</v>
      </c>
      <c r="S88" s="18">
        <f>J88*'Large Use Predicted Monthly'!$Z$16</f>
        <v>177044.57271687401</v>
      </c>
      <c r="T88" s="18">
        <f>K88*'Large Use Predicted Monthly'!$Z$17</f>
        <v>14323.091638119944</v>
      </c>
      <c r="U88" s="18">
        <f t="shared" si="12"/>
        <v>3087743.451387478</v>
      </c>
      <c r="V88" s="18">
        <f t="shared" ca="1" si="10"/>
        <v>-92725.300215847325</v>
      </c>
      <c r="W88" s="270">
        <f t="shared" ca="1" si="11"/>
        <v>2.915460187090441E-2</v>
      </c>
      <c r="Y88" s="18"/>
    </row>
    <row r="89" spans="1:30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 ca="1">'Monthly Data'!X89</f>
        <v>3004048.8334015678</v>
      </c>
      <c r="E89" s="269">
        <f>'Monthly Data'!BL89</f>
        <v>75.575000000000003</v>
      </c>
      <c r="F89" s="269">
        <f>'Monthly Data'!BG89</f>
        <v>0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1050929.47761405</v>
      </c>
      <c r="N89" s="18">
        <f>E89*'Large Use Predicted Monthly'!$Z$11</f>
        <v>31166.934304376729</v>
      </c>
      <c r="O89" s="18">
        <f>F89*'Large Use Predicted Monthly'!$Z$12</f>
        <v>0</v>
      </c>
      <c r="P89" s="18">
        <f>G89*'Large Use Predicted Monthly'!$Z$13</f>
        <v>-254860.28534466104</v>
      </c>
      <c r="Q89" s="18">
        <f>H89*'Large Use Predicted Monthly'!$Z$14</f>
        <v>2102095.424740857</v>
      </c>
      <c r="R89" s="18">
        <f>I89*'Large Use Predicted Monthly'!$Z$15</f>
        <v>-172097.78919698749</v>
      </c>
      <c r="S89" s="18">
        <f>J89*'Large Use Predicted Monthly'!$Z$16</f>
        <v>177044.57271687401</v>
      </c>
      <c r="T89" s="18">
        <f>K89*'Large Use Predicted Monthly'!$Z$17</f>
        <v>13445.353431884181</v>
      </c>
      <c r="U89" s="18">
        <f t="shared" si="12"/>
        <v>2947723.6882663937</v>
      </c>
      <c r="V89" s="18">
        <f t="shared" ca="1" si="10"/>
        <v>-56325.14513517404</v>
      </c>
      <c r="W89" s="270">
        <f t="shared" ca="1" si="11"/>
        <v>1.87497435157855E-2</v>
      </c>
      <c r="AD89" s="277"/>
    </row>
    <row r="90" spans="1:30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 ca="1">'Monthly Data'!X90</f>
        <v>3112606.9151998097</v>
      </c>
      <c r="E90" s="269">
        <f>'Monthly Data'!BL90</f>
        <v>0</v>
      </c>
      <c r="F90" s="269">
        <f>'Monthly Data'!BG90</f>
        <v>72.362499999999997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1050929.47761405</v>
      </c>
      <c r="N90" s="18">
        <f>E90*'Large Use Predicted Monthly'!$Z$11</f>
        <v>0</v>
      </c>
      <c r="O90" s="18">
        <f>F90*'Large Use Predicted Monthly'!$Z$12</f>
        <v>130549.43170753145</v>
      </c>
      <c r="P90" s="18">
        <f>G90*'Large Use Predicted Monthly'!$Z$13</f>
        <v>-257756.42495085037</v>
      </c>
      <c r="Q90" s="18">
        <f>H90*'Large Use Predicted Monthly'!$Z$14</f>
        <v>2172165.2722322186</v>
      </c>
      <c r="R90" s="18">
        <f>I90*'Large Use Predicted Monthly'!$Z$15</f>
        <v>-172097.78919698749</v>
      </c>
      <c r="S90" s="18">
        <f>J90*'Large Use Predicted Monthly'!$Z$16</f>
        <v>177044.57271687401</v>
      </c>
      <c r="T90" s="18">
        <f>K90*'Large Use Predicted Monthly'!$Z$17</f>
        <v>13445.353431884181</v>
      </c>
      <c r="U90" s="18">
        <f t="shared" si="12"/>
        <v>3114279.8935547201</v>
      </c>
      <c r="V90" s="18">
        <f t="shared" ca="1" si="10"/>
        <v>1672.9783549103886</v>
      </c>
      <c r="W90" s="270">
        <f t="shared" ca="1" si="11"/>
        <v>5.3748462317574524E-4</v>
      </c>
    </row>
    <row r="91" spans="1:30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 ca="1">'Monthly Data'!X91</f>
        <v>3101225.9969980521</v>
      </c>
      <c r="E91" s="269">
        <f>'Monthly Data'!BL91</f>
        <v>0</v>
      </c>
      <c r="F91" s="269">
        <f>'Monthly Data'!BG91</f>
        <v>120.92250416250417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1050929.47761405</v>
      </c>
      <c r="N91" s="18">
        <f>E91*'Large Use Predicted Monthly'!$Z$11</f>
        <v>0</v>
      </c>
      <c r="O91" s="18">
        <f>F91*'Large Use Predicted Monthly'!$Z$12</f>
        <v>218156.6999352776</v>
      </c>
      <c r="P91" s="18">
        <f>G91*'Large Use Predicted Monthly'!$Z$13</f>
        <v>-260652.5645570397</v>
      </c>
      <c r="Q91" s="18">
        <f>H91*'Large Use Predicted Monthly'!$Z$14</f>
        <v>2102095.424740857</v>
      </c>
      <c r="R91" s="18">
        <f>I91*'Large Use Predicted Monthly'!$Z$15</f>
        <v>-172097.78919698749</v>
      </c>
      <c r="S91" s="18">
        <f>J91*'Large Use Predicted Monthly'!$Z$16</f>
        <v>0</v>
      </c>
      <c r="T91" s="18">
        <f>K91*'Large Use Predicted Monthly'!$Z$17</f>
        <v>13445.353431884181</v>
      </c>
      <c r="U91" s="18">
        <f t="shared" si="12"/>
        <v>2951876.6019680416</v>
      </c>
      <c r="V91" s="18">
        <f t="shared" ca="1" si="10"/>
        <v>-149349.39503001049</v>
      </c>
      <c r="W91" s="270">
        <f t="shared" ca="1" si="11"/>
        <v>4.8158178467025248E-2</v>
      </c>
    </row>
    <row r="92" spans="1:30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 ca="1">'Monthly Data'!X92</f>
        <v>2818016.0787962941</v>
      </c>
      <c r="E92" s="269">
        <f>'Monthly Data'!BL92</f>
        <v>0</v>
      </c>
      <c r="F92" s="269">
        <f>'Monthly Data'!BG92</f>
        <v>221.8543382913806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1050929.47761405</v>
      </c>
      <c r="N92" s="18">
        <f>E92*'Large Use Predicted Monthly'!$Z$11</f>
        <v>0</v>
      </c>
      <c r="O92" s="18">
        <f>F92*'Large Use Predicted Monthly'!$Z$12</f>
        <v>400248.1642534486</v>
      </c>
      <c r="P92" s="18">
        <f>G92*'Large Use Predicted Monthly'!$Z$13</f>
        <v>-263548.70416322903</v>
      </c>
      <c r="Q92" s="18">
        <f>H92*'Large Use Predicted Monthly'!$Z$14</f>
        <v>2172165.2722322186</v>
      </c>
      <c r="R92" s="18">
        <f>I92*'Large Use Predicted Monthly'!$Z$15</f>
        <v>-172097.78919698749</v>
      </c>
      <c r="S92" s="18">
        <f>J92*'Large Use Predicted Monthly'!$Z$16</f>
        <v>0</v>
      </c>
      <c r="T92" s="18">
        <f>K92*'Large Use Predicted Monthly'!$Z$17</f>
        <v>2851.5992441822141</v>
      </c>
      <c r="U92" s="18">
        <f t="shared" si="12"/>
        <v>3190548.0199836828</v>
      </c>
      <c r="V92" s="18">
        <f t="shared" ca="1" si="10"/>
        <v>372531.94118738873</v>
      </c>
      <c r="W92" s="270">
        <f t="shared" ca="1" si="11"/>
        <v>0.13219652790147118</v>
      </c>
    </row>
    <row r="93" spans="1:30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 ca="1">'Monthly Data'!X93</f>
        <v>2756386.160594536</v>
      </c>
      <c r="E93" s="269">
        <f>'Monthly Data'!BL93</f>
        <v>0</v>
      </c>
      <c r="F93" s="269">
        <f>'Monthly Data'!BG93</f>
        <v>228.28333333333333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1050929.47761405</v>
      </c>
      <c r="N93" s="18">
        <f>E93*'Large Use Predicted Monthly'!$Z$11</f>
        <v>0</v>
      </c>
      <c r="O93" s="18">
        <f>F93*'Large Use Predicted Monthly'!$Z$12</f>
        <v>411846.73601613595</v>
      </c>
      <c r="P93" s="18">
        <f>G93*'Large Use Predicted Monthly'!$Z$13</f>
        <v>-266444.84376941837</v>
      </c>
      <c r="Q93" s="18">
        <f>H93*'Large Use Predicted Monthly'!$Z$14</f>
        <v>2172165.2722322186</v>
      </c>
      <c r="R93" s="18">
        <f>I93*'Large Use Predicted Monthly'!$Z$15</f>
        <v>-172097.78919698749</v>
      </c>
      <c r="S93" s="18">
        <f>J93*'Large Use Predicted Monthly'!$Z$16</f>
        <v>0</v>
      </c>
      <c r="T93" s="18">
        <f>K93*'Large Use Predicted Monthly'!$Z$17</f>
        <v>2851.5992441822141</v>
      </c>
      <c r="U93" s="18">
        <f t="shared" si="12"/>
        <v>3199250.4521401804</v>
      </c>
      <c r="V93" s="18">
        <f t="shared" ca="1" si="10"/>
        <v>442864.2915456444</v>
      </c>
      <c r="W93" s="270">
        <f t="shared" ca="1" si="11"/>
        <v>0.16066844982639197</v>
      </c>
    </row>
    <row r="94" spans="1:30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 ca="1">'Monthly Data'!X94</f>
        <v>2775798.2423927784</v>
      </c>
      <c r="E94" s="269">
        <f>'Monthly Data'!BL94</f>
        <v>0</v>
      </c>
      <c r="F94" s="269">
        <f>'Monthly Data'!BG94</f>
        <v>94.054166666666674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1050929.47761405</v>
      </c>
      <c r="N94" s="18">
        <f>E94*'Large Use Predicted Monthly'!$Z$11</f>
        <v>0</v>
      </c>
      <c r="O94" s="18">
        <f>F94*'Large Use Predicted Monthly'!$Z$12</f>
        <v>169683.44112017663</v>
      </c>
      <c r="P94" s="18">
        <f>G94*'Large Use Predicted Monthly'!$Z$13</f>
        <v>-269340.9833756077</v>
      </c>
      <c r="Q94" s="18">
        <f>H94*'Large Use Predicted Monthly'!$Z$14</f>
        <v>2102095.424740857</v>
      </c>
      <c r="R94" s="18">
        <f>I94*'Large Use Predicted Monthly'!$Z$15</f>
        <v>-172097.78919698749</v>
      </c>
      <c r="S94" s="18">
        <f>J94*'Large Use Predicted Monthly'!$Z$16</f>
        <v>177044.57271687401</v>
      </c>
      <c r="T94" s="18">
        <f>K94*'Large Use Predicted Monthly'!$Z$17</f>
        <v>2851.5992441822141</v>
      </c>
      <c r="U94" s="18">
        <f t="shared" si="12"/>
        <v>3061165.7428635443</v>
      </c>
      <c r="V94" s="18">
        <f t="shared" ca="1" si="10"/>
        <v>285367.50047076587</v>
      </c>
      <c r="W94" s="270">
        <f t="shared" ca="1" si="11"/>
        <v>0.10280556277922236</v>
      </c>
    </row>
    <row r="95" spans="1:30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 ca="1">'Monthly Data'!X95</f>
        <v>2678660.3241910203</v>
      </c>
      <c r="E95" s="269">
        <f>'Monthly Data'!BL95</f>
        <v>23.659782608695654</v>
      </c>
      <c r="F95" s="269">
        <f>'Monthly Data'!BG95</f>
        <v>2.4208333333333307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1050929.47761405</v>
      </c>
      <c r="N95" s="18">
        <f>E95*'Large Use Predicted Monthly'!$Z$11</f>
        <v>9757.2330826470716</v>
      </c>
      <c r="O95" s="18">
        <f>F95*'Large Use Predicted Monthly'!$Z$12</f>
        <v>4367.4336282648528</v>
      </c>
      <c r="P95" s="18">
        <f>G95*'Large Use Predicted Monthly'!$Z$13</f>
        <v>-272237.12298179703</v>
      </c>
      <c r="Q95" s="18">
        <f>H95*'Large Use Predicted Monthly'!$Z$14</f>
        <v>2172165.2722322186</v>
      </c>
      <c r="R95" s="18">
        <f>I95*'Large Use Predicted Monthly'!$Z$15</f>
        <v>-172097.78919698749</v>
      </c>
      <c r="S95" s="18">
        <f>J95*'Large Use Predicted Monthly'!$Z$16</f>
        <v>177044.57271687401</v>
      </c>
      <c r="T95" s="18">
        <f>K95*'Large Use Predicted Monthly'!$Z$17</f>
        <v>-1994.859559626733</v>
      </c>
      <c r="U95" s="18">
        <f t="shared" si="12"/>
        <v>2967934.2175356434</v>
      </c>
      <c r="V95" s="18">
        <f t="shared" ca="1" si="10"/>
        <v>289273.89334462304</v>
      </c>
      <c r="W95" s="270">
        <f t="shared" ca="1" si="11"/>
        <v>0.10799200284268456</v>
      </c>
    </row>
    <row r="96" spans="1:30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 ca="1">'Monthly Data'!X96</f>
        <v>2621309.4059892627</v>
      </c>
      <c r="E96" s="269">
        <f>'Monthly Data'!BL96</f>
        <v>138.80000000000001</v>
      </c>
      <c r="F96" s="269">
        <f>'Monthly Data'!BG96</f>
        <v>2.3083333333333318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1050929.47761405</v>
      </c>
      <c r="N96" s="18">
        <f>E96*'Large Use Predicted Monthly'!$Z$11</f>
        <v>57240.760588124249</v>
      </c>
      <c r="O96" s="18">
        <f>F96*'Large Use Predicted Monthly'!$Z$12</f>
        <v>4164.4719966587427</v>
      </c>
      <c r="P96" s="18">
        <f>G96*'Large Use Predicted Monthly'!$Z$13</f>
        <v>-275133.26258798636</v>
      </c>
      <c r="Q96" s="18">
        <f>H96*'Large Use Predicted Monthly'!$Z$14</f>
        <v>2102095.424740857</v>
      </c>
      <c r="R96" s="18">
        <f>I96*'Large Use Predicted Monthly'!$Z$15</f>
        <v>-172097.78919698749</v>
      </c>
      <c r="S96" s="18">
        <f>J96*'Large Use Predicted Monthly'!$Z$16</f>
        <v>177044.57271687401</v>
      </c>
      <c r="T96" s="18">
        <f>K96*'Large Use Predicted Monthly'!$Z$17</f>
        <v>-1994.859559626733</v>
      </c>
      <c r="U96" s="18">
        <f t="shared" si="12"/>
        <v>2942248.7963119629</v>
      </c>
      <c r="V96" s="18">
        <f t="shared" ca="1" si="10"/>
        <v>320939.39032270014</v>
      </c>
      <c r="W96" s="270">
        <f t="shared" ca="1" si="11"/>
        <v>0.12243476088301755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 ca="1">'Monthly Data'!X97</f>
        <v>2436437.4877875047</v>
      </c>
      <c r="E97" s="269">
        <f>'Monthly Data'!BL97</f>
        <v>275.12083333333322</v>
      </c>
      <c r="F97" s="269">
        <f>'Monthly Data'!BG97</f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1050929.47761405</v>
      </c>
      <c r="N97" s="18">
        <f>E97*'Large Use Predicted Monthly'!$Z$11</f>
        <v>113459.11926252564</v>
      </c>
      <c r="O97" s="18">
        <f>F97*'Large Use Predicted Monthly'!$Z$12</f>
        <v>0</v>
      </c>
      <c r="P97" s="18">
        <f>G97*'Large Use Predicted Monthly'!$Z$13</f>
        <v>-278029.40219417569</v>
      </c>
      <c r="Q97" s="18">
        <f>H97*'Large Use Predicted Monthly'!$Z$14</f>
        <v>2172165.2722322186</v>
      </c>
      <c r="R97" s="18">
        <f>I97*'Large Use Predicted Monthly'!$Z$15</f>
        <v>-172097.78919698749</v>
      </c>
      <c r="S97" s="18">
        <f>J97*'Large Use Predicted Monthly'!$Z$16</f>
        <v>0</v>
      </c>
      <c r="T97" s="18">
        <f>K97*'Large Use Predicted Monthly'!$Z$17</f>
        <v>-1994.859559626733</v>
      </c>
      <c r="U97" s="18">
        <f t="shared" si="12"/>
        <v>2884431.818158004</v>
      </c>
      <c r="V97" s="18">
        <f t="shared" ca="1" si="10"/>
        <v>447994.33037049929</v>
      </c>
      <c r="W97" s="270">
        <f t="shared" ca="1" si="11"/>
        <v>0.18387269635114536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 ca="1">'Monthly Data'!X98</f>
        <v>2758459.4623416918</v>
      </c>
      <c r="E98" s="269">
        <f>'Monthly Data'!BL98</f>
        <v>294.07083333333327</v>
      </c>
      <c r="F98" s="269">
        <f>'Monthly Data'!BG98</f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1050929.47761405</v>
      </c>
      <c r="N98" s="18">
        <f>E98*'Large Use Predicted Monthly'!$Z$11</f>
        <v>121274.05019296482</v>
      </c>
      <c r="O98" s="18">
        <f>F98*'Large Use Predicted Monthly'!$Z$12</f>
        <v>0</v>
      </c>
      <c r="P98" s="18">
        <f>G98*'Large Use Predicted Monthly'!$Z$13</f>
        <v>-280925.54180036503</v>
      </c>
      <c r="Q98" s="18">
        <f>H98*'Large Use Predicted Monthly'!$Z$14</f>
        <v>2172165.2722322186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18119.624357914821</v>
      </c>
      <c r="U98" s="18">
        <f t="shared" si="12"/>
        <v>3081562.8825967833</v>
      </c>
      <c r="V98" s="18">
        <f t="shared" ref="V98:V121" ca="1" si="13">U98-D98</f>
        <v>323103.42025509151</v>
      </c>
      <c r="W98" s="270">
        <f t="shared" ref="W98:W121" ca="1" si="14">ABS(V98/D98)</f>
        <v>0.11713183560102233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 ca="1">'Monthly Data'!X99</f>
        <v>2616230.4095863421</v>
      </c>
      <c r="E99" s="269">
        <f>'Monthly Data'!BL99</f>
        <v>293.51666666666665</v>
      </c>
      <c r="F99" s="269">
        <f>'Monthly Data'!BG99</f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1050929.47761405</v>
      </c>
      <c r="N99" s="18">
        <f>E99*'Large Use Predicted Monthly'!$Z$11</f>
        <v>121045.51329460327</v>
      </c>
      <c r="O99" s="18">
        <f>F99*'Large Use Predicted Monthly'!$Z$12</f>
        <v>0</v>
      </c>
      <c r="P99" s="18">
        <f>G99*'Large Use Predicted Monthly'!$Z$13</f>
        <v>-283821.68140655436</v>
      </c>
      <c r="Q99" s="18">
        <f>H99*'Large Use Predicted Monthly'!$Z$14</f>
        <v>1961955.7297581332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18119.624357914821</v>
      </c>
      <c r="U99" s="18">
        <f t="shared" si="12"/>
        <v>2868228.6636181469</v>
      </c>
      <c r="V99" s="18">
        <f t="shared" ca="1" si="13"/>
        <v>251998.25403180486</v>
      </c>
      <c r="W99" s="270">
        <f t="shared" ca="1" si="14"/>
        <v>9.6321124128990174E-2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 ca="1">'Monthly Data'!X100</f>
        <v>2780590.4843076039</v>
      </c>
      <c r="E100" s="269">
        <f>'Monthly Data'!BL100</f>
        <v>241.03333333333333</v>
      </c>
      <c r="F100" s="269">
        <f>'Monthly Data'!BG100</f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1050929.47761405</v>
      </c>
      <c r="N100" s="18">
        <f>E100*'Large Use Predicted Monthly'!$Z$11</f>
        <v>99401.522529473194</v>
      </c>
      <c r="O100" s="18">
        <f>F100*'Large Use Predicted Monthly'!$Z$12</f>
        <v>0</v>
      </c>
      <c r="P100" s="18">
        <f>G100*'Large Use Predicted Monthly'!$Z$13</f>
        <v>-286717.82101274369</v>
      </c>
      <c r="Q100" s="18">
        <f>H100*'Large Use Predicted Monthly'!$Z$14</f>
        <v>2172165.2722322186</v>
      </c>
      <c r="R100" s="18">
        <f>I100*'Large Use Predicted Monthly'!$Z$15</f>
        <v>0</v>
      </c>
      <c r="S100" s="18">
        <f>J100*'Large Use Predicted Monthly'!$Z$16</f>
        <v>177044.57271687401</v>
      </c>
      <c r="T100" s="18">
        <f>K100*'Large Use Predicted Monthly'!$Z$17</f>
        <v>18119.624357914821</v>
      </c>
      <c r="U100" s="18">
        <f t="shared" si="12"/>
        <v>3230942.6484377873</v>
      </c>
      <c r="V100" s="18">
        <f t="shared" ca="1" si="13"/>
        <v>450352.1641301834</v>
      </c>
      <c r="W100" s="270">
        <f t="shared" ca="1" si="14"/>
        <v>0.16196277973033696</v>
      </c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 ca="1">'Monthly Data'!X101</f>
        <v>2558927.3624398937</v>
      </c>
      <c r="E101" s="269">
        <f>'Monthly Data'!BL101</f>
        <v>58.116666666666674</v>
      </c>
      <c r="F101" s="269">
        <f>'Monthly Data'!BG101</f>
        <v>11.71666666666667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1050929.47761405</v>
      </c>
      <c r="N101" s="18">
        <f>E101*'Large Use Predicted Monthly'!$Z$11</f>
        <v>23967.162844715331</v>
      </c>
      <c r="O101" s="18">
        <f>F101*'Large Use Predicted Monthly'!$Z$12</f>
        <v>21138.078076903239</v>
      </c>
      <c r="P101" s="18">
        <f>G101*'Large Use Predicted Monthly'!$Z$13</f>
        <v>-289613.96061893302</v>
      </c>
      <c r="Q101" s="18">
        <f>H101*'Large Use Predicted Monthly'!$Z$14</f>
        <v>2102095.424740857</v>
      </c>
      <c r="R101" s="18">
        <f>I101*'Large Use Predicted Monthly'!$Z$15</f>
        <v>0</v>
      </c>
      <c r="S101" s="18">
        <f>J101*'Large Use Predicted Monthly'!$Z$16</f>
        <v>177044.57271687401</v>
      </c>
      <c r="T101" s="18">
        <f>K101*'Large Use Predicted Monthly'!$Z$17</f>
        <v>10173.783754096339</v>
      </c>
      <c r="U101" s="18">
        <f t="shared" si="12"/>
        <v>3095734.5391285634</v>
      </c>
      <c r="V101" s="18">
        <f t="shared" ca="1" si="13"/>
        <v>536807.17668866972</v>
      </c>
      <c r="W101" s="270">
        <f t="shared" ca="1" si="14"/>
        <v>0.20977820025998442</v>
      </c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 ca="1">'Monthly Data'!X102</f>
        <v>2654993.3431646051</v>
      </c>
      <c r="E102" s="269">
        <f>'Monthly Data'!BL102</f>
        <v>7.2058333333333309</v>
      </c>
      <c r="F102" s="269">
        <f>'Monthly Data'!BG102</f>
        <v>37.345833333333331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1050929.47761405</v>
      </c>
      <c r="N102" s="18">
        <f>E102*'Large Use Predicted Monthly'!$Z$11</f>
        <v>2971.6670077180006</v>
      </c>
      <c r="O102" s="18">
        <f>F102*'Large Use Predicted Monthly'!$Z$12</f>
        <v>67375.744595762328</v>
      </c>
      <c r="P102" s="18">
        <f>G102*'Large Use Predicted Monthly'!$Z$13</f>
        <v>-292510.10022512235</v>
      </c>
      <c r="Q102" s="18">
        <f>H102*'Large Use Predicted Monthly'!$Z$14</f>
        <v>2172165.2722322186</v>
      </c>
      <c r="R102" s="18">
        <f>I102*'Large Use Predicted Monthly'!$Z$15</f>
        <v>0</v>
      </c>
      <c r="S102" s="18">
        <f>J102*'Large Use Predicted Monthly'!$Z$16</f>
        <v>177044.57271687401</v>
      </c>
      <c r="T102" s="18">
        <f>K102*'Large Use Predicted Monthly'!$Z$17</f>
        <v>10173.783754096339</v>
      </c>
      <c r="U102" s="18">
        <f t="shared" si="12"/>
        <v>3188150.4176955968</v>
      </c>
      <c r="V102" s="18">
        <f t="shared" ca="1" si="13"/>
        <v>533157.07453099173</v>
      </c>
      <c r="W102" s="270">
        <f t="shared" ca="1" si="14"/>
        <v>0.20081296094531748</v>
      </c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 ca="1">'Monthly Data'!X103</f>
        <v>2595209.3297967082</v>
      </c>
      <c r="E103" s="269">
        <f>'Monthly Data'!BL103</f>
        <v>0</v>
      </c>
      <c r="F103" s="269">
        <f>'Monthly Data'!BG103</f>
        <v>145.54166666666666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1050929.47761405</v>
      </c>
      <c r="N103" s="18">
        <f>E103*'Large Use Predicted Monthly'!$Z$11</f>
        <v>0</v>
      </c>
      <c r="O103" s="18">
        <f>F103*'Large Use Predicted Monthly'!$Z$12</f>
        <v>262572.21451857395</v>
      </c>
      <c r="P103" s="18">
        <f>G103*'Large Use Predicted Monthly'!$Z$13</f>
        <v>-295406.23983131169</v>
      </c>
      <c r="Q103" s="18">
        <f>H103*'Large Use Predicted Monthly'!$Z$14</f>
        <v>2102095.424740857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10173.783754096339</v>
      </c>
      <c r="U103" s="18">
        <f t="shared" si="12"/>
        <v>3130364.6607962656</v>
      </c>
      <c r="V103" s="18">
        <f t="shared" ca="1" si="13"/>
        <v>535155.33099955739</v>
      </c>
      <c r="W103" s="270">
        <f t="shared" ca="1" si="14"/>
        <v>0.2062089269082113</v>
      </c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 ca="1">'Monthly Data'!X104</f>
        <v>2715420.4635783192</v>
      </c>
      <c r="E104" s="269">
        <f>'Monthly Data'!BL104</f>
        <v>0</v>
      </c>
      <c r="F104" s="269">
        <f>'Monthly Data'!BG104</f>
        <v>223.78333333333336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1050929.47761405</v>
      </c>
      <c r="N104" s="18">
        <f>E104*'Large Use Predicted Monthly'!$Z$11</f>
        <v>0</v>
      </c>
      <c r="O104" s="18">
        <f>F104*'Large Use Predicted Monthly'!$Z$12</f>
        <v>403728.27075189154</v>
      </c>
      <c r="P104" s="18">
        <f>G104*'Large Use Predicted Monthly'!$Z$13</f>
        <v>-298302.37943750102</v>
      </c>
      <c r="Q104" s="18">
        <f>H104*'Large Use Predicted Monthly'!$Z$14</f>
        <v>2172165.2722322186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4615.4750653258516</v>
      </c>
      <c r="U104" s="18">
        <f t="shared" si="12"/>
        <v>3333136.1162259849</v>
      </c>
      <c r="V104" s="18">
        <f t="shared" ca="1" si="13"/>
        <v>617715.6526476657</v>
      </c>
      <c r="W104" s="270">
        <f t="shared" ca="1" si="14"/>
        <v>0.22748434761136554</v>
      </c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 ca="1">'Monthly Data'!X105</f>
        <v>2981865.5485351835</v>
      </c>
      <c r="E105" s="269">
        <f>'Monthly Data'!BL105</f>
        <v>0</v>
      </c>
      <c r="F105" s="269">
        <f>'Monthly Data'!BG105</f>
        <v>165.80489130434788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1050929.47761405</v>
      </c>
      <c r="N105" s="18">
        <f>E105*'Large Use Predicted Monthly'!$Z$11</f>
        <v>0</v>
      </c>
      <c r="O105" s="18">
        <f>F105*'Large Use Predicted Monthly'!$Z$12</f>
        <v>299129.16682137351</v>
      </c>
      <c r="P105" s="18">
        <f>G105*'Large Use Predicted Monthly'!$Z$13</f>
        <v>-301198.51904369035</v>
      </c>
      <c r="Q105" s="18">
        <f>H105*'Large Use Predicted Monthly'!$Z$14</f>
        <v>2172165.2722322186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4615.4750653258516</v>
      </c>
      <c r="U105" s="18">
        <f t="shared" si="12"/>
        <v>3225640.8726892774</v>
      </c>
      <c r="V105" s="18">
        <f t="shared" ca="1" si="13"/>
        <v>243775.32415409386</v>
      </c>
      <c r="W105" s="270">
        <f t="shared" ca="1" si="14"/>
        <v>8.1752621030765943E-2</v>
      </c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 ca="1">'Monthly Data'!X106</f>
        <v>2990007.7127823671</v>
      </c>
      <c r="E106" s="269">
        <f>'Monthly Data'!BL106</f>
        <v>0</v>
      </c>
      <c r="F106" s="269">
        <f>'Monthly Data'!BG106</f>
        <v>105.35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1050929.47761405</v>
      </c>
      <c r="N106" s="18">
        <f>E106*'Large Use Predicted Monthly'!$Z$11</f>
        <v>0</v>
      </c>
      <c r="O106" s="18">
        <f>F106*'Large Use Predicted Monthly'!$Z$12</f>
        <v>190062.29235292366</v>
      </c>
      <c r="P106" s="18">
        <f>G106*'Large Use Predicted Monthly'!$Z$13</f>
        <v>-304094.65864987968</v>
      </c>
      <c r="Q106" s="18">
        <f>H106*'Large Use Predicted Monthly'!$Z$14</f>
        <v>2102095.424740857</v>
      </c>
      <c r="R106" s="18">
        <f>I106*'Large Use Predicted Monthly'!$Z$15</f>
        <v>0</v>
      </c>
      <c r="S106" s="18">
        <f>J106*'Large Use Predicted Monthly'!$Z$16</f>
        <v>177044.57271687401</v>
      </c>
      <c r="T106" s="18">
        <f>K106*'Large Use Predicted Monthly'!$Z$17</f>
        <v>4615.4750653258516</v>
      </c>
      <c r="U106" s="18">
        <f t="shared" si="12"/>
        <v>3220652.5838401509</v>
      </c>
      <c r="V106" s="18">
        <f t="shared" ca="1" si="13"/>
        <v>230644.87105778372</v>
      </c>
      <c r="W106" s="270">
        <f t="shared" ca="1" si="14"/>
        <v>7.7138553881239302E-2</v>
      </c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 ca="1">'Monthly Data'!X107</f>
        <v>2994032.0830998975</v>
      </c>
      <c r="E107" s="269">
        <f>'Monthly Data'!BL107</f>
        <v>17.783333333333335</v>
      </c>
      <c r="F107" s="269">
        <f>'Monthly Data'!BG107</f>
        <v>35.333333333333343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1050929.47761405</v>
      </c>
      <c r="N107" s="18">
        <f>E107*'Large Use Predicted Monthly'!$Z$11</f>
        <v>7333.8006180990124</v>
      </c>
      <c r="O107" s="18">
        <f>F107*'Large Use Predicted Monthly'!$Z$12</f>
        <v>63744.986519253012</v>
      </c>
      <c r="P107" s="18">
        <f>G107*'Large Use Predicted Monthly'!$Z$13</f>
        <v>-306990.79825606901</v>
      </c>
      <c r="Q107" s="18">
        <f>H107*'Large Use Predicted Monthly'!$Z$14</f>
        <v>2172165.2722322186</v>
      </c>
      <c r="R107" s="18">
        <f>I107*'Large Use Predicted Monthly'!$Z$15</f>
        <v>0</v>
      </c>
      <c r="S107" s="18">
        <f>J107*'Large Use Predicted Monthly'!$Z$16</f>
        <v>177044.57271687401</v>
      </c>
      <c r="T107" s="18">
        <f>K107*'Large Use Predicted Monthly'!$Z$17</f>
        <v>3937.2228150527626</v>
      </c>
      <c r="U107" s="18">
        <f t="shared" si="12"/>
        <v>3168164.5342594786</v>
      </c>
      <c r="V107" s="18">
        <f t="shared" ca="1" si="13"/>
        <v>174132.45115958108</v>
      </c>
      <c r="W107" s="270">
        <f t="shared" ca="1" si="14"/>
        <v>5.8159848099988129E-2</v>
      </c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 ca="1">'Monthly Data'!X108</f>
        <v>3411920.3642654717</v>
      </c>
      <c r="E108" s="269">
        <f>'Monthly Data'!BL108</f>
        <v>153.42644927536227</v>
      </c>
      <c r="F108" s="269">
        <f>'Monthly Data'!BG108</f>
        <v>0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1050929.47761405</v>
      </c>
      <c r="N108" s="18">
        <f>E108*'Large Use Predicted Monthly'!$Z$11</f>
        <v>63272.670395223344</v>
      </c>
      <c r="O108" s="18">
        <f>F108*'Large Use Predicted Monthly'!$Z$12</f>
        <v>0</v>
      </c>
      <c r="P108" s="18">
        <f>G108*'Large Use Predicted Monthly'!$Z$13</f>
        <v>-309886.93786225835</v>
      </c>
      <c r="Q108" s="18">
        <f>H108*'Large Use Predicted Monthly'!$Z$14</f>
        <v>2102095.424740857</v>
      </c>
      <c r="R108" s="18">
        <f>I108*'Large Use Predicted Monthly'!$Z$15</f>
        <v>0</v>
      </c>
      <c r="S108" s="18">
        <f>J108*'Large Use Predicted Monthly'!$Z$16</f>
        <v>177044.57271687401</v>
      </c>
      <c r="T108" s="18">
        <f>K108*'Large Use Predicted Monthly'!$Z$17</f>
        <v>3937.2228150527626</v>
      </c>
      <c r="U108" s="18">
        <f t="shared" si="12"/>
        <v>3087392.4304197989</v>
      </c>
      <c r="V108" s="18">
        <f t="shared" ca="1" si="13"/>
        <v>-324527.93384567276</v>
      </c>
      <c r="W108" s="270">
        <f t="shared" ca="1" si="14"/>
        <v>9.5115916902573455E-2</v>
      </c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 ca="1">'Monthly Data'!X109</f>
        <v>3309701.9617857756</v>
      </c>
      <c r="E109" s="269">
        <f>'Monthly Data'!BL109</f>
        <v>180.36666666666662</v>
      </c>
      <c r="F109" s="269">
        <f>'Monthly Data'!BG109</f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1050929.47761405</v>
      </c>
      <c r="N109" s="18">
        <f>E109*'Large Use Predicted Monthly'!$Z$11</f>
        <v>74382.746287785834</v>
      </c>
      <c r="O109" s="18">
        <f>F109*'Large Use Predicted Monthly'!$Z$12</f>
        <v>0</v>
      </c>
      <c r="P109" s="18">
        <f>G109*'Large Use Predicted Monthly'!$Z$13</f>
        <v>-312783.07746844768</v>
      </c>
      <c r="Q109" s="18">
        <f>H109*'Large Use Predicted Monthly'!$Z$14</f>
        <v>2172165.2722322186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3937.2228150527626</v>
      </c>
      <c r="U109" s="18">
        <f t="shared" si="12"/>
        <v>2988631.6414806596</v>
      </c>
      <c r="V109" s="18">
        <f t="shared" ca="1" si="13"/>
        <v>-321070.32030511601</v>
      </c>
      <c r="W109" s="270">
        <f t="shared" ca="1" si="14"/>
        <v>9.700883161451794E-2</v>
      </c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 ca="1">'Monthly Data'!X110</f>
        <v>3540947.6858771513</v>
      </c>
      <c r="E110" s="269">
        <f>'Monthly Data'!BL110</f>
        <v>326.99583333333317</v>
      </c>
      <c r="F110" s="269">
        <f>'Monthly Data'!BG110</f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4826</v>
      </c>
      <c r="M110" s="18">
        <f>'Large Use Predicted Monthly'!$Z$10</f>
        <v>1050929.47761405</v>
      </c>
      <c r="N110" s="18">
        <f>E110*'Large Use Predicted Monthly'!$Z$11</f>
        <v>134852.23493622118</v>
      </c>
      <c r="O110" s="18">
        <f>F110*'Large Use Predicted Monthly'!$Z$12</f>
        <v>0</v>
      </c>
      <c r="P110" s="18">
        <f>G110*'Large Use Predicted Monthly'!$Z$13</f>
        <v>-315679.21707463701</v>
      </c>
      <c r="Q110" s="18">
        <f>H110*'Large Use Predicted Monthly'!$Z$14</f>
        <v>2172165.2722322186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10133.886562903805</v>
      </c>
      <c r="U110" s="18">
        <f t="shared" si="12"/>
        <v>3052401.6542707565</v>
      </c>
      <c r="V110" s="18">
        <f t="shared" ca="1" si="13"/>
        <v>-488546.0316063948</v>
      </c>
      <c r="W110" s="270">
        <f t="shared" ca="1" si="14"/>
        <v>0.13797041779378164</v>
      </c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 ca="1">'Monthly Data'!X111</f>
        <v>3374301.142980007</v>
      </c>
      <c r="E111" s="269">
        <f>'Monthly Data'!BL111</f>
        <v>252.9666666666667</v>
      </c>
      <c r="F111" s="269">
        <f>'Monthly Data'!BG111</f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4826</v>
      </c>
      <c r="M111" s="18">
        <f>'Large Use Predicted Monthly'!$Z$10</f>
        <v>1050929.47761405</v>
      </c>
      <c r="N111" s="18">
        <f>E111*'Large Use Predicted Monthly'!$Z$11</f>
        <v>104322.79829569523</v>
      </c>
      <c r="O111" s="18">
        <f>F111*'Large Use Predicted Monthly'!$Z$12</f>
        <v>0</v>
      </c>
      <c r="P111" s="18">
        <f>G111*'Large Use Predicted Monthly'!$Z$13</f>
        <v>-318575.35668082634</v>
      </c>
      <c r="Q111" s="18">
        <f>H111*'Large Use Predicted Monthly'!$Z$14</f>
        <v>2032025.5772494951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10133.886562903805</v>
      </c>
      <c r="U111" s="18">
        <f t="shared" si="12"/>
        <v>2878836.383041318</v>
      </c>
      <c r="V111" s="18">
        <f t="shared" ca="1" si="13"/>
        <v>-495464.75993868895</v>
      </c>
      <c r="W111" s="270">
        <f t="shared" ca="1" si="14"/>
        <v>0.14683477820865753</v>
      </c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 ca="1">'Monthly Data'!X112</f>
        <v>3519478.5922319503</v>
      </c>
      <c r="E112" s="269">
        <f>'Monthly Data'!BL112</f>
        <v>154.69166666666669</v>
      </c>
      <c r="F112" s="269">
        <f>'Monthly Data'!BG112</f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4826</v>
      </c>
      <c r="M112" s="18">
        <f>'Large Use Predicted Monthly'!$Z$10</f>
        <v>1050929.47761405</v>
      </c>
      <c r="N112" s="18">
        <f>E112*'Large Use Predicted Monthly'!$Z$11</f>
        <v>63794.442771214606</v>
      </c>
      <c r="O112" s="18">
        <f>F112*'Large Use Predicted Monthly'!$Z$12</f>
        <v>0</v>
      </c>
      <c r="P112" s="18">
        <f>G112*'Large Use Predicted Monthly'!$Z$13</f>
        <v>-321471.49628701567</v>
      </c>
      <c r="Q112" s="18">
        <f>H112*'Large Use Predicted Monthly'!$Z$14</f>
        <v>2172165.2722322186</v>
      </c>
      <c r="R112" s="18">
        <f>I112*'Large Use Predicted Monthly'!$Z$15</f>
        <v>0</v>
      </c>
      <c r="S112" s="18">
        <f>J112*'Large Use Predicted Monthly'!$Z$16</f>
        <v>177044.57271687401</v>
      </c>
      <c r="T112" s="18">
        <f>K112*'Large Use Predicted Monthly'!$Z$17</f>
        <v>10133.886562903805</v>
      </c>
      <c r="U112" s="18">
        <f t="shared" si="12"/>
        <v>3152596.1556102452</v>
      </c>
      <c r="V112" s="18">
        <f t="shared" ca="1" si="13"/>
        <v>-366882.43662170507</v>
      </c>
      <c r="W112" s="270">
        <f t="shared" ca="1" si="14"/>
        <v>0.10424340623394415</v>
      </c>
    </row>
    <row r="113" spans="1:23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 ca="1">'Monthly Data'!X113</f>
        <v>3243940.0520764217</v>
      </c>
      <c r="E113" s="269">
        <f>'Monthly Data'!BL113</f>
        <v>41.093749999999993</v>
      </c>
      <c r="F113" s="269">
        <f>'Monthly Data'!BG113</f>
        <v>0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2733</v>
      </c>
      <c r="M113" s="18">
        <f>'Large Use Predicted Monthly'!$Z$10</f>
        <v>1050929.47761405</v>
      </c>
      <c r="N113" s="18">
        <f>E113*'Large Use Predicted Monthly'!$Z$11</f>
        <v>16946.95609090944</v>
      </c>
      <c r="O113" s="18">
        <f>F113*'Large Use Predicted Monthly'!$Z$12</f>
        <v>0</v>
      </c>
      <c r="P113" s="18">
        <f>G113*'Large Use Predicted Monthly'!$Z$13</f>
        <v>-324367.63589320495</v>
      </c>
      <c r="Q113" s="18">
        <f>H113*'Large Use Predicted Monthly'!$Z$14</f>
        <v>2102095.424740857</v>
      </c>
      <c r="R113" s="18">
        <f>I113*'Large Use Predicted Monthly'!$Z$15</f>
        <v>0</v>
      </c>
      <c r="S113" s="18">
        <f>J113*'Large Use Predicted Monthly'!$Z$16</f>
        <v>177044.57271687401</v>
      </c>
      <c r="T113" s="18">
        <f>K113*'Large Use Predicted Monthly'!$Z$17</f>
        <v>5738.8959752209066</v>
      </c>
      <c r="U113" s="18">
        <f t="shared" si="12"/>
        <v>3028387.6912447065</v>
      </c>
      <c r="V113" s="18">
        <f t="shared" ca="1" si="13"/>
        <v>-215552.36083171517</v>
      </c>
      <c r="W113" s="270">
        <f t="shared" ca="1" si="14"/>
        <v>6.6447701674925128E-2</v>
      </c>
    </row>
    <row r="114" spans="1:23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 ca="1">'Monthly Data'!X114</f>
        <v>3420919.5005276739</v>
      </c>
      <c r="E114" s="269">
        <f>'Monthly Data'!BL114</f>
        <v>0</v>
      </c>
      <c r="F114" s="269">
        <f>'Monthly Data'!BG114</f>
        <v>60.691666666666663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2733</v>
      </c>
      <c r="M114" s="18">
        <f>'Large Use Predicted Monthly'!$Z$10</f>
        <v>1050929.47761405</v>
      </c>
      <c r="N114" s="18">
        <f>E114*'Large Use Predicted Monthly'!$Z$11</f>
        <v>0</v>
      </c>
      <c r="O114" s="18">
        <f>F114*'Large Use Predicted Monthly'!$Z$12</f>
        <v>109494.04170276404</v>
      </c>
      <c r="P114" s="18">
        <f>G114*'Large Use Predicted Monthly'!$Z$13</f>
        <v>-327263.77549939428</v>
      </c>
      <c r="Q114" s="18">
        <f>H114*'Large Use Predicted Monthly'!$Z$14</f>
        <v>2172165.2722322186</v>
      </c>
      <c r="R114" s="18">
        <f>I114*'Large Use Predicted Monthly'!$Z$15</f>
        <v>0</v>
      </c>
      <c r="S114" s="18">
        <f>J114*'Large Use Predicted Monthly'!$Z$16</f>
        <v>177044.57271687401</v>
      </c>
      <c r="T114" s="18">
        <f>K114*'Large Use Predicted Monthly'!$Z$17</f>
        <v>5738.8959752209066</v>
      </c>
      <c r="U114" s="18">
        <f t="shared" si="12"/>
        <v>3188108.4847417334</v>
      </c>
      <c r="V114" s="18">
        <f t="shared" ca="1" si="13"/>
        <v>-232811.01578594046</v>
      </c>
      <c r="W114" s="270">
        <f t="shared" ca="1" si="14"/>
        <v>6.8055099148059336E-2</v>
      </c>
    </row>
    <row r="115" spans="1:23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 ca="1">'Monthly Data'!X115</f>
        <v>3329855.9557275474</v>
      </c>
      <c r="E115" s="269">
        <f>'Monthly Data'!BL115</f>
        <v>0</v>
      </c>
      <c r="F115" s="269">
        <f>'Monthly Data'!BG115</f>
        <v>146.61250000000007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2733</v>
      </c>
      <c r="M115" s="18">
        <f>'Large Use Predicted Monthly'!$Z$10</f>
        <v>1050929.47761405</v>
      </c>
      <c r="N115" s="18">
        <f>E115*'Large Use Predicted Monthly'!$Z$11</f>
        <v>0</v>
      </c>
      <c r="O115" s="18">
        <f>F115*'Large Use Predicted Monthly'!$Z$12</f>
        <v>264504.10856756556</v>
      </c>
      <c r="P115" s="18">
        <f>G115*'Large Use Predicted Monthly'!$Z$13</f>
        <v>-330159.91510558361</v>
      </c>
      <c r="Q115" s="18">
        <f>H115*'Large Use Predicted Monthly'!$Z$14</f>
        <v>2102095.424740857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5738.8959752209066</v>
      </c>
      <c r="U115" s="18">
        <f t="shared" si="12"/>
        <v>3093107.9917921098</v>
      </c>
      <c r="V115" s="18">
        <f t="shared" ca="1" si="13"/>
        <v>-236747.96393543761</v>
      </c>
      <c r="W115" s="270">
        <f t="shared" ca="1" si="14"/>
        <v>7.1098560142884626E-2</v>
      </c>
    </row>
    <row r="116" spans="1:23" x14ac:dyDescent="0.25">
      <c r="A116" s="3">
        <f>'Monthly Data'!A116</f>
        <v>45474</v>
      </c>
      <c r="B116" s="1">
        <f t="shared" si="8"/>
        <v>2024</v>
      </c>
      <c r="C116" s="1">
        <f t="shared" si="9"/>
        <v>7</v>
      </c>
      <c r="D116" s="24">
        <f ca="1">'Monthly Data'!X116</f>
        <v>3408998.4066420794</v>
      </c>
      <c r="E116" s="269">
        <f>'Monthly Data'!BL116</f>
        <v>0</v>
      </c>
      <c r="F116" s="269">
        <f>'Monthly Data'!BG116</f>
        <v>241.14166666666668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730</v>
      </c>
      <c r="M116" s="18">
        <f>'Large Use Predicted Monthly'!$Z$10</f>
        <v>1050929.47761405</v>
      </c>
      <c r="N116" s="18">
        <f>E116*'Large Use Predicted Monthly'!$Z$11</f>
        <v>0</v>
      </c>
      <c r="O116" s="18">
        <f>F116*'Large Use Predicted Monthly'!$Z$12</f>
        <v>435044.49879896792</v>
      </c>
      <c r="P116" s="18">
        <f>G116*'Large Use Predicted Monthly'!$Z$13</f>
        <v>-333056.05471177294</v>
      </c>
      <c r="Q116" s="18">
        <f>H116*'Large Use Predicted Monthly'!$Z$14</f>
        <v>2172165.2722322186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1532.8920826605422</v>
      </c>
      <c r="U116" s="18">
        <f t="shared" si="12"/>
        <v>3326616.0860161241</v>
      </c>
      <c r="V116" s="18">
        <f t="shared" ca="1" si="13"/>
        <v>-82382.320625955239</v>
      </c>
      <c r="W116" s="270">
        <f t="shared" ca="1" si="14"/>
        <v>2.4166136442141436E-2</v>
      </c>
    </row>
    <row r="117" spans="1:23" x14ac:dyDescent="0.25">
      <c r="A117" s="3">
        <f>'Monthly Data'!A117</f>
        <v>45505</v>
      </c>
      <c r="B117" s="1">
        <f t="shared" si="8"/>
        <v>2024</v>
      </c>
      <c r="C117" s="1">
        <f t="shared" si="9"/>
        <v>8</v>
      </c>
      <c r="D117" s="24">
        <f ca="1">'Monthly Data'!X117</f>
        <v>3372525.8604674945</v>
      </c>
      <c r="E117" s="269">
        <f>'Monthly Data'!BL117</f>
        <v>0</v>
      </c>
      <c r="F117" s="269">
        <f>'Monthly Data'!BG117</f>
        <v>200.86666666666665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730</v>
      </c>
      <c r="M117" s="18">
        <f>'Large Use Predicted Monthly'!$Z$10</f>
        <v>1050929.47761405</v>
      </c>
      <c r="N117" s="18">
        <f>E117*'Large Use Predicted Monthly'!$Z$11</f>
        <v>0</v>
      </c>
      <c r="O117" s="18">
        <f>F117*'Large Use Predicted Monthly'!$Z$12</f>
        <v>362384.23468397971</v>
      </c>
      <c r="P117" s="18">
        <f>G117*'Large Use Predicted Monthly'!$Z$13</f>
        <v>-335952.19431796228</v>
      </c>
      <c r="Q117" s="18">
        <f>H117*'Large Use Predicted Monthly'!$Z$14</f>
        <v>2172165.2722322186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1532.8920826605422</v>
      </c>
      <c r="U117" s="18">
        <f t="shared" si="12"/>
        <v>3251059.6822949466</v>
      </c>
      <c r="V117" s="18">
        <f t="shared" ca="1" si="13"/>
        <v>-121466.17817254784</v>
      </c>
      <c r="W117" s="270">
        <f t="shared" ca="1" si="14"/>
        <v>3.6016381548430995E-2</v>
      </c>
    </row>
    <row r="118" spans="1:23" x14ac:dyDescent="0.25">
      <c r="A118" s="3">
        <f>'Monthly Data'!A118</f>
        <v>45536</v>
      </c>
      <c r="B118" s="1">
        <f t="shared" si="8"/>
        <v>2024</v>
      </c>
      <c r="C118" s="1">
        <f t="shared" si="9"/>
        <v>9</v>
      </c>
      <c r="D118" s="24">
        <f ca="1">'Monthly Data'!X118</f>
        <v>3370311.3134303829</v>
      </c>
      <c r="E118" s="269">
        <f>'Monthly Data'!BL118</f>
        <v>0</v>
      </c>
      <c r="F118" s="269">
        <f>'Monthly Data'!BG118</f>
        <v>113.86250000000001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730</v>
      </c>
      <c r="M118" s="18">
        <f>'Large Use Predicted Monthly'!$Z$10</f>
        <v>1050929.47761405</v>
      </c>
      <c r="N118" s="18">
        <f>E118*'Large Use Predicted Monthly'!$Z$11</f>
        <v>0</v>
      </c>
      <c r="O118" s="18">
        <f>F118*'Large Use Predicted Monthly'!$Z$12</f>
        <v>205419.72247778618</v>
      </c>
      <c r="P118" s="18">
        <f>G118*'Large Use Predicted Monthly'!$Z$13</f>
        <v>-338848.33392415161</v>
      </c>
      <c r="Q118" s="18">
        <f>H118*'Large Use Predicted Monthly'!$Z$14</f>
        <v>2102095.424740857</v>
      </c>
      <c r="R118" s="18">
        <f>I118*'Large Use Predicted Monthly'!$Z$15</f>
        <v>0</v>
      </c>
      <c r="S118" s="18">
        <f>J118*'Large Use Predicted Monthly'!$Z$16</f>
        <v>177044.57271687401</v>
      </c>
      <c r="T118" s="18">
        <f>K118*'Large Use Predicted Monthly'!$Z$17</f>
        <v>1532.8920826605422</v>
      </c>
      <c r="U118" s="18">
        <f t="shared" si="12"/>
        <v>3198173.7557080761</v>
      </c>
      <c r="V118" s="18">
        <f t="shared" ca="1" si="13"/>
        <v>-172137.55772230681</v>
      </c>
      <c r="W118" s="270">
        <f t="shared" ca="1" si="14"/>
        <v>5.1074675812989252E-2</v>
      </c>
    </row>
    <row r="119" spans="1:23" x14ac:dyDescent="0.25">
      <c r="A119" s="3">
        <f>'Monthly Data'!A119</f>
        <v>45566</v>
      </c>
      <c r="B119" s="1">
        <f t="shared" si="8"/>
        <v>2024</v>
      </c>
      <c r="C119" s="1">
        <f t="shared" si="9"/>
        <v>10</v>
      </c>
      <c r="D119" s="24">
        <f ca="1">'Monthly Data'!X119</f>
        <v>3337425.7671654867</v>
      </c>
      <c r="E119" s="269">
        <f>'Monthly Data'!BL119</f>
        <v>18.616666666666671</v>
      </c>
      <c r="F119" s="269">
        <f>'Monthly Data'!BG119</f>
        <v>12.120833333333337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4319.8519999999553</v>
      </c>
      <c r="M119" s="18">
        <f>'Large Use Predicted Monthly'!$Z$10</f>
        <v>1050929.47761405</v>
      </c>
      <c r="N119" s="18">
        <f>E119*'Large Use Predicted Monthly'!$Z$11</f>
        <v>7677.4651269134001</v>
      </c>
      <c r="O119" s="18">
        <f>F119*'Large Use Predicted Monthly'!$Z$12</f>
        <v>21867.236531191866</v>
      </c>
      <c r="P119" s="18">
        <f>G119*'Large Use Predicted Monthly'!$Z$13</f>
        <v>-341744.47353034094</v>
      </c>
      <c r="Q119" s="18">
        <f>H119*'Large Use Predicted Monthly'!$Z$14</f>
        <v>2172165.2722322186</v>
      </c>
      <c r="R119" s="18">
        <f>I119*'Large Use Predicted Monthly'!$Z$15</f>
        <v>0</v>
      </c>
      <c r="S119" s="18">
        <f>J119*'Large Use Predicted Monthly'!$Z$16</f>
        <v>177044.57271687401</v>
      </c>
      <c r="T119" s="18">
        <f>K119*'Large Use Predicted Monthly'!$Z$17</f>
        <v>9071.0505877606029</v>
      </c>
      <c r="U119" s="18">
        <f t="shared" si="12"/>
        <v>3097010.6012786678</v>
      </c>
      <c r="V119" s="18">
        <f t="shared" ca="1" si="13"/>
        <v>-240415.1658868189</v>
      </c>
      <c r="W119" s="270">
        <f t="shared" ca="1" si="14"/>
        <v>7.2036108863330978E-2</v>
      </c>
    </row>
    <row r="120" spans="1:23" x14ac:dyDescent="0.25">
      <c r="A120" s="3">
        <f>'Monthly Data'!A120</f>
        <v>45597</v>
      </c>
      <c r="B120" s="1">
        <f t="shared" si="8"/>
        <v>2024</v>
      </c>
      <c r="C120" s="1">
        <f t="shared" si="9"/>
        <v>11</v>
      </c>
      <c r="D120" s="24">
        <f ca="1">'Monthly Data'!X120</f>
        <v>3267889.2218233664</v>
      </c>
      <c r="E120" s="269">
        <f>'Monthly Data'!BL120</f>
        <v>93.433333333333351</v>
      </c>
      <c r="F120" s="269">
        <f>'Monthly Data'!BG120</f>
        <v>5.5041666666666629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4319.8519999999553</v>
      </c>
      <c r="M120" s="18">
        <f>'Large Use Predicted Monthly'!$Z$10</f>
        <v>1050929.47761405</v>
      </c>
      <c r="N120" s="18">
        <f>E120*'Large Use Predicted Monthly'!$Z$11</f>
        <v>38531.664728269039</v>
      </c>
      <c r="O120" s="18">
        <f>F120*'Large Use Predicted Monthly'!$Z$12</f>
        <v>9930.0857537657012</v>
      </c>
      <c r="P120" s="18">
        <f>G120*'Large Use Predicted Monthly'!$Z$13</f>
        <v>-344640.61313653027</v>
      </c>
      <c r="Q120" s="18">
        <f>H120*'Large Use Predicted Monthly'!$Z$14</f>
        <v>2102095.424740857</v>
      </c>
      <c r="R120" s="18">
        <f>I120*'Large Use Predicted Monthly'!$Z$15</f>
        <v>0</v>
      </c>
      <c r="S120" s="18">
        <f>J120*'Large Use Predicted Monthly'!$Z$16</f>
        <v>177044.57271687401</v>
      </c>
      <c r="T120" s="18">
        <f>K120*'Large Use Predicted Monthly'!$Z$17</f>
        <v>9071.0505877606029</v>
      </c>
      <c r="U120" s="18">
        <f t="shared" si="12"/>
        <v>3042961.6630050461</v>
      </c>
      <c r="V120" s="18">
        <f t="shared" ca="1" si="13"/>
        <v>-224927.55881832028</v>
      </c>
      <c r="W120" s="270">
        <f t="shared" ca="1" si="14"/>
        <v>6.8829615556190327E-2</v>
      </c>
    </row>
    <row r="121" spans="1:23" x14ac:dyDescent="0.25">
      <c r="A121" s="3">
        <f>'Monthly Data'!A121</f>
        <v>45627</v>
      </c>
      <c r="B121" s="1">
        <f t="shared" si="8"/>
        <v>2024</v>
      </c>
      <c r="C121" s="1">
        <f t="shared" si="9"/>
        <v>12</v>
      </c>
      <c r="D121" s="24">
        <f ca="1">'Monthly Data'!X121</f>
        <v>3193160.6766119674</v>
      </c>
      <c r="E121" s="269">
        <f>'Monthly Data'!BL121</f>
        <v>288.57499999999993</v>
      </c>
      <c r="F121" s="269">
        <f>'Monthly Data'!BG121</f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4319.8519999999553</v>
      </c>
      <c r="M121" s="18">
        <f>'Large Use Predicted Monthly'!$Z$10</f>
        <v>1050929.47761405</v>
      </c>
      <c r="N121" s="18">
        <f>E121*'Large Use Predicted Monthly'!$Z$11</f>
        <v>119007.58275733393</v>
      </c>
      <c r="O121" s="18">
        <f>F121*'Large Use Predicted Monthly'!$Z$12</f>
        <v>0</v>
      </c>
      <c r="P121" s="18">
        <f>G121*'Large Use Predicted Monthly'!$Z$13</f>
        <v>-347536.7527427196</v>
      </c>
      <c r="Q121" s="18">
        <f>H121*'Large Use Predicted Monthly'!$Z$14</f>
        <v>2172165.2722322186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9071.0505877606029</v>
      </c>
      <c r="U121" s="18">
        <f t="shared" si="12"/>
        <v>3003636.6304486436</v>
      </c>
      <c r="V121" s="18">
        <f t="shared" ca="1" si="13"/>
        <v>-189524.0461633238</v>
      </c>
      <c r="W121" s="270">
        <f t="shared" ca="1" si="14"/>
        <v>5.9353119168564387E-2</v>
      </c>
    </row>
    <row r="122" spans="1:23" x14ac:dyDescent="0.25">
      <c r="A122" s="3"/>
      <c r="W122" s="395">
        <f ca="1">AVERAGE(W2:W121)</f>
        <v>7.4714163910101314E-2</v>
      </c>
    </row>
    <row r="123" spans="1:23" x14ac:dyDescent="0.25">
      <c r="A123" s="3"/>
    </row>
    <row r="124" spans="1:23" x14ac:dyDescent="0.25">
      <c r="A124" s="3"/>
    </row>
    <row r="125" spans="1:23" x14ac:dyDescent="0.25">
      <c r="A125" s="3"/>
    </row>
    <row r="126" spans="1:23" x14ac:dyDescent="0.25">
      <c r="A126" s="3"/>
    </row>
    <row r="127" spans="1:23" x14ac:dyDescent="0.25">
      <c r="A127" s="3"/>
    </row>
    <row r="128" spans="1:23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3" tint="0.499984740745262"/>
  </sheetPr>
  <dimension ref="B1:AY99"/>
  <sheetViews>
    <sheetView topLeftCell="AC1" workbookViewId="0">
      <selection activeCell="G45" sqref="G45"/>
    </sheetView>
  </sheetViews>
  <sheetFormatPr defaultColWidth="8.77734375" defaultRowHeight="13.8" x14ac:dyDescent="0.25"/>
  <cols>
    <col min="1" max="1" width="8.77734375" style="47"/>
    <col min="2" max="2" width="12.77734375" style="47" customWidth="1"/>
    <col min="3" max="3" width="5.44140625" style="47" customWidth="1"/>
    <col min="4" max="4" width="12.77734375" style="189" customWidth="1"/>
    <col min="5" max="5" width="11.33203125" style="47" bestFit="1" customWidth="1"/>
    <col min="6" max="7" width="11.33203125" style="47" customWidth="1"/>
    <col min="8" max="10" width="12.6640625" style="47" customWidth="1"/>
    <col min="11" max="11" width="8.77734375" style="47"/>
    <col min="12" max="12" width="9" style="47" bestFit="1" customWidth="1"/>
    <col min="13" max="13" width="11.77734375" style="47" bestFit="1" customWidth="1"/>
    <col min="14" max="14" width="10.44140625" style="47" customWidth="1"/>
    <col min="15" max="15" width="11.33203125" style="47" bestFit="1" customWidth="1"/>
    <col min="16" max="20" width="11.33203125" style="47" customWidth="1"/>
    <col min="21" max="21" width="10.33203125" style="47" bestFit="1" customWidth="1"/>
    <col min="22" max="23" width="10.33203125" style="47" customWidth="1"/>
    <col min="24" max="26" width="12.44140625" style="47" customWidth="1"/>
    <col min="27" max="29" width="8.77734375" style="47"/>
    <col min="30" max="30" width="5.44140625" style="47" customWidth="1"/>
    <col min="31" max="31" width="9" style="47" bestFit="1" customWidth="1"/>
    <col min="32" max="32" width="15.109375" style="47" customWidth="1"/>
    <col min="33" max="33" width="11.77734375" style="47" bestFit="1" customWidth="1"/>
    <col min="34" max="34" width="10.77734375" style="47" customWidth="1"/>
    <col min="35" max="35" width="14" style="47" customWidth="1"/>
    <col min="36" max="36" width="14.77734375" style="47" customWidth="1"/>
    <col min="37" max="37" width="15.33203125" style="47" bestFit="1" customWidth="1"/>
    <col min="38" max="38" width="18.77734375" style="47" customWidth="1"/>
    <col min="39" max="39" width="10.109375" style="47" customWidth="1"/>
    <col min="40" max="41" width="9" style="47" bestFit="1" customWidth="1"/>
    <col min="42" max="42" width="11.33203125" style="47" bestFit="1" customWidth="1"/>
    <col min="43" max="44" width="10.109375" style="47" bestFit="1" customWidth="1"/>
    <col min="45" max="45" width="11.33203125" style="47" bestFit="1" customWidth="1"/>
    <col min="46" max="46" width="10.109375" style="47" bestFit="1" customWidth="1"/>
    <col min="47" max="51" width="9" style="47" bestFit="1" customWidth="1"/>
    <col min="52" max="16384" width="8.77734375" style="47"/>
  </cols>
  <sheetData>
    <row r="1" spans="2:51" x14ac:dyDescent="0.25">
      <c r="B1" s="197" t="s">
        <v>204</v>
      </c>
      <c r="C1" s="198"/>
      <c r="D1" s="191"/>
      <c r="E1" s="198"/>
      <c r="F1" s="198"/>
      <c r="G1" s="198"/>
      <c r="H1" s="198"/>
      <c r="I1" s="198"/>
      <c r="J1" s="199"/>
      <c r="L1" s="63"/>
      <c r="M1" s="64"/>
      <c r="N1" s="101"/>
      <c r="O1" s="471" t="s">
        <v>205</v>
      </c>
      <c r="P1" s="472"/>
      <c r="Q1" s="472"/>
      <c r="R1" s="472"/>
      <c r="S1" s="472"/>
      <c r="T1" s="473"/>
      <c r="U1" s="470" t="s">
        <v>206</v>
      </c>
      <c r="V1" s="470"/>
      <c r="W1" s="470"/>
      <c r="X1" s="470"/>
      <c r="Y1" s="470"/>
      <c r="Z1" s="470"/>
      <c r="AC1" s="47" t="s">
        <v>207</v>
      </c>
    </row>
    <row r="2" spans="2:51" s="164" customFormat="1" x14ac:dyDescent="0.25">
      <c r="B2" s="163" t="s">
        <v>208</v>
      </c>
      <c r="C2" s="216"/>
      <c r="D2" s="190"/>
      <c r="E2" s="474" t="s">
        <v>209</v>
      </c>
      <c r="F2" s="475"/>
      <c r="G2" s="475"/>
      <c r="H2" s="474" t="s">
        <v>168</v>
      </c>
      <c r="I2" s="475"/>
      <c r="J2" s="476"/>
      <c r="L2" s="165"/>
      <c r="N2" s="166"/>
      <c r="O2" s="474" t="s">
        <v>209</v>
      </c>
      <c r="P2" s="475"/>
      <c r="Q2" s="475"/>
      <c r="R2" s="474" t="str">
        <f>H2</f>
        <v>Oshawa</v>
      </c>
      <c r="S2" s="475"/>
      <c r="T2" s="476"/>
      <c r="U2" s="474" t="str">
        <f>O2</f>
        <v>Ontario</v>
      </c>
      <c r="V2" s="475"/>
      <c r="W2" s="475"/>
      <c r="X2" s="474" t="str">
        <f>R2</f>
        <v>Oshawa</v>
      </c>
      <c r="Y2" s="475"/>
      <c r="Z2" s="476"/>
      <c r="AB2" s="47"/>
      <c r="AC2" s="47" t="s">
        <v>210</v>
      </c>
      <c r="AD2" s="47"/>
      <c r="AE2" s="47"/>
      <c r="AF2" s="470" t="s">
        <v>211</v>
      </c>
      <c r="AG2" s="470"/>
      <c r="AH2" s="470"/>
      <c r="AI2" s="470"/>
      <c r="AJ2" s="470"/>
      <c r="AK2" s="470" t="s">
        <v>212</v>
      </c>
      <c r="AL2" s="470"/>
      <c r="AM2" s="470"/>
      <c r="AN2" s="470"/>
      <c r="AO2" s="470"/>
      <c r="AP2" s="470" t="s">
        <v>213</v>
      </c>
      <c r="AQ2" s="470"/>
      <c r="AR2" s="470"/>
      <c r="AS2" s="470"/>
      <c r="AT2" s="470"/>
      <c r="AU2" s="470" t="s">
        <v>214</v>
      </c>
      <c r="AV2" s="470"/>
      <c r="AW2" s="470"/>
      <c r="AX2" s="470"/>
      <c r="AY2" s="470"/>
    </row>
    <row r="3" spans="2:51" s="164" customFormat="1" ht="39.6" x14ac:dyDescent="0.25">
      <c r="B3" s="165"/>
      <c r="D3" s="213"/>
      <c r="E3" s="194" t="s">
        <v>215</v>
      </c>
      <c r="F3" s="195" t="s">
        <v>212</v>
      </c>
      <c r="G3" s="195" t="s">
        <v>214</v>
      </c>
      <c r="H3" s="194" t="s">
        <v>215</v>
      </c>
      <c r="I3" s="195" t="s">
        <v>212</v>
      </c>
      <c r="J3" s="196" t="s">
        <v>214</v>
      </c>
      <c r="L3" s="165"/>
      <c r="N3" s="166"/>
      <c r="O3" s="194" t="s">
        <v>215</v>
      </c>
      <c r="P3" s="195" t="s">
        <v>212</v>
      </c>
      <c r="Q3" s="195" t="s">
        <v>214</v>
      </c>
      <c r="R3" s="194" t="s">
        <v>215</v>
      </c>
      <c r="S3" s="195" t="s">
        <v>212</v>
      </c>
      <c r="T3" s="196" t="s">
        <v>214</v>
      </c>
      <c r="U3" s="194" t="s">
        <v>215</v>
      </c>
      <c r="V3" s="195" t="s">
        <v>212</v>
      </c>
      <c r="W3" s="195" t="s">
        <v>214</v>
      </c>
      <c r="X3" s="194" t="s">
        <v>215</v>
      </c>
      <c r="Y3" s="195" t="s">
        <v>212</v>
      </c>
      <c r="Z3" s="196" t="s">
        <v>214</v>
      </c>
      <c r="AB3" s="47"/>
      <c r="AC3" s="47" t="s">
        <v>216</v>
      </c>
      <c r="AD3" s="47"/>
      <c r="AE3" s="47"/>
      <c r="AF3" s="47" t="s">
        <v>217</v>
      </c>
      <c r="AG3" s="47" t="s">
        <v>218</v>
      </c>
      <c r="AH3" s="47" t="s">
        <v>219</v>
      </c>
      <c r="AI3" s="47" t="s">
        <v>220</v>
      </c>
      <c r="AJ3" s="47" t="s">
        <v>221</v>
      </c>
      <c r="AK3" s="47" t="s">
        <v>217</v>
      </c>
      <c r="AL3" s="47" t="s">
        <v>218</v>
      </c>
      <c r="AM3" s="47" t="s">
        <v>219</v>
      </c>
      <c r="AN3" s="47" t="s">
        <v>220</v>
      </c>
      <c r="AO3" s="47" t="s">
        <v>221</v>
      </c>
      <c r="AP3" s="47" t="s">
        <v>217</v>
      </c>
      <c r="AQ3" s="47" t="s">
        <v>218</v>
      </c>
      <c r="AR3" s="47" t="s">
        <v>219</v>
      </c>
      <c r="AS3" s="47" t="s">
        <v>220</v>
      </c>
      <c r="AT3" s="47" t="s">
        <v>221</v>
      </c>
      <c r="AU3" s="47" t="s">
        <v>217</v>
      </c>
      <c r="AV3" s="47" t="s">
        <v>218</v>
      </c>
      <c r="AW3" s="47" t="s">
        <v>219</v>
      </c>
      <c r="AX3" s="47" t="s">
        <v>220</v>
      </c>
      <c r="AY3" s="47" t="s">
        <v>221</v>
      </c>
    </row>
    <row r="4" spans="2:51" x14ac:dyDescent="0.25">
      <c r="B4" s="67" t="s">
        <v>222</v>
      </c>
      <c r="C4" s="189" t="str">
        <f>LEFT(B4,2)</f>
        <v>Q1</v>
      </c>
      <c r="D4" s="189">
        <f>VALUE(RIGHT(B4,4))</f>
        <v>2017</v>
      </c>
      <c r="E4" s="170">
        <v>1319</v>
      </c>
      <c r="F4" s="167">
        <v>595</v>
      </c>
      <c r="G4" s="167">
        <v>724</v>
      </c>
      <c r="H4" s="170">
        <v>20</v>
      </c>
      <c r="I4" s="167">
        <v>16</v>
      </c>
      <c r="J4" s="192">
        <v>4</v>
      </c>
      <c r="L4" s="168">
        <v>42736</v>
      </c>
      <c r="M4" s="52">
        <f>YEAR(L4)</f>
        <v>2017</v>
      </c>
      <c r="N4" s="169" t="s">
        <v>222</v>
      </c>
      <c r="O4" s="170">
        <f>SUMIFS(E:E,$B:$B,$N4)</f>
        <v>1319</v>
      </c>
      <c r="P4" s="167">
        <f>SUMIFS(F:F,$B:$B,$N4)</f>
        <v>595</v>
      </c>
      <c r="Q4" s="167">
        <f>SUMIFS(G:G,$B:$B,$N4)</f>
        <v>724</v>
      </c>
      <c r="R4" s="170">
        <f>SUMIFS(H:H,$B:$B,$N4)</f>
        <v>20</v>
      </c>
      <c r="S4" s="167">
        <f>SUMIFS(I:I,$B:$B,$N4)</f>
        <v>16</v>
      </c>
      <c r="T4" s="192">
        <f t="shared" ref="T4:T67" si="0">SUMIFS(J:J,$B:$B,$N4)</f>
        <v>4</v>
      </c>
      <c r="U4" s="170">
        <f t="shared" ref="U4:Z4" si="1">O4/3</f>
        <v>439.66666666666669</v>
      </c>
      <c r="V4" s="167">
        <f t="shared" si="1"/>
        <v>198.33333333333334</v>
      </c>
      <c r="W4" s="167">
        <f t="shared" si="1"/>
        <v>241.33333333333334</v>
      </c>
      <c r="X4" s="170">
        <f t="shared" si="1"/>
        <v>6.666666666666667</v>
      </c>
      <c r="Y4" s="167">
        <f t="shared" si="1"/>
        <v>5.333333333333333</v>
      </c>
      <c r="Z4" s="192">
        <f t="shared" si="1"/>
        <v>1.3333333333333333</v>
      </c>
      <c r="AB4" s="47" t="s">
        <v>208</v>
      </c>
      <c r="AC4" s="47" t="s">
        <v>223</v>
      </c>
    </row>
    <row r="5" spans="2:51" x14ac:dyDescent="0.25">
      <c r="B5" s="67" t="s">
        <v>224</v>
      </c>
      <c r="C5" s="189" t="str">
        <f t="shared" ref="C5:C35" si="2">LEFT(B5,2)</f>
        <v>Q2</v>
      </c>
      <c r="D5" s="189">
        <f t="shared" ref="D5:D35" si="3">VALUE(RIGHT(B5,4))</f>
        <v>2017</v>
      </c>
      <c r="E5" s="170">
        <v>2089</v>
      </c>
      <c r="F5" s="167">
        <v>831</v>
      </c>
      <c r="G5" s="167">
        <v>1258</v>
      </c>
      <c r="H5" s="170">
        <v>16</v>
      </c>
      <c r="I5" s="167">
        <v>4</v>
      </c>
      <c r="J5" s="192">
        <v>12</v>
      </c>
      <c r="L5" s="168">
        <v>42767</v>
      </c>
      <c r="M5" s="52">
        <f t="shared" ref="M5:M68" si="4">YEAR(L5)</f>
        <v>2017</v>
      </c>
      <c r="N5" s="169" t="s">
        <v>222</v>
      </c>
      <c r="O5" s="170">
        <f t="shared" ref="O5:O68" si="5">SUMIFS(E:E,$B:$B,$N5)</f>
        <v>1319</v>
      </c>
      <c r="P5" s="167">
        <f t="shared" ref="P5:P19" si="6">SUMIFS(F:F,$B:$B,$N5)</f>
        <v>595</v>
      </c>
      <c r="Q5" s="167">
        <f t="shared" ref="Q5:Q19" si="7">SUMIFS(G:G,$B:$B,$N5)</f>
        <v>724</v>
      </c>
      <c r="R5" s="170">
        <f t="shared" ref="R5:R19" si="8">SUMIFS(H:H,$B:$B,$N5)</f>
        <v>20</v>
      </c>
      <c r="S5" s="167">
        <f t="shared" ref="S5:S68" si="9">SUMIFS(I:I,$B:$B,$N5)</f>
        <v>16</v>
      </c>
      <c r="T5" s="192">
        <f t="shared" si="0"/>
        <v>4</v>
      </c>
      <c r="U5" s="170">
        <f t="shared" ref="U5:U36" si="10">O5/3+U4</f>
        <v>879.33333333333337</v>
      </c>
      <c r="V5" s="167">
        <f t="shared" ref="V5:V68" si="11">P5/3+V4</f>
        <v>396.66666666666669</v>
      </c>
      <c r="W5" s="167">
        <f t="shared" ref="W5:W68" si="12">Q5/3+W4</f>
        <v>482.66666666666669</v>
      </c>
      <c r="X5" s="170">
        <f t="shared" ref="X5:X68" si="13">R5/3+X4</f>
        <v>13.333333333333334</v>
      </c>
      <c r="Y5" s="167">
        <f t="shared" ref="Y5:Y68" si="14">S5/3+Y4</f>
        <v>10.666666666666666</v>
      </c>
      <c r="Z5" s="192">
        <f t="shared" ref="Z5:Z68" si="15">T5/3+Z4</f>
        <v>2.6666666666666665</v>
      </c>
      <c r="AF5" s="47" t="s">
        <v>225</v>
      </c>
    </row>
    <row r="6" spans="2:51" x14ac:dyDescent="0.25">
      <c r="B6" s="67" t="s">
        <v>226</v>
      </c>
      <c r="C6" s="189" t="str">
        <f t="shared" si="2"/>
        <v>Q3</v>
      </c>
      <c r="D6" s="189">
        <f t="shared" si="3"/>
        <v>2017</v>
      </c>
      <c r="E6" s="170">
        <v>2130</v>
      </c>
      <c r="F6" s="167">
        <v>950</v>
      </c>
      <c r="G6" s="167">
        <v>1180</v>
      </c>
      <c r="H6" s="170">
        <v>10</v>
      </c>
      <c r="I6" s="167">
        <v>2</v>
      </c>
      <c r="J6" s="192">
        <v>8</v>
      </c>
      <c r="L6" s="168">
        <v>42795</v>
      </c>
      <c r="M6" s="52">
        <f t="shared" si="4"/>
        <v>2017</v>
      </c>
      <c r="N6" s="169" t="s">
        <v>222</v>
      </c>
      <c r="O6" s="170">
        <f t="shared" si="5"/>
        <v>1319</v>
      </c>
      <c r="P6" s="167">
        <f t="shared" si="6"/>
        <v>595</v>
      </c>
      <c r="Q6" s="167">
        <f t="shared" si="7"/>
        <v>724</v>
      </c>
      <c r="R6" s="170">
        <f t="shared" si="8"/>
        <v>20</v>
      </c>
      <c r="S6" s="167">
        <f t="shared" si="9"/>
        <v>16</v>
      </c>
      <c r="T6" s="192">
        <f t="shared" si="0"/>
        <v>4</v>
      </c>
      <c r="U6" s="170">
        <f t="shared" si="10"/>
        <v>1319</v>
      </c>
      <c r="V6" s="167">
        <f t="shared" si="11"/>
        <v>595</v>
      </c>
      <c r="W6" s="167">
        <f t="shared" si="12"/>
        <v>724</v>
      </c>
      <c r="X6" s="170">
        <f t="shared" si="13"/>
        <v>20</v>
      </c>
      <c r="Y6" s="167">
        <f t="shared" si="14"/>
        <v>16</v>
      </c>
      <c r="Z6" s="192">
        <f t="shared" si="15"/>
        <v>4</v>
      </c>
      <c r="AB6" s="47" t="s">
        <v>209</v>
      </c>
      <c r="AC6" s="47" t="s">
        <v>222</v>
      </c>
      <c r="AD6" s="47" t="str">
        <f>LEFT(AC6,2)</f>
        <v>Q1</v>
      </c>
      <c r="AE6" s="47">
        <f>VALUE(RIGHT(AC6,4))</f>
        <v>2017</v>
      </c>
      <c r="AF6" s="113">
        <v>168231</v>
      </c>
      <c r="AG6" s="113">
        <v>53466</v>
      </c>
      <c r="AH6" s="113">
        <v>31137</v>
      </c>
      <c r="AI6" s="113">
        <v>70807</v>
      </c>
      <c r="AJ6" s="113">
        <v>12821</v>
      </c>
      <c r="AK6" s="47">
        <v>595</v>
      </c>
      <c r="AL6" s="47">
        <v>414</v>
      </c>
      <c r="AM6" s="47">
        <v>0</v>
      </c>
      <c r="AN6" s="47">
        <v>181</v>
      </c>
      <c r="AO6" s="47">
        <v>0</v>
      </c>
      <c r="AP6" s="113">
        <v>1633</v>
      </c>
      <c r="AQ6" s="47">
        <v>918</v>
      </c>
      <c r="AR6" s="47">
        <v>0</v>
      </c>
      <c r="AS6" s="47">
        <v>715</v>
      </c>
      <c r="AT6" s="47">
        <v>0</v>
      </c>
      <c r="AU6" s="47">
        <v>724</v>
      </c>
      <c r="AV6" s="47">
        <v>627</v>
      </c>
      <c r="AW6" s="47">
        <v>0</v>
      </c>
      <c r="AX6" s="47">
        <v>88</v>
      </c>
      <c r="AY6" s="47">
        <v>9</v>
      </c>
    </row>
    <row r="7" spans="2:51" x14ac:dyDescent="0.25">
      <c r="B7" s="67" t="s">
        <v>227</v>
      </c>
      <c r="C7" s="189" t="str">
        <f t="shared" si="2"/>
        <v>Q4</v>
      </c>
      <c r="D7" s="189">
        <f t="shared" si="3"/>
        <v>2017</v>
      </c>
      <c r="E7" s="170">
        <v>2642</v>
      </c>
      <c r="F7" s="167">
        <v>1187</v>
      </c>
      <c r="G7" s="167">
        <v>1455</v>
      </c>
      <c r="H7" s="170">
        <v>20</v>
      </c>
      <c r="I7" s="167">
        <v>8</v>
      </c>
      <c r="J7" s="192">
        <v>12</v>
      </c>
      <c r="L7" s="168">
        <v>42826</v>
      </c>
      <c r="M7" s="52">
        <f t="shared" si="4"/>
        <v>2017</v>
      </c>
      <c r="N7" s="169" t="s">
        <v>224</v>
      </c>
      <c r="O7" s="170">
        <f t="shared" si="5"/>
        <v>2089</v>
      </c>
      <c r="P7" s="167">
        <f t="shared" si="6"/>
        <v>831</v>
      </c>
      <c r="Q7" s="167">
        <f t="shared" si="7"/>
        <v>1258</v>
      </c>
      <c r="R7" s="170">
        <f t="shared" si="8"/>
        <v>16</v>
      </c>
      <c r="S7" s="167">
        <f t="shared" si="9"/>
        <v>4</v>
      </c>
      <c r="T7" s="192">
        <f t="shared" si="0"/>
        <v>12</v>
      </c>
      <c r="U7" s="170">
        <f t="shared" si="10"/>
        <v>2015.3333333333335</v>
      </c>
      <c r="V7" s="167">
        <f t="shared" si="11"/>
        <v>872</v>
      </c>
      <c r="W7" s="167">
        <f t="shared" si="12"/>
        <v>1143.3333333333333</v>
      </c>
      <c r="X7" s="170">
        <f t="shared" si="13"/>
        <v>25.333333333333332</v>
      </c>
      <c r="Y7" s="167">
        <f t="shared" si="14"/>
        <v>17.333333333333332</v>
      </c>
      <c r="Z7" s="192">
        <f t="shared" si="15"/>
        <v>8</v>
      </c>
      <c r="AC7" s="47" t="s">
        <v>224</v>
      </c>
      <c r="AD7" s="47" t="str">
        <f t="shared" ref="AD7:AD37" si="16">LEFT(AC7,2)</f>
        <v>Q2</v>
      </c>
      <c r="AE7" s="47">
        <f t="shared" ref="AE7:AE37" si="17">VALUE(RIGHT(AC7,4))</f>
        <v>2017</v>
      </c>
      <c r="AF7" s="113">
        <v>234023</v>
      </c>
      <c r="AG7" s="113">
        <v>78186</v>
      </c>
      <c r="AH7" s="113">
        <v>43864</v>
      </c>
      <c r="AI7" s="113">
        <v>94987</v>
      </c>
      <c r="AJ7" s="113">
        <v>16986</v>
      </c>
      <c r="AK7" s="47">
        <v>831</v>
      </c>
      <c r="AL7" s="47">
        <v>604</v>
      </c>
      <c r="AM7" s="47">
        <v>0</v>
      </c>
      <c r="AN7" s="47">
        <v>227</v>
      </c>
      <c r="AO7" s="47">
        <v>0</v>
      </c>
      <c r="AP7" s="113">
        <v>2412</v>
      </c>
      <c r="AQ7" s="113">
        <v>1385</v>
      </c>
      <c r="AR7" s="47">
        <v>0</v>
      </c>
      <c r="AS7" s="113">
        <v>1027</v>
      </c>
      <c r="AT7" s="47">
        <v>0</v>
      </c>
      <c r="AU7" s="113">
        <v>1258</v>
      </c>
      <c r="AV7" s="47">
        <v>938</v>
      </c>
      <c r="AW7" s="47">
        <v>0</v>
      </c>
      <c r="AX7" s="47">
        <v>153</v>
      </c>
      <c r="AY7" s="47">
        <v>167</v>
      </c>
    </row>
    <row r="8" spans="2:51" x14ac:dyDescent="0.25">
      <c r="B8" s="67" t="s">
        <v>228</v>
      </c>
      <c r="C8" s="189" t="str">
        <f t="shared" si="2"/>
        <v>Q1</v>
      </c>
      <c r="D8" s="189">
        <f t="shared" si="3"/>
        <v>2018</v>
      </c>
      <c r="E8" s="170">
        <v>2748</v>
      </c>
      <c r="F8" s="167">
        <v>928</v>
      </c>
      <c r="G8" s="167">
        <v>1820</v>
      </c>
      <c r="H8" s="170">
        <v>28</v>
      </c>
      <c r="I8" s="167">
        <v>13</v>
      </c>
      <c r="J8" s="192">
        <v>15</v>
      </c>
      <c r="L8" s="168">
        <v>42856</v>
      </c>
      <c r="M8" s="52">
        <f t="shared" si="4"/>
        <v>2017</v>
      </c>
      <c r="N8" s="169" t="s">
        <v>224</v>
      </c>
      <c r="O8" s="170">
        <f t="shared" si="5"/>
        <v>2089</v>
      </c>
      <c r="P8" s="167">
        <f t="shared" si="6"/>
        <v>831</v>
      </c>
      <c r="Q8" s="167">
        <f t="shared" si="7"/>
        <v>1258</v>
      </c>
      <c r="R8" s="170">
        <f t="shared" si="8"/>
        <v>16</v>
      </c>
      <c r="S8" s="167">
        <f t="shared" si="9"/>
        <v>4</v>
      </c>
      <c r="T8" s="192">
        <f t="shared" si="0"/>
        <v>12</v>
      </c>
      <c r="U8" s="170">
        <f t="shared" si="10"/>
        <v>2711.666666666667</v>
      </c>
      <c r="V8" s="167">
        <f t="shared" si="11"/>
        <v>1149</v>
      </c>
      <c r="W8" s="167">
        <f t="shared" si="12"/>
        <v>1562.6666666666665</v>
      </c>
      <c r="X8" s="170">
        <f t="shared" si="13"/>
        <v>30.666666666666664</v>
      </c>
      <c r="Y8" s="167">
        <f t="shared" si="14"/>
        <v>18.666666666666664</v>
      </c>
      <c r="Z8" s="192">
        <f t="shared" si="15"/>
        <v>12</v>
      </c>
      <c r="AC8" s="47" t="s">
        <v>226</v>
      </c>
      <c r="AD8" s="47" t="str">
        <f t="shared" si="16"/>
        <v>Q3</v>
      </c>
      <c r="AE8" s="47">
        <f t="shared" si="17"/>
        <v>2017</v>
      </c>
      <c r="AF8" s="113">
        <v>219646</v>
      </c>
      <c r="AG8" s="113">
        <v>70145</v>
      </c>
      <c r="AH8" s="113">
        <v>38983</v>
      </c>
      <c r="AI8" s="113">
        <v>94541</v>
      </c>
      <c r="AJ8" s="113">
        <v>15977</v>
      </c>
      <c r="AK8" s="47">
        <v>950</v>
      </c>
      <c r="AL8" s="47">
        <v>685</v>
      </c>
      <c r="AM8" s="47">
        <v>0</v>
      </c>
      <c r="AN8" s="47">
        <v>265</v>
      </c>
      <c r="AO8" s="47">
        <v>0</v>
      </c>
      <c r="AP8" s="113">
        <v>2540</v>
      </c>
      <c r="AQ8" s="113">
        <v>1504</v>
      </c>
      <c r="AR8" s="47">
        <v>0</v>
      </c>
      <c r="AS8" s="113">
        <v>1036</v>
      </c>
      <c r="AT8" s="47">
        <v>0</v>
      </c>
      <c r="AU8" s="113">
        <v>1180</v>
      </c>
      <c r="AV8" s="47">
        <v>985</v>
      </c>
      <c r="AW8" s="47">
        <v>0</v>
      </c>
      <c r="AX8" s="47">
        <v>98</v>
      </c>
      <c r="AY8" s="47">
        <v>97</v>
      </c>
    </row>
    <row r="9" spans="2:51" x14ac:dyDescent="0.25">
      <c r="B9" s="67" t="s">
        <v>229</v>
      </c>
      <c r="C9" s="189" t="str">
        <f t="shared" si="2"/>
        <v>Q2</v>
      </c>
      <c r="D9" s="189">
        <f t="shared" si="3"/>
        <v>2018</v>
      </c>
      <c r="E9" s="170">
        <v>6946</v>
      </c>
      <c r="F9" s="167">
        <v>3615</v>
      </c>
      <c r="G9" s="167">
        <v>3331</v>
      </c>
      <c r="H9" s="170">
        <v>72</v>
      </c>
      <c r="I9" s="167">
        <v>34</v>
      </c>
      <c r="J9" s="192">
        <v>38</v>
      </c>
      <c r="L9" s="168">
        <v>42887</v>
      </c>
      <c r="M9" s="52">
        <f t="shared" si="4"/>
        <v>2017</v>
      </c>
      <c r="N9" s="169" t="s">
        <v>224</v>
      </c>
      <c r="O9" s="170">
        <f t="shared" si="5"/>
        <v>2089</v>
      </c>
      <c r="P9" s="167">
        <f t="shared" si="6"/>
        <v>831</v>
      </c>
      <c r="Q9" s="167">
        <f t="shared" si="7"/>
        <v>1258</v>
      </c>
      <c r="R9" s="170">
        <f t="shared" si="8"/>
        <v>16</v>
      </c>
      <c r="S9" s="167">
        <f t="shared" si="9"/>
        <v>4</v>
      </c>
      <c r="T9" s="192">
        <f t="shared" si="0"/>
        <v>12</v>
      </c>
      <c r="U9" s="170">
        <f t="shared" si="10"/>
        <v>3408.0000000000005</v>
      </c>
      <c r="V9" s="167">
        <f t="shared" si="11"/>
        <v>1426</v>
      </c>
      <c r="W9" s="167">
        <f t="shared" si="12"/>
        <v>1981.9999999999998</v>
      </c>
      <c r="X9" s="170">
        <f t="shared" si="13"/>
        <v>36</v>
      </c>
      <c r="Y9" s="167">
        <f t="shared" si="14"/>
        <v>19.999999999999996</v>
      </c>
      <c r="Z9" s="192">
        <f t="shared" si="15"/>
        <v>16</v>
      </c>
      <c r="AC9" s="47" t="s">
        <v>227</v>
      </c>
      <c r="AD9" s="47" t="str">
        <f t="shared" si="16"/>
        <v>Q4</v>
      </c>
      <c r="AE9" s="47">
        <f t="shared" si="17"/>
        <v>2017</v>
      </c>
      <c r="AF9" s="113">
        <v>179532</v>
      </c>
      <c r="AG9" s="113">
        <v>51455</v>
      </c>
      <c r="AH9" s="113">
        <v>30080</v>
      </c>
      <c r="AI9" s="113">
        <v>84930</v>
      </c>
      <c r="AJ9" s="113">
        <v>13067</v>
      </c>
      <c r="AK9" s="113">
        <v>1187</v>
      </c>
      <c r="AL9" s="47">
        <v>829</v>
      </c>
      <c r="AM9" s="47">
        <v>0</v>
      </c>
      <c r="AN9" s="47">
        <v>358</v>
      </c>
      <c r="AO9" s="47">
        <v>0</v>
      </c>
      <c r="AP9" s="113">
        <v>1998</v>
      </c>
      <c r="AQ9" s="113">
        <v>1115</v>
      </c>
      <c r="AR9" s="47">
        <v>0</v>
      </c>
      <c r="AS9" s="47">
        <v>883</v>
      </c>
      <c r="AT9" s="47">
        <v>0</v>
      </c>
      <c r="AU9" s="113">
        <v>1455</v>
      </c>
      <c r="AV9" s="113">
        <v>1109</v>
      </c>
      <c r="AW9" s="47">
        <v>0</v>
      </c>
      <c r="AX9" s="47">
        <v>97</v>
      </c>
      <c r="AY9" s="47">
        <v>249</v>
      </c>
    </row>
    <row r="10" spans="2:51" x14ac:dyDescent="0.25">
      <c r="B10" s="67" t="s">
        <v>230</v>
      </c>
      <c r="C10" s="189" t="str">
        <f t="shared" si="2"/>
        <v>Q3</v>
      </c>
      <c r="D10" s="189">
        <f t="shared" si="3"/>
        <v>2018</v>
      </c>
      <c r="E10" s="170">
        <v>5258</v>
      </c>
      <c r="F10" s="167">
        <v>2476</v>
      </c>
      <c r="G10" s="167">
        <v>2782</v>
      </c>
      <c r="H10" s="170">
        <v>34</v>
      </c>
      <c r="I10" s="167">
        <v>18</v>
      </c>
      <c r="J10" s="192">
        <v>16</v>
      </c>
      <c r="L10" s="168">
        <v>42917</v>
      </c>
      <c r="M10" s="52">
        <f t="shared" si="4"/>
        <v>2017</v>
      </c>
      <c r="N10" s="169" t="s">
        <v>226</v>
      </c>
      <c r="O10" s="170">
        <f t="shared" si="5"/>
        <v>2130</v>
      </c>
      <c r="P10" s="167">
        <f t="shared" si="6"/>
        <v>950</v>
      </c>
      <c r="Q10" s="167">
        <f t="shared" si="7"/>
        <v>1180</v>
      </c>
      <c r="R10" s="170">
        <f t="shared" si="8"/>
        <v>10</v>
      </c>
      <c r="S10" s="167">
        <f t="shared" si="9"/>
        <v>2</v>
      </c>
      <c r="T10" s="192">
        <f t="shared" si="0"/>
        <v>8</v>
      </c>
      <c r="U10" s="170">
        <f t="shared" si="10"/>
        <v>4118</v>
      </c>
      <c r="V10" s="167">
        <f t="shared" si="11"/>
        <v>1742.6666666666667</v>
      </c>
      <c r="W10" s="167">
        <f t="shared" si="12"/>
        <v>2375.333333333333</v>
      </c>
      <c r="X10" s="170">
        <f t="shared" si="13"/>
        <v>39.333333333333336</v>
      </c>
      <c r="Y10" s="167">
        <f t="shared" si="14"/>
        <v>20.666666666666664</v>
      </c>
      <c r="Z10" s="192">
        <f t="shared" si="15"/>
        <v>18.666666666666668</v>
      </c>
      <c r="AC10" s="47" t="s">
        <v>228</v>
      </c>
      <c r="AD10" s="47" t="str">
        <f t="shared" si="16"/>
        <v>Q1</v>
      </c>
      <c r="AE10" s="47">
        <f t="shared" si="17"/>
        <v>2018</v>
      </c>
      <c r="AF10" s="113">
        <v>165401</v>
      </c>
      <c r="AG10" s="113">
        <v>47845</v>
      </c>
      <c r="AH10" s="113">
        <v>28028</v>
      </c>
      <c r="AI10" s="113">
        <v>76236</v>
      </c>
      <c r="AJ10" s="113">
        <v>13292</v>
      </c>
      <c r="AK10" s="47">
        <v>928</v>
      </c>
      <c r="AL10" s="47">
        <v>754</v>
      </c>
      <c r="AM10" s="47">
        <v>0</v>
      </c>
      <c r="AN10" s="47">
        <v>174</v>
      </c>
      <c r="AO10" s="47">
        <v>0</v>
      </c>
      <c r="AP10" s="113">
        <v>1522</v>
      </c>
      <c r="AQ10" s="47">
        <v>749</v>
      </c>
      <c r="AR10" s="47">
        <v>0</v>
      </c>
      <c r="AS10" s="47">
        <v>773</v>
      </c>
      <c r="AT10" s="47">
        <v>0</v>
      </c>
      <c r="AU10" s="113">
        <v>1820</v>
      </c>
      <c r="AV10" s="113">
        <v>1252</v>
      </c>
      <c r="AW10" s="47">
        <v>0</v>
      </c>
      <c r="AX10" s="47">
        <v>359</v>
      </c>
      <c r="AY10" s="47">
        <v>209</v>
      </c>
    </row>
    <row r="11" spans="2:51" x14ac:dyDescent="0.25">
      <c r="B11" s="67" t="s">
        <v>231</v>
      </c>
      <c r="C11" s="189" t="str">
        <f t="shared" si="2"/>
        <v>Q4</v>
      </c>
      <c r="D11" s="189">
        <f t="shared" si="3"/>
        <v>2018</v>
      </c>
      <c r="E11" s="170">
        <v>1806</v>
      </c>
      <c r="F11" s="167">
        <v>1195</v>
      </c>
      <c r="G11" s="167">
        <v>611</v>
      </c>
      <c r="H11" s="170">
        <v>17</v>
      </c>
      <c r="I11" s="167">
        <v>11</v>
      </c>
      <c r="J11" s="192">
        <v>6</v>
      </c>
      <c r="L11" s="168">
        <v>42948</v>
      </c>
      <c r="M11" s="52">
        <f t="shared" si="4"/>
        <v>2017</v>
      </c>
      <c r="N11" s="169" t="s">
        <v>226</v>
      </c>
      <c r="O11" s="170">
        <f t="shared" si="5"/>
        <v>2130</v>
      </c>
      <c r="P11" s="167">
        <f t="shared" si="6"/>
        <v>950</v>
      </c>
      <c r="Q11" s="167">
        <f t="shared" si="7"/>
        <v>1180</v>
      </c>
      <c r="R11" s="170">
        <f t="shared" si="8"/>
        <v>10</v>
      </c>
      <c r="S11" s="167">
        <f t="shared" si="9"/>
        <v>2</v>
      </c>
      <c r="T11" s="192">
        <f t="shared" si="0"/>
        <v>8</v>
      </c>
      <c r="U11" s="170">
        <f t="shared" si="10"/>
        <v>4828</v>
      </c>
      <c r="V11" s="167">
        <f t="shared" si="11"/>
        <v>2059.3333333333335</v>
      </c>
      <c r="W11" s="167">
        <f t="shared" si="12"/>
        <v>2768.6666666666665</v>
      </c>
      <c r="X11" s="170">
        <f t="shared" si="13"/>
        <v>42.666666666666671</v>
      </c>
      <c r="Y11" s="167">
        <f t="shared" si="14"/>
        <v>21.333333333333332</v>
      </c>
      <c r="Z11" s="192">
        <f t="shared" si="15"/>
        <v>21.333333333333336</v>
      </c>
      <c r="AC11" s="47" t="s">
        <v>229</v>
      </c>
      <c r="AD11" s="47" t="str">
        <f t="shared" si="16"/>
        <v>Q2</v>
      </c>
      <c r="AE11" s="47">
        <f t="shared" si="17"/>
        <v>2018</v>
      </c>
      <c r="AF11" s="113">
        <v>239898</v>
      </c>
      <c r="AG11" s="113">
        <v>77454</v>
      </c>
      <c r="AH11" s="113">
        <v>41155</v>
      </c>
      <c r="AI11" s="113">
        <v>105166</v>
      </c>
      <c r="AJ11" s="113">
        <v>16123</v>
      </c>
      <c r="AK11" s="113">
        <v>3615</v>
      </c>
      <c r="AL11" s="113">
        <v>3303</v>
      </c>
      <c r="AM11" s="47">
        <v>0</v>
      </c>
      <c r="AN11" s="47">
        <v>312</v>
      </c>
      <c r="AO11" s="47">
        <v>0</v>
      </c>
      <c r="AP11" s="113">
        <v>2759</v>
      </c>
      <c r="AQ11" s="113">
        <v>1464</v>
      </c>
      <c r="AR11" s="47">
        <v>0</v>
      </c>
      <c r="AS11" s="113">
        <v>1295</v>
      </c>
      <c r="AT11" s="47">
        <v>0</v>
      </c>
      <c r="AU11" s="113">
        <v>3331</v>
      </c>
      <c r="AV11" s="113">
        <v>2216</v>
      </c>
      <c r="AW11" s="47">
        <v>0</v>
      </c>
      <c r="AX11" s="47">
        <v>707</v>
      </c>
      <c r="AY11" s="47">
        <v>408</v>
      </c>
    </row>
    <row r="12" spans="2:51" x14ac:dyDescent="0.25">
      <c r="B12" s="67" t="s">
        <v>232</v>
      </c>
      <c r="C12" s="189" t="str">
        <f t="shared" si="2"/>
        <v>Q1</v>
      </c>
      <c r="D12" s="189">
        <f t="shared" si="3"/>
        <v>2019</v>
      </c>
      <c r="E12" s="170">
        <v>1342</v>
      </c>
      <c r="F12" s="167">
        <v>849</v>
      </c>
      <c r="G12" s="167">
        <v>493</v>
      </c>
      <c r="H12" s="170">
        <v>11</v>
      </c>
      <c r="I12" s="167">
        <v>4</v>
      </c>
      <c r="J12" s="192">
        <v>7</v>
      </c>
      <c r="L12" s="168">
        <v>42979</v>
      </c>
      <c r="M12" s="52">
        <f t="shared" si="4"/>
        <v>2017</v>
      </c>
      <c r="N12" s="169" t="s">
        <v>226</v>
      </c>
      <c r="O12" s="170">
        <f t="shared" si="5"/>
        <v>2130</v>
      </c>
      <c r="P12" s="167">
        <f t="shared" si="6"/>
        <v>950</v>
      </c>
      <c r="Q12" s="167">
        <f t="shared" si="7"/>
        <v>1180</v>
      </c>
      <c r="R12" s="170">
        <f t="shared" si="8"/>
        <v>10</v>
      </c>
      <c r="S12" s="167">
        <f t="shared" si="9"/>
        <v>2</v>
      </c>
      <c r="T12" s="192">
        <f t="shared" si="0"/>
        <v>8</v>
      </c>
      <c r="U12" s="170">
        <f t="shared" si="10"/>
        <v>5538</v>
      </c>
      <c r="V12" s="167">
        <f t="shared" si="11"/>
        <v>2376</v>
      </c>
      <c r="W12" s="167">
        <f t="shared" si="12"/>
        <v>3162</v>
      </c>
      <c r="X12" s="170">
        <f t="shared" si="13"/>
        <v>46.000000000000007</v>
      </c>
      <c r="Y12" s="167">
        <f t="shared" si="14"/>
        <v>22</v>
      </c>
      <c r="Z12" s="192">
        <f t="shared" si="15"/>
        <v>24.000000000000004</v>
      </c>
      <c r="AC12" s="47" t="s">
        <v>230</v>
      </c>
      <c r="AD12" s="47" t="str">
        <f t="shared" si="16"/>
        <v>Q3</v>
      </c>
      <c r="AE12" s="47">
        <f t="shared" si="17"/>
        <v>2018</v>
      </c>
      <c r="AF12" s="113">
        <v>218772</v>
      </c>
      <c r="AG12" s="113">
        <v>65753</v>
      </c>
      <c r="AH12" s="113">
        <v>36873</v>
      </c>
      <c r="AI12" s="113">
        <v>101715</v>
      </c>
      <c r="AJ12" s="113">
        <v>14431</v>
      </c>
      <c r="AK12" s="113">
        <v>2476</v>
      </c>
      <c r="AL12" s="113">
        <v>2212</v>
      </c>
      <c r="AM12" s="47">
        <v>0</v>
      </c>
      <c r="AN12" s="47">
        <v>264</v>
      </c>
      <c r="AO12" s="47">
        <v>0</v>
      </c>
      <c r="AP12" s="113">
        <v>2598</v>
      </c>
      <c r="AQ12" s="113">
        <v>1342</v>
      </c>
      <c r="AR12" s="47">
        <v>0</v>
      </c>
      <c r="AS12" s="113">
        <v>1256</v>
      </c>
      <c r="AT12" s="47">
        <v>0</v>
      </c>
      <c r="AU12" s="113">
        <v>2782</v>
      </c>
      <c r="AV12" s="113">
        <v>1679</v>
      </c>
      <c r="AW12" s="47">
        <v>0</v>
      </c>
      <c r="AX12" s="47">
        <v>890</v>
      </c>
      <c r="AY12" s="47">
        <v>213</v>
      </c>
    </row>
    <row r="13" spans="2:51" x14ac:dyDescent="0.25">
      <c r="B13" s="67" t="s">
        <v>233</v>
      </c>
      <c r="C13" s="189" t="str">
        <f t="shared" si="2"/>
        <v>Q2</v>
      </c>
      <c r="D13" s="189">
        <f t="shared" si="3"/>
        <v>2019</v>
      </c>
      <c r="E13" s="170">
        <v>2878</v>
      </c>
      <c r="F13" s="167">
        <v>1994</v>
      </c>
      <c r="G13" s="167">
        <v>884</v>
      </c>
      <c r="H13" s="170">
        <v>22</v>
      </c>
      <c r="I13" s="167">
        <v>18</v>
      </c>
      <c r="J13" s="192">
        <v>4</v>
      </c>
      <c r="L13" s="168">
        <v>43009</v>
      </c>
      <c r="M13" s="52">
        <f t="shared" si="4"/>
        <v>2017</v>
      </c>
      <c r="N13" s="169" t="s">
        <v>227</v>
      </c>
      <c r="O13" s="170">
        <f t="shared" si="5"/>
        <v>2642</v>
      </c>
      <c r="P13" s="167">
        <f t="shared" si="6"/>
        <v>1187</v>
      </c>
      <c r="Q13" s="167">
        <f t="shared" si="7"/>
        <v>1455</v>
      </c>
      <c r="R13" s="170">
        <f t="shared" si="8"/>
        <v>20</v>
      </c>
      <c r="S13" s="167">
        <f t="shared" si="9"/>
        <v>8</v>
      </c>
      <c r="T13" s="192">
        <f t="shared" si="0"/>
        <v>12</v>
      </c>
      <c r="U13" s="170">
        <f t="shared" si="10"/>
        <v>6418.666666666667</v>
      </c>
      <c r="V13" s="167">
        <f t="shared" si="11"/>
        <v>2771.6666666666665</v>
      </c>
      <c r="W13" s="167">
        <f t="shared" si="12"/>
        <v>3647</v>
      </c>
      <c r="X13" s="170">
        <f t="shared" si="13"/>
        <v>52.666666666666671</v>
      </c>
      <c r="Y13" s="167">
        <f t="shared" si="14"/>
        <v>24.666666666666668</v>
      </c>
      <c r="Z13" s="192">
        <f t="shared" si="15"/>
        <v>28.000000000000004</v>
      </c>
      <c r="AC13" s="47" t="s">
        <v>231</v>
      </c>
      <c r="AD13" s="47" t="str">
        <f t="shared" si="16"/>
        <v>Q4</v>
      </c>
      <c r="AE13" s="47">
        <f t="shared" si="17"/>
        <v>2018</v>
      </c>
      <c r="AF13" s="113">
        <v>174495</v>
      </c>
      <c r="AG13" s="113">
        <v>49473</v>
      </c>
      <c r="AH13" s="113">
        <v>29305</v>
      </c>
      <c r="AI13" s="113">
        <v>85107</v>
      </c>
      <c r="AJ13" s="113">
        <v>10610</v>
      </c>
      <c r="AK13" s="113">
        <v>1195</v>
      </c>
      <c r="AL13" s="113">
        <v>1042</v>
      </c>
      <c r="AM13" s="47">
        <v>0</v>
      </c>
      <c r="AN13" s="47">
        <v>153</v>
      </c>
      <c r="AO13" s="47">
        <v>0</v>
      </c>
      <c r="AP13" s="113">
        <v>2393</v>
      </c>
      <c r="AQ13" s="113">
        <v>1176</v>
      </c>
      <c r="AR13" s="47">
        <v>0</v>
      </c>
      <c r="AS13" s="113">
        <v>1217</v>
      </c>
      <c r="AT13" s="47">
        <v>0</v>
      </c>
      <c r="AU13" s="47">
        <v>611</v>
      </c>
      <c r="AV13" s="47">
        <v>370</v>
      </c>
      <c r="AW13" s="47">
        <v>0</v>
      </c>
      <c r="AX13" s="47">
        <v>196</v>
      </c>
      <c r="AY13" s="47">
        <v>45</v>
      </c>
    </row>
    <row r="14" spans="2:51" x14ac:dyDescent="0.25">
      <c r="B14" s="67" t="s">
        <v>234</v>
      </c>
      <c r="C14" s="189" t="str">
        <f t="shared" si="2"/>
        <v>Q3</v>
      </c>
      <c r="D14" s="189">
        <f t="shared" si="3"/>
        <v>2019</v>
      </c>
      <c r="E14" s="170">
        <v>3148</v>
      </c>
      <c r="F14" s="167">
        <v>2180</v>
      </c>
      <c r="G14" s="167">
        <v>968</v>
      </c>
      <c r="H14" s="170">
        <v>26</v>
      </c>
      <c r="I14" s="167">
        <v>21</v>
      </c>
      <c r="J14" s="192">
        <v>5</v>
      </c>
      <c r="L14" s="168">
        <v>43040</v>
      </c>
      <c r="M14" s="52">
        <f t="shared" si="4"/>
        <v>2017</v>
      </c>
      <c r="N14" s="169" t="s">
        <v>227</v>
      </c>
      <c r="O14" s="170">
        <f t="shared" si="5"/>
        <v>2642</v>
      </c>
      <c r="P14" s="167">
        <f t="shared" si="6"/>
        <v>1187</v>
      </c>
      <c r="Q14" s="167">
        <f t="shared" si="7"/>
        <v>1455</v>
      </c>
      <c r="R14" s="170">
        <f t="shared" si="8"/>
        <v>20</v>
      </c>
      <c r="S14" s="167">
        <f t="shared" si="9"/>
        <v>8</v>
      </c>
      <c r="T14" s="192">
        <f t="shared" si="0"/>
        <v>12</v>
      </c>
      <c r="U14" s="170">
        <f t="shared" si="10"/>
        <v>7299.3333333333339</v>
      </c>
      <c r="V14" s="167">
        <f t="shared" si="11"/>
        <v>3167.333333333333</v>
      </c>
      <c r="W14" s="167">
        <f t="shared" si="12"/>
        <v>4132</v>
      </c>
      <c r="X14" s="170">
        <f t="shared" si="13"/>
        <v>59.333333333333336</v>
      </c>
      <c r="Y14" s="167">
        <f t="shared" si="14"/>
        <v>27.333333333333336</v>
      </c>
      <c r="Z14" s="192">
        <f t="shared" si="15"/>
        <v>32</v>
      </c>
      <c r="AC14" s="47" t="s">
        <v>232</v>
      </c>
      <c r="AD14" s="47" t="str">
        <f t="shared" si="16"/>
        <v>Q1</v>
      </c>
      <c r="AE14" s="47">
        <f t="shared" si="17"/>
        <v>2019</v>
      </c>
      <c r="AF14" s="113">
        <v>168957</v>
      </c>
      <c r="AG14" s="113">
        <v>44428</v>
      </c>
      <c r="AH14" s="113">
        <v>28460</v>
      </c>
      <c r="AI14" s="113">
        <v>83778</v>
      </c>
      <c r="AJ14" s="113">
        <v>12291</v>
      </c>
      <c r="AK14" s="47">
        <v>849</v>
      </c>
      <c r="AL14" s="47">
        <v>564</v>
      </c>
      <c r="AM14" s="47">
        <v>0</v>
      </c>
      <c r="AN14" s="47">
        <v>285</v>
      </c>
      <c r="AO14" s="47">
        <v>0</v>
      </c>
      <c r="AP14" s="113">
        <v>2648</v>
      </c>
      <c r="AQ14" s="113">
        <v>1907</v>
      </c>
      <c r="AR14" s="47">
        <v>0</v>
      </c>
      <c r="AS14" s="47">
        <v>741</v>
      </c>
      <c r="AT14" s="47">
        <v>0</v>
      </c>
      <c r="AU14" s="47">
        <v>493</v>
      </c>
      <c r="AV14" s="47">
        <v>280</v>
      </c>
      <c r="AW14" s="47">
        <v>0</v>
      </c>
      <c r="AX14" s="47">
        <v>189</v>
      </c>
      <c r="AY14" s="47">
        <v>24</v>
      </c>
    </row>
    <row r="15" spans="2:51" x14ac:dyDescent="0.25">
      <c r="B15" s="67" t="s">
        <v>235</v>
      </c>
      <c r="C15" s="189" t="str">
        <f t="shared" si="2"/>
        <v>Q4</v>
      </c>
      <c r="D15" s="189">
        <f t="shared" si="3"/>
        <v>2019</v>
      </c>
      <c r="E15" s="170">
        <v>2394</v>
      </c>
      <c r="F15" s="167">
        <v>1538</v>
      </c>
      <c r="G15" s="167">
        <v>856</v>
      </c>
      <c r="H15" s="170">
        <v>31</v>
      </c>
      <c r="I15" s="167">
        <v>20</v>
      </c>
      <c r="J15" s="192">
        <v>11</v>
      </c>
      <c r="L15" s="168">
        <v>43070</v>
      </c>
      <c r="M15" s="52">
        <f t="shared" si="4"/>
        <v>2017</v>
      </c>
      <c r="N15" s="169" t="s">
        <v>227</v>
      </c>
      <c r="O15" s="170">
        <f t="shared" si="5"/>
        <v>2642</v>
      </c>
      <c r="P15" s="167">
        <f t="shared" si="6"/>
        <v>1187</v>
      </c>
      <c r="Q15" s="167">
        <f t="shared" si="7"/>
        <v>1455</v>
      </c>
      <c r="R15" s="170">
        <f t="shared" si="8"/>
        <v>20</v>
      </c>
      <c r="S15" s="167">
        <f t="shared" si="9"/>
        <v>8</v>
      </c>
      <c r="T15" s="192">
        <f t="shared" si="0"/>
        <v>12</v>
      </c>
      <c r="U15" s="170">
        <f t="shared" si="10"/>
        <v>8180.0000000000009</v>
      </c>
      <c r="V15" s="167">
        <f t="shared" si="11"/>
        <v>3562.9999999999995</v>
      </c>
      <c r="W15" s="167">
        <f t="shared" si="12"/>
        <v>4617</v>
      </c>
      <c r="X15" s="170">
        <f t="shared" si="13"/>
        <v>66</v>
      </c>
      <c r="Y15" s="167">
        <f t="shared" si="14"/>
        <v>30.000000000000004</v>
      </c>
      <c r="Z15" s="192">
        <f t="shared" si="15"/>
        <v>36</v>
      </c>
      <c r="AC15" s="47" t="s">
        <v>233</v>
      </c>
      <c r="AD15" s="47" t="str">
        <f t="shared" si="16"/>
        <v>Q2</v>
      </c>
      <c r="AE15" s="47">
        <f t="shared" si="17"/>
        <v>2019</v>
      </c>
      <c r="AF15" s="113">
        <v>222798</v>
      </c>
      <c r="AG15" s="113">
        <v>62600</v>
      </c>
      <c r="AH15" s="113">
        <v>40636</v>
      </c>
      <c r="AI15" s="113">
        <v>105628</v>
      </c>
      <c r="AJ15" s="113">
        <v>13934</v>
      </c>
      <c r="AK15" s="113">
        <v>1994</v>
      </c>
      <c r="AL15" s="113">
        <v>1658</v>
      </c>
      <c r="AM15" s="47">
        <v>0</v>
      </c>
      <c r="AN15" s="47">
        <v>336</v>
      </c>
      <c r="AO15" s="47">
        <v>0</v>
      </c>
      <c r="AP15" s="113">
        <v>4327</v>
      </c>
      <c r="AQ15" s="113">
        <v>1862</v>
      </c>
      <c r="AR15" s="47">
        <v>0</v>
      </c>
      <c r="AS15" s="113">
        <v>2465</v>
      </c>
      <c r="AT15" s="47">
        <v>0</v>
      </c>
      <c r="AU15" s="47">
        <v>884</v>
      </c>
      <c r="AV15" s="47">
        <v>498</v>
      </c>
      <c r="AW15" s="47">
        <v>0</v>
      </c>
      <c r="AX15" s="47">
        <v>349</v>
      </c>
      <c r="AY15" s="47">
        <v>37</v>
      </c>
    </row>
    <row r="16" spans="2:51" x14ac:dyDescent="0.25">
      <c r="B16" s="67" t="s">
        <v>236</v>
      </c>
      <c r="C16" s="189" t="str">
        <f t="shared" si="2"/>
        <v>Q1</v>
      </c>
      <c r="D16" s="189">
        <f t="shared" si="3"/>
        <v>2020</v>
      </c>
      <c r="E16" s="170">
        <v>2102</v>
      </c>
      <c r="F16" s="167">
        <v>1554</v>
      </c>
      <c r="G16" s="167">
        <v>548</v>
      </c>
      <c r="H16" s="170">
        <v>19</v>
      </c>
      <c r="I16" s="167">
        <v>16</v>
      </c>
      <c r="J16" s="192">
        <v>3</v>
      </c>
      <c r="L16" s="168">
        <v>43101</v>
      </c>
      <c r="M16" s="52">
        <f t="shared" si="4"/>
        <v>2018</v>
      </c>
      <c r="N16" s="169" t="s">
        <v>228</v>
      </c>
      <c r="O16" s="170">
        <f t="shared" si="5"/>
        <v>2748</v>
      </c>
      <c r="P16" s="167">
        <f t="shared" si="6"/>
        <v>928</v>
      </c>
      <c r="Q16" s="167">
        <f t="shared" si="7"/>
        <v>1820</v>
      </c>
      <c r="R16" s="170">
        <f t="shared" si="8"/>
        <v>28</v>
      </c>
      <c r="S16" s="167">
        <f t="shared" si="9"/>
        <v>13</v>
      </c>
      <c r="T16" s="192">
        <f t="shared" si="0"/>
        <v>15</v>
      </c>
      <c r="U16" s="170">
        <f t="shared" si="10"/>
        <v>9096</v>
      </c>
      <c r="V16" s="167">
        <f t="shared" si="11"/>
        <v>3872.333333333333</v>
      </c>
      <c r="W16" s="167">
        <f t="shared" si="12"/>
        <v>5223.666666666667</v>
      </c>
      <c r="X16" s="170">
        <f t="shared" si="13"/>
        <v>75.333333333333329</v>
      </c>
      <c r="Y16" s="167">
        <f t="shared" si="14"/>
        <v>34.333333333333336</v>
      </c>
      <c r="Z16" s="192">
        <f t="shared" si="15"/>
        <v>41</v>
      </c>
      <c r="AC16" s="47" t="s">
        <v>234</v>
      </c>
      <c r="AD16" s="47" t="str">
        <f t="shared" si="16"/>
        <v>Q3</v>
      </c>
      <c r="AE16" s="47">
        <f t="shared" si="17"/>
        <v>2019</v>
      </c>
      <c r="AF16" s="113">
        <v>219577</v>
      </c>
      <c r="AG16" s="113">
        <v>56213</v>
      </c>
      <c r="AH16" s="113">
        <v>42340</v>
      </c>
      <c r="AI16" s="113">
        <v>108105</v>
      </c>
      <c r="AJ16" s="113">
        <v>12919</v>
      </c>
      <c r="AK16" s="113">
        <v>2180</v>
      </c>
      <c r="AL16" s="113">
        <v>1844</v>
      </c>
      <c r="AM16" s="47">
        <v>0</v>
      </c>
      <c r="AN16" s="47">
        <v>336</v>
      </c>
      <c r="AO16" s="47">
        <v>0</v>
      </c>
      <c r="AP16" s="113">
        <v>3982</v>
      </c>
      <c r="AQ16" s="113">
        <v>2150</v>
      </c>
      <c r="AR16" s="47">
        <v>0</v>
      </c>
      <c r="AS16" s="113">
        <v>1832</v>
      </c>
      <c r="AT16" s="47">
        <v>0</v>
      </c>
      <c r="AU16" s="47">
        <v>968</v>
      </c>
      <c r="AV16" s="47">
        <v>644</v>
      </c>
      <c r="AW16" s="47">
        <v>0</v>
      </c>
      <c r="AX16" s="47">
        <v>306</v>
      </c>
      <c r="AY16" s="47">
        <v>18</v>
      </c>
    </row>
    <row r="17" spans="2:51" x14ac:dyDescent="0.25">
      <c r="B17" s="67" t="s">
        <v>237</v>
      </c>
      <c r="C17" s="189" t="str">
        <f t="shared" si="2"/>
        <v>Q2</v>
      </c>
      <c r="D17" s="189">
        <f t="shared" si="3"/>
        <v>2020</v>
      </c>
      <c r="E17" s="170">
        <v>1640</v>
      </c>
      <c r="F17" s="167">
        <v>1217</v>
      </c>
      <c r="G17" s="167">
        <v>423</v>
      </c>
      <c r="H17" s="170">
        <v>13</v>
      </c>
      <c r="I17" s="167">
        <v>8</v>
      </c>
      <c r="J17" s="192">
        <v>5</v>
      </c>
      <c r="L17" s="168">
        <v>43132</v>
      </c>
      <c r="M17" s="52">
        <f t="shared" si="4"/>
        <v>2018</v>
      </c>
      <c r="N17" s="169" t="s">
        <v>228</v>
      </c>
      <c r="O17" s="170">
        <f t="shared" si="5"/>
        <v>2748</v>
      </c>
      <c r="P17" s="167">
        <f t="shared" si="6"/>
        <v>928</v>
      </c>
      <c r="Q17" s="167">
        <f t="shared" si="7"/>
        <v>1820</v>
      </c>
      <c r="R17" s="170">
        <f t="shared" si="8"/>
        <v>28</v>
      </c>
      <c r="S17" s="167">
        <f t="shared" si="9"/>
        <v>13</v>
      </c>
      <c r="T17" s="192">
        <f t="shared" si="0"/>
        <v>15</v>
      </c>
      <c r="U17" s="170">
        <f t="shared" si="10"/>
        <v>10012</v>
      </c>
      <c r="V17" s="167">
        <f t="shared" si="11"/>
        <v>4181.6666666666661</v>
      </c>
      <c r="W17" s="167">
        <f t="shared" si="12"/>
        <v>5830.3333333333339</v>
      </c>
      <c r="X17" s="170">
        <f t="shared" si="13"/>
        <v>84.666666666666657</v>
      </c>
      <c r="Y17" s="167">
        <f t="shared" si="14"/>
        <v>38.666666666666671</v>
      </c>
      <c r="Z17" s="192">
        <f t="shared" si="15"/>
        <v>46</v>
      </c>
      <c r="AC17" s="47" t="s">
        <v>235</v>
      </c>
      <c r="AD17" s="47" t="str">
        <f t="shared" si="16"/>
        <v>Q4</v>
      </c>
      <c r="AE17" s="47">
        <f t="shared" si="17"/>
        <v>2019</v>
      </c>
      <c r="AF17" s="113">
        <v>184747</v>
      </c>
      <c r="AG17" s="113">
        <v>42523</v>
      </c>
      <c r="AH17" s="113">
        <v>33225</v>
      </c>
      <c r="AI17" s="113">
        <v>98451</v>
      </c>
      <c r="AJ17" s="113">
        <v>10548</v>
      </c>
      <c r="AK17" s="113">
        <v>1538</v>
      </c>
      <c r="AL17" s="113">
        <v>1194</v>
      </c>
      <c r="AM17" s="47">
        <v>0</v>
      </c>
      <c r="AN17" s="47">
        <v>344</v>
      </c>
      <c r="AO17" s="47">
        <v>0</v>
      </c>
      <c r="AP17" s="113">
        <v>3507</v>
      </c>
      <c r="AQ17" s="113">
        <v>1792</v>
      </c>
      <c r="AR17" s="47">
        <v>0</v>
      </c>
      <c r="AS17" s="113">
        <v>1715</v>
      </c>
      <c r="AT17" s="47">
        <v>0</v>
      </c>
      <c r="AU17" s="47">
        <v>856</v>
      </c>
      <c r="AV17" s="47">
        <v>442</v>
      </c>
      <c r="AW17" s="47">
        <v>0</v>
      </c>
      <c r="AX17" s="47">
        <v>401</v>
      </c>
      <c r="AY17" s="47">
        <v>13</v>
      </c>
    </row>
    <row r="18" spans="2:51" x14ac:dyDescent="0.25">
      <c r="B18" s="67" t="s">
        <v>238</v>
      </c>
      <c r="C18" s="189" t="str">
        <f t="shared" si="2"/>
        <v>Q3</v>
      </c>
      <c r="D18" s="189">
        <f t="shared" si="3"/>
        <v>2020</v>
      </c>
      <c r="E18" s="170">
        <v>3296</v>
      </c>
      <c r="F18" s="167">
        <v>2554</v>
      </c>
      <c r="G18" s="167">
        <v>742</v>
      </c>
      <c r="H18" s="170">
        <v>18</v>
      </c>
      <c r="I18" s="167">
        <v>17</v>
      </c>
      <c r="J18" s="192">
        <v>1</v>
      </c>
      <c r="L18" s="168">
        <v>43160</v>
      </c>
      <c r="M18" s="52">
        <f t="shared" si="4"/>
        <v>2018</v>
      </c>
      <c r="N18" s="169" t="s">
        <v>228</v>
      </c>
      <c r="O18" s="170">
        <f t="shared" si="5"/>
        <v>2748</v>
      </c>
      <c r="P18" s="167">
        <f t="shared" si="6"/>
        <v>928</v>
      </c>
      <c r="Q18" s="167">
        <f t="shared" si="7"/>
        <v>1820</v>
      </c>
      <c r="R18" s="170">
        <f t="shared" si="8"/>
        <v>28</v>
      </c>
      <c r="S18" s="167">
        <f t="shared" si="9"/>
        <v>13</v>
      </c>
      <c r="T18" s="192">
        <f t="shared" si="0"/>
        <v>15</v>
      </c>
      <c r="U18" s="170">
        <f t="shared" si="10"/>
        <v>10928</v>
      </c>
      <c r="V18" s="167">
        <f t="shared" si="11"/>
        <v>4490.9999999999991</v>
      </c>
      <c r="W18" s="167">
        <f t="shared" si="12"/>
        <v>6437.0000000000009</v>
      </c>
      <c r="X18" s="170">
        <f t="shared" si="13"/>
        <v>93.999999999999986</v>
      </c>
      <c r="Y18" s="167">
        <f t="shared" si="14"/>
        <v>43.000000000000007</v>
      </c>
      <c r="Z18" s="192">
        <f t="shared" si="15"/>
        <v>51</v>
      </c>
      <c r="AC18" s="47" t="s">
        <v>236</v>
      </c>
      <c r="AD18" s="47" t="str">
        <f t="shared" si="16"/>
        <v>Q1</v>
      </c>
      <c r="AE18" s="47">
        <f t="shared" si="17"/>
        <v>2020</v>
      </c>
      <c r="AF18" s="113">
        <v>139116</v>
      </c>
      <c r="AG18" s="113">
        <v>30723</v>
      </c>
      <c r="AH18" s="113">
        <v>30242</v>
      </c>
      <c r="AI18" s="113">
        <v>69100</v>
      </c>
      <c r="AJ18" s="113">
        <v>9051</v>
      </c>
      <c r="AK18" s="113">
        <v>1554</v>
      </c>
      <c r="AL18" s="113">
        <v>1259</v>
      </c>
      <c r="AM18" s="47">
        <v>0</v>
      </c>
      <c r="AN18" s="47">
        <v>295</v>
      </c>
      <c r="AO18" s="47">
        <v>0</v>
      </c>
      <c r="AP18" s="113">
        <v>3365</v>
      </c>
      <c r="AQ18" s="113">
        <v>1523</v>
      </c>
      <c r="AR18" s="47">
        <v>0</v>
      </c>
      <c r="AS18" s="113">
        <v>1842</v>
      </c>
      <c r="AT18" s="47">
        <v>0</v>
      </c>
      <c r="AU18" s="47">
        <v>548</v>
      </c>
      <c r="AV18" s="47">
        <v>280</v>
      </c>
      <c r="AW18" s="47">
        <v>0</v>
      </c>
      <c r="AX18" s="47">
        <v>228</v>
      </c>
      <c r="AY18" s="47">
        <v>40</v>
      </c>
    </row>
    <row r="19" spans="2:51" x14ac:dyDescent="0.25">
      <c r="B19" s="67" t="s">
        <v>239</v>
      </c>
      <c r="C19" s="189" t="str">
        <f t="shared" si="2"/>
        <v>Q4</v>
      </c>
      <c r="D19" s="189">
        <f t="shared" si="3"/>
        <v>2020</v>
      </c>
      <c r="E19" s="170">
        <v>3477</v>
      </c>
      <c r="F19" s="167">
        <v>2833</v>
      </c>
      <c r="G19" s="167">
        <v>644</v>
      </c>
      <c r="H19" s="170">
        <v>28</v>
      </c>
      <c r="I19" s="167">
        <v>20</v>
      </c>
      <c r="J19" s="192">
        <v>8</v>
      </c>
      <c r="L19" s="168">
        <v>43191</v>
      </c>
      <c r="M19" s="52">
        <f t="shared" si="4"/>
        <v>2018</v>
      </c>
      <c r="N19" s="169" t="s">
        <v>229</v>
      </c>
      <c r="O19" s="170">
        <f t="shared" si="5"/>
        <v>6946</v>
      </c>
      <c r="P19" s="167">
        <f t="shared" si="6"/>
        <v>3615</v>
      </c>
      <c r="Q19" s="167">
        <f t="shared" si="7"/>
        <v>3331</v>
      </c>
      <c r="R19" s="170">
        <f t="shared" si="8"/>
        <v>72</v>
      </c>
      <c r="S19" s="167">
        <f t="shared" si="9"/>
        <v>34</v>
      </c>
      <c r="T19" s="192">
        <f t="shared" si="0"/>
        <v>38</v>
      </c>
      <c r="U19" s="170">
        <f t="shared" si="10"/>
        <v>13243.333333333334</v>
      </c>
      <c r="V19" s="167">
        <f t="shared" si="11"/>
        <v>5695.9999999999991</v>
      </c>
      <c r="W19" s="167">
        <f t="shared" si="12"/>
        <v>7547.3333333333339</v>
      </c>
      <c r="X19" s="170">
        <f t="shared" si="13"/>
        <v>117.99999999999999</v>
      </c>
      <c r="Y19" s="167">
        <f t="shared" si="14"/>
        <v>54.333333333333343</v>
      </c>
      <c r="Z19" s="192">
        <f t="shared" si="15"/>
        <v>63.666666666666664</v>
      </c>
      <c r="AC19" s="47" t="s">
        <v>237</v>
      </c>
      <c r="AD19" s="47" t="str">
        <f t="shared" si="16"/>
        <v>Q2</v>
      </c>
      <c r="AE19" s="47">
        <f t="shared" si="17"/>
        <v>2020</v>
      </c>
      <c r="AF19" s="113">
        <v>109197</v>
      </c>
      <c r="AG19" s="113">
        <v>23550</v>
      </c>
      <c r="AH19" s="113">
        <v>25679</v>
      </c>
      <c r="AI19" s="113">
        <v>53780</v>
      </c>
      <c r="AJ19" s="113">
        <v>6188</v>
      </c>
      <c r="AK19" s="113">
        <v>1217</v>
      </c>
      <c r="AL19" s="47">
        <v>819</v>
      </c>
      <c r="AM19" s="47">
        <v>0</v>
      </c>
      <c r="AN19" s="47">
        <v>398</v>
      </c>
      <c r="AO19" s="47">
        <v>0</v>
      </c>
      <c r="AP19" s="113">
        <v>2612</v>
      </c>
      <c r="AQ19" s="47">
        <v>978</v>
      </c>
      <c r="AR19" s="47">
        <v>0</v>
      </c>
      <c r="AS19" s="113">
        <v>1634</v>
      </c>
      <c r="AT19" s="47">
        <v>0</v>
      </c>
      <c r="AU19" s="47">
        <v>423</v>
      </c>
      <c r="AV19" s="47">
        <v>191</v>
      </c>
      <c r="AW19" s="47">
        <v>0</v>
      </c>
      <c r="AX19" s="47">
        <v>211</v>
      </c>
      <c r="AY19" s="47">
        <v>21</v>
      </c>
    </row>
    <row r="20" spans="2:51" x14ac:dyDescent="0.25">
      <c r="B20" s="67" t="s">
        <v>240</v>
      </c>
      <c r="C20" s="189" t="str">
        <f t="shared" si="2"/>
        <v>Q1</v>
      </c>
      <c r="D20" s="189">
        <f t="shared" si="3"/>
        <v>2021</v>
      </c>
      <c r="E20" s="170">
        <v>3329</v>
      </c>
      <c r="F20" s="167">
        <v>2568</v>
      </c>
      <c r="G20" s="167">
        <v>761</v>
      </c>
      <c r="H20" s="170">
        <v>34</v>
      </c>
      <c r="I20" s="167">
        <v>31</v>
      </c>
      <c r="J20" s="192">
        <v>3</v>
      </c>
      <c r="L20" s="168">
        <v>43221</v>
      </c>
      <c r="M20" s="52">
        <f t="shared" si="4"/>
        <v>2018</v>
      </c>
      <c r="N20" s="169" t="s">
        <v>229</v>
      </c>
      <c r="O20" s="170">
        <f t="shared" si="5"/>
        <v>6946</v>
      </c>
      <c r="P20" s="167">
        <f t="shared" ref="P20:P83" si="18">SUMIFS(F:F,$B:$B,$N20)</f>
        <v>3615</v>
      </c>
      <c r="Q20" s="167">
        <f t="shared" ref="Q20:Q51" si="19">SUMIFS(G:G,$B:$B,$N20)</f>
        <v>3331</v>
      </c>
      <c r="R20" s="170">
        <f t="shared" ref="R20:R51" si="20">SUMIFS(H:H,$B:$B,$N20)</f>
        <v>72</v>
      </c>
      <c r="S20" s="167">
        <f t="shared" si="9"/>
        <v>34</v>
      </c>
      <c r="T20" s="192">
        <f t="shared" si="0"/>
        <v>38</v>
      </c>
      <c r="U20" s="170">
        <f t="shared" si="10"/>
        <v>15558.666666666668</v>
      </c>
      <c r="V20" s="167">
        <f t="shared" si="11"/>
        <v>6900.9999999999991</v>
      </c>
      <c r="W20" s="167">
        <f t="shared" si="12"/>
        <v>8657.6666666666679</v>
      </c>
      <c r="X20" s="170">
        <f t="shared" si="13"/>
        <v>142</v>
      </c>
      <c r="Y20" s="167">
        <f t="shared" si="14"/>
        <v>65.666666666666671</v>
      </c>
      <c r="Z20" s="192">
        <f t="shared" si="15"/>
        <v>76.333333333333329</v>
      </c>
      <c r="AC20" s="47" t="s">
        <v>238</v>
      </c>
      <c r="AD20" s="47" t="str">
        <f t="shared" si="16"/>
        <v>Q3</v>
      </c>
      <c r="AE20" s="47">
        <f t="shared" si="17"/>
        <v>2020</v>
      </c>
      <c r="AF20" s="113">
        <v>198406</v>
      </c>
      <c r="AG20" s="113">
        <v>41219</v>
      </c>
      <c r="AH20" s="113">
        <v>41892</v>
      </c>
      <c r="AI20" s="113">
        <v>103833</v>
      </c>
      <c r="AJ20" s="113">
        <v>11462</v>
      </c>
      <c r="AK20" s="113">
        <v>2554</v>
      </c>
      <c r="AL20" s="113">
        <v>1258</v>
      </c>
      <c r="AM20" s="47">
        <v>0</v>
      </c>
      <c r="AN20" s="113">
        <v>1296</v>
      </c>
      <c r="AO20" s="47">
        <v>0</v>
      </c>
      <c r="AP20" s="113">
        <v>5663</v>
      </c>
      <c r="AQ20" s="113">
        <v>1468</v>
      </c>
      <c r="AR20" s="47">
        <v>0</v>
      </c>
      <c r="AS20" s="113">
        <v>4195</v>
      </c>
      <c r="AT20" s="47">
        <v>0</v>
      </c>
      <c r="AU20" s="47">
        <v>742</v>
      </c>
      <c r="AV20" s="47">
        <v>316</v>
      </c>
      <c r="AW20" s="47">
        <v>0</v>
      </c>
      <c r="AX20" s="47">
        <v>392</v>
      </c>
      <c r="AY20" s="47">
        <v>34</v>
      </c>
    </row>
    <row r="21" spans="2:51" x14ac:dyDescent="0.25">
      <c r="B21" s="67" t="s">
        <v>241</v>
      </c>
      <c r="C21" s="189" t="str">
        <f t="shared" si="2"/>
        <v>Q2</v>
      </c>
      <c r="D21" s="189">
        <f t="shared" si="3"/>
        <v>2021</v>
      </c>
      <c r="E21" s="170">
        <v>5096</v>
      </c>
      <c r="F21" s="167">
        <v>3710</v>
      </c>
      <c r="G21" s="167">
        <v>1386</v>
      </c>
      <c r="H21" s="170">
        <v>49</v>
      </c>
      <c r="I21" s="167">
        <v>41</v>
      </c>
      <c r="J21" s="192">
        <v>8</v>
      </c>
      <c r="L21" s="168">
        <v>43252</v>
      </c>
      <c r="M21" s="52">
        <f t="shared" si="4"/>
        <v>2018</v>
      </c>
      <c r="N21" s="169" t="s">
        <v>229</v>
      </c>
      <c r="O21" s="170">
        <f t="shared" si="5"/>
        <v>6946</v>
      </c>
      <c r="P21" s="167">
        <f t="shared" si="18"/>
        <v>3615</v>
      </c>
      <c r="Q21" s="167">
        <f t="shared" si="19"/>
        <v>3331</v>
      </c>
      <c r="R21" s="170">
        <f t="shared" si="20"/>
        <v>72</v>
      </c>
      <c r="S21" s="167">
        <f t="shared" si="9"/>
        <v>34</v>
      </c>
      <c r="T21" s="192">
        <f t="shared" si="0"/>
        <v>38</v>
      </c>
      <c r="U21" s="170">
        <f t="shared" si="10"/>
        <v>17874</v>
      </c>
      <c r="V21" s="167">
        <f t="shared" si="11"/>
        <v>8105.9999999999991</v>
      </c>
      <c r="W21" s="167">
        <f t="shared" si="12"/>
        <v>9768.0000000000018</v>
      </c>
      <c r="X21" s="170">
        <f t="shared" si="13"/>
        <v>166</v>
      </c>
      <c r="Y21" s="167">
        <f t="shared" si="14"/>
        <v>77</v>
      </c>
      <c r="Z21" s="192">
        <f t="shared" si="15"/>
        <v>89</v>
      </c>
      <c r="AC21" s="47" t="s">
        <v>239</v>
      </c>
      <c r="AD21" s="47" t="str">
        <f t="shared" si="16"/>
        <v>Q4</v>
      </c>
      <c r="AE21" s="47">
        <f t="shared" si="17"/>
        <v>2020</v>
      </c>
      <c r="AF21" s="113">
        <v>153907</v>
      </c>
      <c r="AG21" s="113">
        <v>29160</v>
      </c>
      <c r="AH21" s="113">
        <v>29957</v>
      </c>
      <c r="AI21" s="113">
        <v>86256</v>
      </c>
      <c r="AJ21" s="113">
        <v>8534</v>
      </c>
      <c r="AK21" s="113">
        <v>2833</v>
      </c>
      <c r="AL21" s="113">
        <v>1357</v>
      </c>
      <c r="AM21" s="47">
        <v>0</v>
      </c>
      <c r="AN21" s="113">
        <v>1476</v>
      </c>
      <c r="AO21" s="47">
        <v>0</v>
      </c>
      <c r="AP21" s="113">
        <v>5167</v>
      </c>
      <c r="AQ21" s="113">
        <v>1196</v>
      </c>
      <c r="AR21" s="47">
        <v>10</v>
      </c>
      <c r="AS21" s="113">
        <v>3961</v>
      </c>
      <c r="AT21" s="47">
        <v>0</v>
      </c>
      <c r="AU21" s="47">
        <v>644</v>
      </c>
      <c r="AV21" s="47">
        <v>219</v>
      </c>
      <c r="AW21" s="47">
        <v>0</v>
      </c>
      <c r="AX21" s="47">
        <v>385</v>
      </c>
      <c r="AY21" s="47">
        <v>40</v>
      </c>
    </row>
    <row r="22" spans="2:51" x14ac:dyDescent="0.25">
      <c r="B22" s="67" t="s">
        <v>242</v>
      </c>
      <c r="C22" s="189" t="str">
        <f t="shared" si="2"/>
        <v>Q3</v>
      </c>
      <c r="D22" s="189">
        <f t="shared" si="3"/>
        <v>2021</v>
      </c>
      <c r="E22" s="170">
        <v>5162</v>
      </c>
      <c r="F22" s="167">
        <v>3671</v>
      </c>
      <c r="G22" s="167">
        <v>1491</v>
      </c>
      <c r="H22" s="170">
        <v>57</v>
      </c>
      <c r="I22" s="167">
        <v>46</v>
      </c>
      <c r="J22" s="192">
        <v>11</v>
      </c>
      <c r="L22" s="168">
        <v>43282</v>
      </c>
      <c r="M22" s="52">
        <f t="shared" si="4"/>
        <v>2018</v>
      </c>
      <c r="N22" s="169" t="s">
        <v>230</v>
      </c>
      <c r="O22" s="170">
        <f t="shared" si="5"/>
        <v>5258</v>
      </c>
      <c r="P22" s="167">
        <f t="shared" si="18"/>
        <v>2476</v>
      </c>
      <c r="Q22" s="167">
        <f t="shared" si="19"/>
        <v>2782</v>
      </c>
      <c r="R22" s="170">
        <f t="shared" si="20"/>
        <v>34</v>
      </c>
      <c r="S22" s="167">
        <f t="shared" si="9"/>
        <v>18</v>
      </c>
      <c r="T22" s="192">
        <f t="shared" si="0"/>
        <v>16</v>
      </c>
      <c r="U22" s="170">
        <f t="shared" si="10"/>
        <v>19626.666666666668</v>
      </c>
      <c r="V22" s="167">
        <f t="shared" si="11"/>
        <v>8931.3333333333321</v>
      </c>
      <c r="W22" s="167">
        <f t="shared" si="12"/>
        <v>10695.333333333336</v>
      </c>
      <c r="X22" s="170">
        <f t="shared" si="13"/>
        <v>177.33333333333334</v>
      </c>
      <c r="Y22" s="167">
        <f t="shared" si="14"/>
        <v>83</v>
      </c>
      <c r="Z22" s="192">
        <f t="shared" si="15"/>
        <v>94.333333333333329</v>
      </c>
      <c r="AC22" s="47" t="s">
        <v>240</v>
      </c>
      <c r="AD22" s="47" t="str">
        <f t="shared" si="16"/>
        <v>Q1</v>
      </c>
      <c r="AE22" s="47">
        <f t="shared" si="17"/>
        <v>2021</v>
      </c>
      <c r="AF22" s="113">
        <v>141788</v>
      </c>
      <c r="AG22" s="113">
        <v>24678</v>
      </c>
      <c r="AH22" s="113">
        <v>31358</v>
      </c>
      <c r="AI22" s="113">
        <v>77953</v>
      </c>
      <c r="AJ22" s="113">
        <v>7799</v>
      </c>
      <c r="AK22" s="113">
        <v>2568</v>
      </c>
      <c r="AL22" s="47">
        <v>989</v>
      </c>
      <c r="AM22" s="47">
        <v>0</v>
      </c>
      <c r="AN22" s="113">
        <v>1579</v>
      </c>
      <c r="AO22" s="47">
        <v>0</v>
      </c>
      <c r="AP22" s="113">
        <v>5850</v>
      </c>
      <c r="AQ22" s="113">
        <v>1277</v>
      </c>
      <c r="AR22" s="47">
        <v>468</v>
      </c>
      <c r="AS22" s="113">
        <v>3291</v>
      </c>
      <c r="AT22" s="47">
        <v>814</v>
      </c>
      <c r="AU22" s="47">
        <v>761</v>
      </c>
      <c r="AV22" s="47">
        <v>182</v>
      </c>
      <c r="AW22" s="47">
        <v>0</v>
      </c>
      <c r="AX22" s="47">
        <v>512</v>
      </c>
      <c r="AY22" s="47">
        <v>67</v>
      </c>
    </row>
    <row r="23" spans="2:51" x14ac:dyDescent="0.25">
      <c r="B23" s="67" t="s">
        <v>243</v>
      </c>
      <c r="C23" s="189" t="str">
        <f t="shared" si="2"/>
        <v>Q4</v>
      </c>
      <c r="D23" s="189">
        <f t="shared" si="3"/>
        <v>2021</v>
      </c>
      <c r="E23" s="170">
        <v>6129</v>
      </c>
      <c r="F23" s="167">
        <v>4787</v>
      </c>
      <c r="G23" s="167">
        <v>1342</v>
      </c>
      <c r="H23" s="170">
        <v>39</v>
      </c>
      <c r="I23" s="167">
        <v>29</v>
      </c>
      <c r="J23" s="192">
        <v>10</v>
      </c>
      <c r="L23" s="168">
        <v>43313</v>
      </c>
      <c r="M23" s="52">
        <f t="shared" si="4"/>
        <v>2018</v>
      </c>
      <c r="N23" s="169" t="s">
        <v>230</v>
      </c>
      <c r="O23" s="170">
        <f t="shared" si="5"/>
        <v>5258</v>
      </c>
      <c r="P23" s="167">
        <f t="shared" si="18"/>
        <v>2476</v>
      </c>
      <c r="Q23" s="167">
        <f t="shared" si="19"/>
        <v>2782</v>
      </c>
      <c r="R23" s="170">
        <f t="shared" si="20"/>
        <v>34</v>
      </c>
      <c r="S23" s="167">
        <f t="shared" si="9"/>
        <v>18</v>
      </c>
      <c r="T23" s="192">
        <f t="shared" si="0"/>
        <v>16</v>
      </c>
      <c r="U23" s="170">
        <f t="shared" si="10"/>
        <v>21379.333333333336</v>
      </c>
      <c r="V23" s="167">
        <f t="shared" si="11"/>
        <v>9756.6666666666661</v>
      </c>
      <c r="W23" s="167">
        <f t="shared" si="12"/>
        <v>11622.66666666667</v>
      </c>
      <c r="X23" s="170">
        <f t="shared" si="13"/>
        <v>188.66666666666669</v>
      </c>
      <c r="Y23" s="167">
        <f t="shared" si="14"/>
        <v>89</v>
      </c>
      <c r="Z23" s="192">
        <f t="shared" si="15"/>
        <v>99.666666666666657</v>
      </c>
      <c r="AC23" s="47" t="s">
        <v>241</v>
      </c>
      <c r="AD23" s="47" t="str">
        <f t="shared" si="16"/>
        <v>Q2</v>
      </c>
      <c r="AE23" s="47">
        <f t="shared" si="17"/>
        <v>2021</v>
      </c>
      <c r="AF23" s="113">
        <v>180118</v>
      </c>
      <c r="AG23" s="113">
        <v>38742</v>
      </c>
      <c r="AH23" s="113">
        <v>30651</v>
      </c>
      <c r="AI23" s="113">
        <v>102427</v>
      </c>
      <c r="AJ23" s="113">
        <v>8298</v>
      </c>
      <c r="AK23" s="113">
        <v>3710</v>
      </c>
      <c r="AL23" s="113">
        <v>1648</v>
      </c>
      <c r="AM23" s="47">
        <v>0</v>
      </c>
      <c r="AN23" s="113">
        <v>2062</v>
      </c>
      <c r="AO23" s="47">
        <v>0</v>
      </c>
      <c r="AP23" s="113">
        <v>11078</v>
      </c>
      <c r="AQ23" s="113">
        <v>2150</v>
      </c>
      <c r="AR23" s="47">
        <v>546</v>
      </c>
      <c r="AS23" s="113">
        <v>6774</v>
      </c>
      <c r="AT23" s="113">
        <v>1608</v>
      </c>
      <c r="AU23" s="113">
        <v>1386</v>
      </c>
      <c r="AV23" s="47">
        <v>267</v>
      </c>
      <c r="AW23" s="47">
        <v>0</v>
      </c>
      <c r="AX23" s="113">
        <v>1063</v>
      </c>
      <c r="AY23" s="47">
        <v>56</v>
      </c>
    </row>
    <row r="24" spans="2:51" x14ac:dyDescent="0.25">
      <c r="B24" s="67" t="s">
        <v>244</v>
      </c>
      <c r="C24" s="189" t="str">
        <f t="shared" si="2"/>
        <v>Q1</v>
      </c>
      <c r="D24" s="189">
        <f t="shared" si="3"/>
        <v>2022</v>
      </c>
      <c r="E24" s="170">
        <v>7124</v>
      </c>
      <c r="F24" s="167">
        <v>5686</v>
      </c>
      <c r="G24" s="167">
        <v>1438</v>
      </c>
      <c r="H24" s="170">
        <v>52</v>
      </c>
      <c r="I24" s="167">
        <v>41</v>
      </c>
      <c r="J24" s="192">
        <v>11</v>
      </c>
      <c r="L24" s="168">
        <v>43344</v>
      </c>
      <c r="M24" s="52">
        <f t="shared" si="4"/>
        <v>2018</v>
      </c>
      <c r="N24" s="169" t="s">
        <v>230</v>
      </c>
      <c r="O24" s="170">
        <f t="shared" si="5"/>
        <v>5258</v>
      </c>
      <c r="P24" s="167">
        <f t="shared" si="18"/>
        <v>2476</v>
      </c>
      <c r="Q24" s="167">
        <f t="shared" si="19"/>
        <v>2782</v>
      </c>
      <c r="R24" s="170">
        <f t="shared" si="20"/>
        <v>34</v>
      </c>
      <c r="S24" s="167">
        <f t="shared" si="9"/>
        <v>18</v>
      </c>
      <c r="T24" s="192">
        <f t="shared" si="0"/>
        <v>16</v>
      </c>
      <c r="U24" s="170">
        <f t="shared" si="10"/>
        <v>23132.000000000004</v>
      </c>
      <c r="V24" s="167">
        <f t="shared" si="11"/>
        <v>10582</v>
      </c>
      <c r="W24" s="167">
        <f t="shared" si="12"/>
        <v>12550.000000000004</v>
      </c>
      <c r="X24" s="170">
        <f t="shared" si="13"/>
        <v>200.00000000000003</v>
      </c>
      <c r="Y24" s="167">
        <f t="shared" si="14"/>
        <v>95</v>
      </c>
      <c r="Z24" s="192">
        <f t="shared" si="15"/>
        <v>104.99999999999999</v>
      </c>
      <c r="AC24" s="47" t="s">
        <v>242</v>
      </c>
      <c r="AD24" s="47" t="str">
        <f t="shared" si="16"/>
        <v>Q3</v>
      </c>
      <c r="AE24" s="47">
        <f t="shared" si="17"/>
        <v>2021</v>
      </c>
      <c r="AF24" s="113">
        <v>174623</v>
      </c>
      <c r="AG24" s="113">
        <v>39861</v>
      </c>
      <c r="AH24" s="113">
        <v>27990</v>
      </c>
      <c r="AI24" s="113">
        <v>99057</v>
      </c>
      <c r="AJ24" s="113">
        <v>7715</v>
      </c>
      <c r="AK24" s="113">
        <v>3671</v>
      </c>
      <c r="AL24" s="113">
        <v>2019</v>
      </c>
      <c r="AM24" s="47">
        <v>0</v>
      </c>
      <c r="AN24" s="113">
        <v>1652</v>
      </c>
      <c r="AO24" s="47">
        <v>0</v>
      </c>
      <c r="AP24" s="113">
        <v>10252</v>
      </c>
      <c r="AQ24" s="113">
        <v>2571</v>
      </c>
      <c r="AR24" s="47">
        <v>653</v>
      </c>
      <c r="AS24" s="113">
        <v>5495</v>
      </c>
      <c r="AT24" s="113">
        <v>1533</v>
      </c>
      <c r="AU24" s="113">
        <v>1491</v>
      </c>
      <c r="AV24" s="47">
        <v>382</v>
      </c>
      <c r="AW24" s="47">
        <v>0</v>
      </c>
      <c r="AX24" s="47">
        <v>979</v>
      </c>
      <c r="AY24" s="47">
        <v>130</v>
      </c>
    </row>
    <row r="25" spans="2:51" x14ac:dyDescent="0.25">
      <c r="B25" s="67" t="s">
        <v>245</v>
      </c>
      <c r="C25" s="189" t="str">
        <f t="shared" si="2"/>
        <v>Q2</v>
      </c>
      <c r="D25" s="189">
        <f t="shared" si="3"/>
        <v>2022</v>
      </c>
      <c r="E25" s="170">
        <v>9534</v>
      </c>
      <c r="F25" s="167">
        <v>7875</v>
      </c>
      <c r="G25" s="167">
        <v>1659</v>
      </c>
      <c r="H25" s="170">
        <v>81</v>
      </c>
      <c r="I25" s="167">
        <v>68</v>
      </c>
      <c r="J25" s="192">
        <v>13</v>
      </c>
      <c r="L25" s="168">
        <v>43374</v>
      </c>
      <c r="M25" s="52">
        <f t="shared" si="4"/>
        <v>2018</v>
      </c>
      <c r="N25" s="169" t="s">
        <v>231</v>
      </c>
      <c r="O25" s="170">
        <f t="shared" si="5"/>
        <v>1806</v>
      </c>
      <c r="P25" s="167">
        <f t="shared" si="18"/>
        <v>1195</v>
      </c>
      <c r="Q25" s="167">
        <f t="shared" si="19"/>
        <v>611</v>
      </c>
      <c r="R25" s="170">
        <f t="shared" si="20"/>
        <v>17</v>
      </c>
      <c r="S25" s="167">
        <f t="shared" si="9"/>
        <v>11</v>
      </c>
      <c r="T25" s="192">
        <f t="shared" si="0"/>
        <v>6</v>
      </c>
      <c r="U25" s="170">
        <f t="shared" si="10"/>
        <v>23734.000000000004</v>
      </c>
      <c r="V25" s="167">
        <f t="shared" si="11"/>
        <v>10980.333333333334</v>
      </c>
      <c r="W25" s="167">
        <f t="shared" si="12"/>
        <v>12753.66666666667</v>
      </c>
      <c r="X25" s="170">
        <f t="shared" si="13"/>
        <v>205.66666666666669</v>
      </c>
      <c r="Y25" s="167">
        <f t="shared" si="14"/>
        <v>98.666666666666671</v>
      </c>
      <c r="Z25" s="192">
        <f t="shared" si="15"/>
        <v>106.99999999999999</v>
      </c>
      <c r="AC25" s="47" t="s">
        <v>243</v>
      </c>
      <c r="AD25" s="47" t="str">
        <f t="shared" si="16"/>
        <v>Q4</v>
      </c>
      <c r="AE25" s="47">
        <f t="shared" si="17"/>
        <v>2021</v>
      </c>
      <c r="AF25" s="113">
        <v>130630</v>
      </c>
      <c r="AG25" s="113">
        <v>25550</v>
      </c>
      <c r="AH25" s="113">
        <v>27906</v>
      </c>
      <c r="AI25" s="113">
        <v>72997</v>
      </c>
      <c r="AJ25" s="113">
        <v>4177</v>
      </c>
      <c r="AK25" s="113">
        <v>4787</v>
      </c>
      <c r="AL25" s="113">
        <v>2342</v>
      </c>
      <c r="AM25" s="47">
        <v>0</v>
      </c>
      <c r="AN25" s="113">
        <v>2445</v>
      </c>
      <c r="AO25" s="47">
        <v>0</v>
      </c>
      <c r="AP25" s="113">
        <v>6159</v>
      </c>
      <c r="AQ25" s="113">
        <v>1129</v>
      </c>
      <c r="AR25" s="47">
        <v>661</v>
      </c>
      <c r="AS25" s="113">
        <v>3295</v>
      </c>
      <c r="AT25" s="113">
        <v>1074</v>
      </c>
      <c r="AU25" s="113">
        <v>1342</v>
      </c>
      <c r="AV25" s="47">
        <v>199</v>
      </c>
      <c r="AW25" s="47">
        <v>0</v>
      </c>
      <c r="AX25" s="113">
        <v>1114</v>
      </c>
      <c r="AY25" s="47">
        <v>29</v>
      </c>
    </row>
    <row r="26" spans="2:51" x14ac:dyDescent="0.25">
      <c r="B26" s="67" t="s">
        <v>246</v>
      </c>
      <c r="C26" s="189" t="str">
        <f t="shared" si="2"/>
        <v>Q3</v>
      </c>
      <c r="D26" s="189">
        <f t="shared" si="3"/>
        <v>2022</v>
      </c>
      <c r="E26" s="170">
        <v>11013</v>
      </c>
      <c r="F26" s="167">
        <v>9716</v>
      </c>
      <c r="G26" s="167">
        <v>1297</v>
      </c>
      <c r="H26" s="170">
        <v>98</v>
      </c>
      <c r="I26" s="167">
        <v>86</v>
      </c>
      <c r="J26" s="192">
        <v>12</v>
      </c>
      <c r="L26" s="168">
        <v>43405</v>
      </c>
      <c r="M26" s="52">
        <f t="shared" si="4"/>
        <v>2018</v>
      </c>
      <c r="N26" s="169" t="s">
        <v>231</v>
      </c>
      <c r="O26" s="170">
        <f t="shared" si="5"/>
        <v>1806</v>
      </c>
      <c r="P26" s="167">
        <f t="shared" si="18"/>
        <v>1195</v>
      </c>
      <c r="Q26" s="167">
        <f t="shared" si="19"/>
        <v>611</v>
      </c>
      <c r="R26" s="170">
        <f t="shared" si="20"/>
        <v>17</v>
      </c>
      <c r="S26" s="167">
        <f t="shared" si="9"/>
        <v>11</v>
      </c>
      <c r="T26" s="192">
        <f t="shared" si="0"/>
        <v>6</v>
      </c>
      <c r="U26" s="170">
        <f t="shared" si="10"/>
        <v>24336.000000000004</v>
      </c>
      <c r="V26" s="167">
        <f t="shared" si="11"/>
        <v>11378.666666666668</v>
      </c>
      <c r="W26" s="167">
        <f t="shared" si="12"/>
        <v>12957.333333333336</v>
      </c>
      <c r="X26" s="170">
        <f t="shared" si="13"/>
        <v>211.33333333333334</v>
      </c>
      <c r="Y26" s="167">
        <f t="shared" si="14"/>
        <v>102.33333333333334</v>
      </c>
      <c r="Z26" s="192">
        <f t="shared" si="15"/>
        <v>108.99999999999999</v>
      </c>
      <c r="AC26" s="47" t="s">
        <v>244</v>
      </c>
      <c r="AD26" s="47" t="str">
        <f t="shared" si="16"/>
        <v>Q1</v>
      </c>
      <c r="AE26" s="47">
        <f t="shared" si="17"/>
        <v>2022</v>
      </c>
      <c r="AF26" s="113">
        <v>135137</v>
      </c>
      <c r="AG26" s="113">
        <v>24105</v>
      </c>
      <c r="AH26" s="113">
        <v>26220</v>
      </c>
      <c r="AI26" s="113">
        <v>79278</v>
      </c>
      <c r="AJ26" s="113">
        <v>5534</v>
      </c>
      <c r="AK26" s="113">
        <v>5686</v>
      </c>
      <c r="AL26" s="113">
        <v>2869</v>
      </c>
      <c r="AM26" s="47">
        <v>0</v>
      </c>
      <c r="AN26" s="113">
        <v>2813</v>
      </c>
      <c r="AO26" s="47">
        <v>4</v>
      </c>
      <c r="AP26" s="113">
        <v>7044</v>
      </c>
      <c r="AQ26" s="113">
        <v>1843</v>
      </c>
      <c r="AR26" s="47">
        <v>561</v>
      </c>
      <c r="AS26" s="113">
        <v>3754</v>
      </c>
      <c r="AT26" s="47">
        <v>886</v>
      </c>
      <c r="AU26" s="113">
        <v>1438</v>
      </c>
      <c r="AV26" s="47">
        <v>152</v>
      </c>
      <c r="AW26" s="47">
        <v>0</v>
      </c>
      <c r="AX26" s="113">
        <v>1045</v>
      </c>
      <c r="AY26" s="47">
        <v>241</v>
      </c>
    </row>
    <row r="27" spans="2:51" x14ac:dyDescent="0.25">
      <c r="B27" s="67" t="s">
        <v>247</v>
      </c>
      <c r="C27" s="189" t="str">
        <f t="shared" si="2"/>
        <v>Q4</v>
      </c>
      <c r="D27" s="189">
        <f t="shared" si="3"/>
        <v>2022</v>
      </c>
      <c r="E27" s="170">
        <v>10991</v>
      </c>
      <c r="F27" s="167">
        <v>9506</v>
      </c>
      <c r="G27" s="167">
        <v>1485</v>
      </c>
      <c r="H27" s="170">
        <v>97</v>
      </c>
      <c r="I27" s="167">
        <v>86</v>
      </c>
      <c r="J27" s="192">
        <v>11</v>
      </c>
      <c r="L27" s="168">
        <v>43435</v>
      </c>
      <c r="M27" s="52">
        <f t="shared" si="4"/>
        <v>2018</v>
      </c>
      <c r="N27" s="169" t="s">
        <v>231</v>
      </c>
      <c r="O27" s="170">
        <f t="shared" si="5"/>
        <v>1806</v>
      </c>
      <c r="P27" s="167">
        <f t="shared" si="18"/>
        <v>1195</v>
      </c>
      <c r="Q27" s="167">
        <f t="shared" si="19"/>
        <v>611</v>
      </c>
      <c r="R27" s="170">
        <f t="shared" si="20"/>
        <v>17</v>
      </c>
      <c r="S27" s="167">
        <f t="shared" si="9"/>
        <v>11</v>
      </c>
      <c r="T27" s="192">
        <f t="shared" si="0"/>
        <v>6</v>
      </c>
      <c r="U27" s="170">
        <f t="shared" si="10"/>
        <v>24938.000000000004</v>
      </c>
      <c r="V27" s="167">
        <f t="shared" si="11"/>
        <v>11777.000000000002</v>
      </c>
      <c r="W27" s="167">
        <f t="shared" si="12"/>
        <v>13161.000000000002</v>
      </c>
      <c r="X27" s="170">
        <f t="shared" si="13"/>
        <v>217</v>
      </c>
      <c r="Y27" s="167">
        <f t="shared" si="14"/>
        <v>106.00000000000001</v>
      </c>
      <c r="Z27" s="192">
        <f t="shared" si="15"/>
        <v>110.99999999999999</v>
      </c>
      <c r="AC27" s="47" t="s">
        <v>245</v>
      </c>
      <c r="AD27" s="47" t="str">
        <f t="shared" si="16"/>
        <v>Q2</v>
      </c>
      <c r="AE27" s="47">
        <f t="shared" si="17"/>
        <v>2022</v>
      </c>
      <c r="AF27" s="113">
        <v>169244</v>
      </c>
      <c r="AG27" s="113">
        <v>32486</v>
      </c>
      <c r="AH27" s="113">
        <v>34804</v>
      </c>
      <c r="AI27" s="113">
        <v>96359</v>
      </c>
      <c r="AJ27" s="113">
        <v>5595</v>
      </c>
      <c r="AK27" s="113">
        <v>7875</v>
      </c>
      <c r="AL27" s="113">
        <v>2904</v>
      </c>
      <c r="AM27" s="47">
        <v>59</v>
      </c>
      <c r="AN27" s="113">
        <v>4868</v>
      </c>
      <c r="AO27" s="47">
        <v>44</v>
      </c>
      <c r="AP27" s="113">
        <v>11645</v>
      </c>
      <c r="AQ27" s="113">
        <v>2282</v>
      </c>
      <c r="AR27" s="113">
        <v>1508</v>
      </c>
      <c r="AS27" s="113">
        <v>7091</v>
      </c>
      <c r="AT27" s="47">
        <v>764</v>
      </c>
      <c r="AU27" s="113">
        <v>1659</v>
      </c>
      <c r="AV27" s="47">
        <v>271</v>
      </c>
      <c r="AW27" s="47">
        <v>0</v>
      </c>
      <c r="AX27" s="113">
        <v>1271</v>
      </c>
      <c r="AY27" s="47">
        <v>117</v>
      </c>
    </row>
    <row r="28" spans="2:51" x14ac:dyDescent="0.25">
      <c r="B28" s="67" t="s">
        <v>248</v>
      </c>
      <c r="C28" s="189" t="str">
        <f t="shared" si="2"/>
        <v>Q1</v>
      </c>
      <c r="D28" s="189">
        <f t="shared" si="3"/>
        <v>2023</v>
      </c>
      <c r="E28" s="170">
        <v>8520</v>
      </c>
      <c r="F28" s="167">
        <v>6760</v>
      </c>
      <c r="G28" s="167">
        <v>1760</v>
      </c>
      <c r="H28" s="170">
        <v>82</v>
      </c>
      <c r="I28" s="167">
        <v>69</v>
      </c>
      <c r="J28" s="192">
        <v>13</v>
      </c>
      <c r="L28" s="168">
        <v>43466</v>
      </c>
      <c r="M28" s="52">
        <f t="shared" si="4"/>
        <v>2019</v>
      </c>
      <c r="N28" s="169" t="s">
        <v>232</v>
      </c>
      <c r="O28" s="170">
        <f t="shared" si="5"/>
        <v>1342</v>
      </c>
      <c r="P28" s="167">
        <f t="shared" si="18"/>
        <v>849</v>
      </c>
      <c r="Q28" s="167">
        <f t="shared" si="19"/>
        <v>493</v>
      </c>
      <c r="R28" s="170">
        <f t="shared" si="20"/>
        <v>11</v>
      </c>
      <c r="S28" s="167">
        <f t="shared" si="9"/>
        <v>4</v>
      </c>
      <c r="T28" s="192">
        <f t="shared" si="0"/>
        <v>7</v>
      </c>
      <c r="U28" s="170">
        <f t="shared" si="10"/>
        <v>25385.333333333336</v>
      </c>
      <c r="V28" s="167">
        <f t="shared" si="11"/>
        <v>12060.000000000002</v>
      </c>
      <c r="W28" s="167">
        <f t="shared" si="12"/>
        <v>13325.333333333336</v>
      </c>
      <c r="X28" s="170">
        <f t="shared" si="13"/>
        <v>220.66666666666666</v>
      </c>
      <c r="Y28" s="167">
        <f t="shared" si="14"/>
        <v>107.33333333333334</v>
      </c>
      <c r="Z28" s="192">
        <f t="shared" si="15"/>
        <v>113.33333333333331</v>
      </c>
      <c r="AC28" s="47" t="s">
        <v>246</v>
      </c>
      <c r="AD28" s="47" t="str">
        <f t="shared" si="16"/>
        <v>Q3</v>
      </c>
      <c r="AE28" s="47">
        <f t="shared" si="17"/>
        <v>2022</v>
      </c>
      <c r="AF28" s="113">
        <v>153779</v>
      </c>
      <c r="AG28" s="113">
        <v>30648</v>
      </c>
      <c r="AH28" s="113">
        <v>32032</v>
      </c>
      <c r="AI28" s="113">
        <v>86604</v>
      </c>
      <c r="AJ28" s="113">
        <v>4495</v>
      </c>
      <c r="AK28" s="113">
        <v>9716</v>
      </c>
      <c r="AL28" s="113">
        <v>3995</v>
      </c>
      <c r="AM28" s="47">
        <v>469</v>
      </c>
      <c r="AN28" s="113">
        <v>5206</v>
      </c>
      <c r="AO28" s="47">
        <v>46</v>
      </c>
      <c r="AP28" s="113">
        <v>9376</v>
      </c>
      <c r="AQ28" s="113">
        <v>1527</v>
      </c>
      <c r="AR28" s="113">
        <v>1414</v>
      </c>
      <c r="AS28" s="113">
        <v>5937</v>
      </c>
      <c r="AT28" s="47">
        <v>498</v>
      </c>
      <c r="AU28" s="113">
        <v>1297</v>
      </c>
      <c r="AV28" s="47">
        <v>201</v>
      </c>
      <c r="AW28" s="47">
        <v>0</v>
      </c>
      <c r="AX28" s="113">
        <v>1001</v>
      </c>
      <c r="AY28" s="47">
        <v>95</v>
      </c>
    </row>
    <row r="29" spans="2:51" x14ac:dyDescent="0.25">
      <c r="B29" s="67" t="s">
        <v>249</v>
      </c>
      <c r="C29" s="189" t="str">
        <f t="shared" si="2"/>
        <v>Q2</v>
      </c>
      <c r="D29" s="189">
        <f t="shared" si="3"/>
        <v>2023</v>
      </c>
      <c r="E29" s="170">
        <v>12797</v>
      </c>
      <c r="F29" s="167">
        <v>9486</v>
      </c>
      <c r="G29" s="167">
        <v>3311</v>
      </c>
      <c r="H29" s="170">
        <v>147</v>
      </c>
      <c r="I29" s="167">
        <v>113</v>
      </c>
      <c r="J29" s="192">
        <v>34</v>
      </c>
      <c r="L29" s="168">
        <v>43497</v>
      </c>
      <c r="M29" s="52">
        <f t="shared" si="4"/>
        <v>2019</v>
      </c>
      <c r="N29" s="169" t="s">
        <v>232</v>
      </c>
      <c r="O29" s="170">
        <f t="shared" si="5"/>
        <v>1342</v>
      </c>
      <c r="P29" s="167">
        <f t="shared" si="18"/>
        <v>849</v>
      </c>
      <c r="Q29" s="167">
        <f t="shared" si="19"/>
        <v>493</v>
      </c>
      <c r="R29" s="170">
        <f t="shared" si="20"/>
        <v>11</v>
      </c>
      <c r="S29" s="167">
        <f t="shared" si="9"/>
        <v>4</v>
      </c>
      <c r="T29" s="192">
        <f t="shared" si="0"/>
        <v>7</v>
      </c>
      <c r="U29" s="170">
        <f t="shared" si="10"/>
        <v>25832.666666666668</v>
      </c>
      <c r="V29" s="167">
        <f t="shared" si="11"/>
        <v>12343.000000000002</v>
      </c>
      <c r="W29" s="167">
        <f t="shared" si="12"/>
        <v>13489.66666666667</v>
      </c>
      <c r="X29" s="170">
        <f t="shared" si="13"/>
        <v>224.33333333333331</v>
      </c>
      <c r="Y29" s="167">
        <f t="shared" si="14"/>
        <v>108.66666666666667</v>
      </c>
      <c r="Z29" s="192">
        <f t="shared" si="15"/>
        <v>115.66666666666664</v>
      </c>
      <c r="AC29" s="47" t="s">
        <v>247</v>
      </c>
      <c r="AD29" s="47" t="str">
        <f t="shared" si="16"/>
        <v>Q4</v>
      </c>
      <c r="AE29" s="47">
        <f t="shared" si="17"/>
        <v>2022</v>
      </c>
      <c r="AF29" s="113">
        <v>136338</v>
      </c>
      <c r="AG29" s="113">
        <v>22716</v>
      </c>
      <c r="AH29" s="113">
        <v>29708</v>
      </c>
      <c r="AI29" s="113">
        <v>79353</v>
      </c>
      <c r="AJ29" s="113">
        <v>4561</v>
      </c>
      <c r="AK29" s="113">
        <v>9506</v>
      </c>
      <c r="AL29" s="47">
        <v>2594</v>
      </c>
      <c r="AM29" s="47">
        <v>344</v>
      </c>
      <c r="AN29" s="113">
        <v>6486</v>
      </c>
      <c r="AO29" s="47">
        <v>82</v>
      </c>
      <c r="AP29" s="113">
        <v>7392</v>
      </c>
      <c r="AQ29" s="113">
        <v>1000</v>
      </c>
      <c r="AR29" s="47">
        <v>1274</v>
      </c>
      <c r="AS29" s="113">
        <v>4686</v>
      </c>
      <c r="AT29" s="47">
        <v>432</v>
      </c>
      <c r="AU29" s="47">
        <v>1485</v>
      </c>
      <c r="AV29" s="47">
        <v>171</v>
      </c>
      <c r="AW29" s="47">
        <v>0</v>
      </c>
      <c r="AX29" s="47">
        <v>1248</v>
      </c>
      <c r="AY29" s="47">
        <v>66</v>
      </c>
    </row>
    <row r="30" spans="2:51" x14ac:dyDescent="0.25">
      <c r="B30" s="67" t="s">
        <v>250</v>
      </c>
      <c r="C30" s="189" t="str">
        <f t="shared" si="2"/>
        <v>Q3</v>
      </c>
      <c r="D30" s="189">
        <f t="shared" si="3"/>
        <v>2023</v>
      </c>
      <c r="E30" s="170">
        <v>14710</v>
      </c>
      <c r="F30" s="167">
        <v>11458</v>
      </c>
      <c r="G30" s="167">
        <v>3252</v>
      </c>
      <c r="H30" s="170">
        <v>147</v>
      </c>
      <c r="I30" s="167">
        <v>113</v>
      </c>
      <c r="J30" s="192">
        <v>34</v>
      </c>
      <c r="L30" s="168">
        <v>43525</v>
      </c>
      <c r="M30" s="52">
        <f t="shared" si="4"/>
        <v>2019</v>
      </c>
      <c r="N30" s="169" t="s">
        <v>232</v>
      </c>
      <c r="O30" s="170">
        <f t="shared" si="5"/>
        <v>1342</v>
      </c>
      <c r="P30" s="167">
        <f t="shared" si="18"/>
        <v>849</v>
      </c>
      <c r="Q30" s="167">
        <f t="shared" si="19"/>
        <v>493</v>
      </c>
      <c r="R30" s="170">
        <f t="shared" si="20"/>
        <v>11</v>
      </c>
      <c r="S30" s="167">
        <f t="shared" si="9"/>
        <v>4</v>
      </c>
      <c r="T30" s="192">
        <f t="shared" si="0"/>
        <v>7</v>
      </c>
      <c r="U30" s="170">
        <f t="shared" si="10"/>
        <v>26280</v>
      </c>
      <c r="V30" s="167">
        <f t="shared" si="11"/>
        <v>12626.000000000002</v>
      </c>
      <c r="W30" s="167">
        <f t="shared" si="12"/>
        <v>13654.000000000004</v>
      </c>
      <c r="X30" s="170">
        <f t="shared" si="13"/>
        <v>227.99999999999997</v>
      </c>
      <c r="Y30" s="167">
        <f t="shared" si="14"/>
        <v>110</v>
      </c>
      <c r="Z30" s="192">
        <f t="shared" si="15"/>
        <v>117.99999999999997</v>
      </c>
      <c r="AC30" s="47" t="s">
        <v>248</v>
      </c>
      <c r="AD30" s="47" t="str">
        <f t="shared" si="16"/>
        <v>Q1</v>
      </c>
      <c r="AE30" s="47">
        <f t="shared" si="17"/>
        <v>2023</v>
      </c>
      <c r="AF30" s="113">
        <v>143618</v>
      </c>
      <c r="AG30" s="113">
        <v>22732</v>
      </c>
      <c r="AH30" s="113">
        <v>31184</v>
      </c>
      <c r="AI30" s="113">
        <v>83564</v>
      </c>
      <c r="AJ30" s="113">
        <v>6138</v>
      </c>
      <c r="AK30" s="113">
        <v>6760</v>
      </c>
      <c r="AL30" s="113">
        <v>2365</v>
      </c>
      <c r="AM30" s="47">
        <v>354</v>
      </c>
      <c r="AN30" s="113">
        <v>3938</v>
      </c>
      <c r="AO30" s="47">
        <v>103</v>
      </c>
      <c r="AP30" s="113">
        <v>11134</v>
      </c>
      <c r="AQ30" s="113">
        <v>1791</v>
      </c>
      <c r="AR30" s="47">
        <v>1185</v>
      </c>
      <c r="AS30" s="113">
        <v>7888</v>
      </c>
      <c r="AT30" s="113">
        <v>270</v>
      </c>
      <c r="AU30" s="113">
        <v>1760</v>
      </c>
      <c r="AV30" s="47">
        <v>85</v>
      </c>
      <c r="AW30" s="47">
        <v>0</v>
      </c>
      <c r="AX30" s="113">
        <v>1480</v>
      </c>
      <c r="AY30" s="47">
        <v>195</v>
      </c>
    </row>
    <row r="31" spans="2:51" x14ac:dyDescent="0.25">
      <c r="B31" s="67" t="s">
        <v>251</v>
      </c>
      <c r="C31" s="189" t="str">
        <f t="shared" si="2"/>
        <v>Q4</v>
      </c>
      <c r="D31" s="189">
        <f t="shared" si="3"/>
        <v>2023</v>
      </c>
      <c r="E31" s="170">
        <v>14105</v>
      </c>
      <c r="F31" s="167">
        <v>10931</v>
      </c>
      <c r="G31" s="167">
        <v>3174</v>
      </c>
      <c r="H31" s="170">
        <v>146</v>
      </c>
      <c r="I31" s="167">
        <v>117</v>
      </c>
      <c r="J31" s="192">
        <v>29</v>
      </c>
      <c r="L31" s="168">
        <v>43556</v>
      </c>
      <c r="M31" s="52">
        <f t="shared" si="4"/>
        <v>2019</v>
      </c>
      <c r="N31" s="169" t="s">
        <v>233</v>
      </c>
      <c r="O31" s="170">
        <f t="shared" si="5"/>
        <v>2878</v>
      </c>
      <c r="P31" s="167">
        <f t="shared" si="18"/>
        <v>1994</v>
      </c>
      <c r="Q31" s="167">
        <f t="shared" si="19"/>
        <v>884</v>
      </c>
      <c r="R31" s="170">
        <f t="shared" si="20"/>
        <v>22</v>
      </c>
      <c r="S31" s="167">
        <f t="shared" si="9"/>
        <v>18</v>
      </c>
      <c r="T31" s="192">
        <f t="shared" si="0"/>
        <v>4</v>
      </c>
      <c r="U31" s="170">
        <f t="shared" si="10"/>
        <v>27239.333333333332</v>
      </c>
      <c r="V31" s="167">
        <f t="shared" si="11"/>
        <v>13290.666666666668</v>
      </c>
      <c r="W31" s="167">
        <f t="shared" si="12"/>
        <v>13948.66666666667</v>
      </c>
      <c r="X31" s="170">
        <f t="shared" si="13"/>
        <v>235.33333333333331</v>
      </c>
      <c r="Y31" s="167">
        <f t="shared" si="14"/>
        <v>116</v>
      </c>
      <c r="Z31" s="192">
        <f t="shared" si="15"/>
        <v>119.3333333333333</v>
      </c>
      <c r="AC31" s="47" t="s">
        <v>249</v>
      </c>
      <c r="AD31" s="47" t="str">
        <f t="shared" si="16"/>
        <v>Q2</v>
      </c>
      <c r="AE31" s="47">
        <f t="shared" si="17"/>
        <v>2023</v>
      </c>
      <c r="AF31" s="113">
        <v>183653</v>
      </c>
      <c r="AG31" s="113">
        <v>31866</v>
      </c>
      <c r="AH31" s="113">
        <v>32563</v>
      </c>
      <c r="AI31" s="113">
        <v>111715</v>
      </c>
      <c r="AJ31" s="113">
        <v>7509</v>
      </c>
      <c r="AK31" s="113">
        <v>9486</v>
      </c>
      <c r="AL31" s="47">
        <v>2192</v>
      </c>
      <c r="AM31" s="47">
        <v>382</v>
      </c>
      <c r="AN31" s="113">
        <v>6743</v>
      </c>
      <c r="AO31" s="47">
        <v>169</v>
      </c>
      <c r="AP31" s="113">
        <v>17538</v>
      </c>
      <c r="AQ31" s="113">
        <v>2956</v>
      </c>
      <c r="AR31" s="47">
        <v>1189</v>
      </c>
      <c r="AS31" s="113">
        <v>12902</v>
      </c>
      <c r="AT31" s="47">
        <v>491</v>
      </c>
      <c r="AU31" s="47">
        <v>3311</v>
      </c>
      <c r="AV31" s="47">
        <v>210</v>
      </c>
      <c r="AW31" s="47">
        <v>0</v>
      </c>
      <c r="AX31" s="47">
        <v>2843</v>
      </c>
      <c r="AY31" s="47">
        <v>258</v>
      </c>
    </row>
    <row r="32" spans="2:51" x14ac:dyDescent="0.25">
      <c r="B32" s="67" t="s">
        <v>252</v>
      </c>
      <c r="C32" s="189" t="str">
        <f t="shared" si="2"/>
        <v>Q1</v>
      </c>
      <c r="D32" s="189">
        <f t="shared" si="3"/>
        <v>2024</v>
      </c>
      <c r="E32" s="170">
        <v>11026</v>
      </c>
      <c r="F32" s="167">
        <v>8144</v>
      </c>
      <c r="G32" s="167">
        <v>2882</v>
      </c>
      <c r="H32" s="170">
        <v>111</v>
      </c>
      <c r="I32" s="167">
        <v>90</v>
      </c>
      <c r="J32" s="192">
        <v>21</v>
      </c>
      <c r="L32" s="168">
        <v>43586</v>
      </c>
      <c r="M32" s="52">
        <f t="shared" si="4"/>
        <v>2019</v>
      </c>
      <c r="N32" s="169" t="s">
        <v>233</v>
      </c>
      <c r="O32" s="170">
        <f t="shared" si="5"/>
        <v>2878</v>
      </c>
      <c r="P32" s="167">
        <f t="shared" si="18"/>
        <v>1994</v>
      </c>
      <c r="Q32" s="167">
        <f t="shared" si="19"/>
        <v>884</v>
      </c>
      <c r="R32" s="170">
        <f t="shared" si="20"/>
        <v>22</v>
      </c>
      <c r="S32" s="167">
        <f t="shared" si="9"/>
        <v>18</v>
      </c>
      <c r="T32" s="192">
        <f t="shared" si="0"/>
        <v>4</v>
      </c>
      <c r="U32" s="170">
        <f t="shared" si="10"/>
        <v>28198.666666666664</v>
      </c>
      <c r="V32" s="167">
        <f t="shared" si="11"/>
        <v>13955.333333333334</v>
      </c>
      <c r="W32" s="167">
        <f t="shared" si="12"/>
        <v>14243.333333333336</v>
      </c>
      <c r="X32" s="170">
        <f t="shared" si="13"/>
        <v>242.66666666666666</v>
      </c>
      <c r="Y32" s="167">
        <f t="shared" si="14"/>
        <v>122</v>
      </c>
      <c r="Z32" s="192">
        <f t="shared" si="15"/>
        <v>120.66666666666663</v>
      </c>
      <c r="AC32" s="47" t="s">
        <v>250</v>
      </c>
      <c r="AD32" s="47" t="str">
        <f t="shared" si="16"/>
        <v>Q3</v>
      </c>
      <c r="AE32" s="47">
        <f t="shared" si="17"/>
        <v>2023</v>
      </c>
      <c r="AF32" s="113">
        <v>178597</v>
      </c>
      <c r="AG32" s="113">
        <v>29904</v>
      </c>
      <c r="AH32" s="113">
        <v>32977</v>
      </c>
      <c r="AI32" s="113">
        <v>108349</v>
      </c>
      <c r="AJ32" s="113">
        <v>7367</v>
      </c>
      <c r="AK32" s="113">
        <v>11458</v>
      </c>
      <c r="AL32" s="113">
        <v>3129</v>
      </c>
      <c r="AM32" s="47">
        <v>523</v>
      </c>
      <c r="AN32" s="113">
        <v>7730</v>
      </c>
      <c r="AO32" s="47">
        <v>76</v>
      </c>
      <c r="AP32" s="113">
        <v>17596</v>
      </c>
      <c r="AQ32" s="113">
        <v>3040</v>
      </c>
      <c r="AR32" s="47">
        <v>1172</v>
      </c>
      <c r="AS32" s="113">
        <v>12858</v>
      </c>
      <c r="AT32" s="113">
        <v>526</v>
      </c>
      <c r="AU32" s="113">
        <v>3252</v>
      </c>
      <c r="AV32" s="47">
        <v>322</v>
      </c>
      <c r="AW32" s="47">
        <v>0</v>
      </c>
      <c r="AX32" s="113">
        <v>2825</v>
      </c>
      <c r="AY32" s="47">
        <v>105</v>
      </c>
    </row>
    <row r="33" spans="2:51" x14ac:dyDescent="0.25">
      <c r="B33" s="67" t="s">
        <v>253</v>
      </c>
      <c r="C33" s="189" t="str">
        <f t="shared" si="2"/>
        <v>Q2</v>
      </c>
      <c r="D33" s="189">
        <f t="shared" si="3"/>
        <v>2024</v>
      </c>
      <c r="E33" s="170">
        <v>14377</v>
      </c>
      <c r="F33" s="167">
        <v>10469</v>
      </c>
      <c r="G33" s="167">
        <v>3908</v>
      </c>
      <c r="H33" s="170">
        <v>214</v>
      </c>
      <c r="I33" s="167">
        <v>184</v>
      </c>
      <c r="J33" s="192">
        <v>30</v>
      </c>
      <c r="L33" s="168">
        <v>43617</v>
      </c>
      <c r="M33" s="52">
        <f t="shared" si="4"/>
        <v>2019</v>
      </c>
      <c r="N33" s="169" t="s">
        <v>233</v>
      </c>
      <c r="O33" s="170">
        <f t="shared" si="5"/>
        <v>2878</v>
      </c>
      <c r="P33" s="167">
        <f t="shared" si="18"/>
        <v>1994</v>
      </c>
      <c r="Q33" s="167">
        <f t="shared" si="19"/>
        <v>884</v>
      </c>
      <c r="R33" s="170">
        <f t="shared" si="20"/>
        <v>22</v>
      </c>
      <c r="S33" s="167">
        <f t="shared" si="9"/>
        <v>18</v>
      </c>
      <c r="T33" s="192">
        <f t="shared" si="0"/>
        <v>4</v>
      </c>
      <c r="U33" s="170">
        <f t="shared" si="10"/>
        <v>29157.999999999996</v>
      </c>
      <c r="V33" s="167">
        <f t="shared" si="11"/>
        <v>14620</v>
      </c>
      <c r="W33" s="167">
        <f t="shared" si="12"/>
        <v>14538.000000000002</v>
      </c>
      <c r="X33" s="170">
        <f t="shared" si="13"/>
        <v>250</v>
      </c>
      <c r="Y33" s="167">
        <f t="shared" si="14"/>
        <v>128</v>
      </c>
      <c r="Z33" s="192">
        <f t="shared" si="15"/>
        <v>121.99999999999996</v>
      </c>
      <c r="AC33" s="47" t="s">
        <v>251</v>
      </c>
      <c r="AD33" s="47" t="str">
        <f t="shared" si="16"/>
        <v>Q4</v>
      </c>
      <c r="AE33" s="47">
        <f t="shared" si="17"/>
        <v>2023</v>
      </c>
      <c r="AF33" s="113">
        <v>171136</v>
      </c>
      <c r="AG33" s="113">
        <v>26037</v>
      </c>
      <c r="AH33" s="113">
        <v>30930</v>
      </c>
      <c r="AI33" s="113">
        <v>108458</v>
      </c>
      <c r="AJ33" s="113">
        <v>5711</v>
      </c>
      <c r="AK33" s="113">
        <v>10931</v>
      </c>
      <c r="AL33" s="113">
        <v>2488</v>
      </c>
      <c r="AM33" s="47">
        <v>550</v>
      </c>
      <c r="AN33" s="113">
        <v>7734</v>
      </c>
      <c r="AO33" s="47">
        <v>159</v>
      </c>
      <c r="AP33" s="113">
        <v>16261</v>
      </c>
      <c r="AQ33" s="113">
        <v>2698</v>
      </c>
      <c r="AR33" s="47">
        <v>905</v>
      </c>
      <c r="AS33" s="113">
        <v>11899</v>
      </c>
      <c r="AT33" s="113">
        <v>759</v>
      </c>
      <c r="AU33" s="113">
        <v>3174</v>
      </c>
      <c r="AV33" s="47">
        <v>210</v>
      </c>
      <c r="AW33" s="47">
        <v>0</v>
      </c>
      <c r="AX33" s="47">
        <v>2902</v>
      </c>
      <c r="AY33" s="47">
        <v>62</v>
      </c>
    </row>
    <row r="34" spans="2:51" x14ac:dyDescent="0.25">
      <c r="B34" s="67" t="s">
        <v>254</v>
      </c>
      <c r="C34" s="189" t="str">
        <f t="shared" si="2"/>
        <v>Q3</v>
      </c>
      <c r="D34" s="189">
        <f t="shared" si="3"/>
        <v>2024</v>
      </c>
      <c r="E34" s="170">
        <v>15946</v>
      </c>
      <c r="F34" s="167">
        <v>11771</v>
      </c>
      <c r="G34" s="167">
        <v>4175</v>
      </c>
      <c r="H34" s="170">
        <v>229</v>
      </c>
      <c r="I34" s="167">
        <v>179</v>
      </c>
      <c r="J34" s="192">
        <v>50</v>
      </c>
      <c r="L34" s="168">
        <v>43647</v>
      </c>
      <c r="M34" s="52">
        <f t="shared" si="4"/>
        <v>2019</v>
      </c>
      <c r="N34" s="169" t="s">
        <v>234</v>
      </c>
      <c r="O34" s="170">
        <f t="shared" si="5"/>
        <v>3148</v>
      </c>
      <c r="P34" s="167">
        <f t="shared" si="18"/>
        <v>2180</v>
      </c>
      <c r="Q34" s="167">
        <f t="shared" si="19"/>
        <v>968</v>
      </c>
      <c r="R34" s="170">
        <f t="shared" si="20"/>
        <v>26</v>
      </c>
      <c r="S34" s="167">
        <f t="shared" si="9"/>
        <v>21</v>
      </c>
      <c r="T34" s="192">
        <f t="shared" si="0"/>
        <v>5</v>
      </c>
      <c r="U34" s="170">
        <f t="shared" si="10"/>
        <v>30207.333333333328</v>
      </c>
      <c r="V34" s="167">
        <f t="shared" si="11"/>
        <v>15346.666666666666</v>
      </c>
      <c r="W34" s="167">
        <f t="shared" si="12"/>
        <v>14860.666666666668</v>
      </c>
      <c r="X34" s="170">
        <f t="shared" si="13"/>
        <v>258.66666666666669</v>
      </c>
      <c r="Y34" s="167">
        <f t="shared" si="14"/>
        <v>135</v>
      </c>
      <c r="Z34" s="192">
        <f t="shared" si="15"/>
        <v>123.66666666666663</v>
      </c>
      <c r="AC34" s="47" t="s">
        <v>252</v>
      </c>
      <c r="AD34" s="47" t="str">
        <f t="shared" si="16"/>
        <v>Q1</v>
      </c>
      <c r="AE34" s="47">
        <f t="shared" si="17"/>
        <v>2024</v>
      </c>
      <c r="AF34" s="113">
        <v>163029</v>
      </c>
      <c r="AG34" s="113">
        <v>25187</v>
      </c>
      <c r="AH34" s="113">
        <v>27618</v>
      </c>
      <c r="AI34" s="113">
        <v>103973</v>
      </c>
      <c r="AJ34" s="113">
        <v>6251</v>
      </c>
      <c r="AK34" s="113">
        <v>8144</v>
      </c>
      <c r="AL34" s="113">
        <v>1596</v>
      </c>
      <c r="AM34" s="47">
        <v>469</v>
      </c>
      <c r="AN34" s="113">
        <v>6030</v>
      </c>
      <c r="AO34" s="47">
        <v>49</v>
      </c>
      <c r="AP34" s="113">
        <v>16600</v>
      </c>
      <c r="AQ34" s="113">
        <v>2260</v>
      </c>
      <c r="AR34" s="47">
        <v>1315</v>
      </c>
      <c r="AS34" s="113">
        <v>11903</v>
      </c>
      <c r="AT34" s="113">
        <v>1122</v>
      </c>
      <c r="AU34" s="113">
        <v>2882</v>
      </c>
      <c r="AV34" s="47">
        <v>388</v>
      </c>
      <c r="AW34" s="47">
        <v>0</v>
      </c>
      <c r="AX34" s="113">
        <v>2423</v>
      </c>
      <c r="AY34" s="47">
        <v>71</v>
      </c>
    </row>
    <row r="35" spans="2:51" x14ac:dyDescent="0.25">
      <c r="B35" s="96" t="s">
        <v>255</v>
      </c>
      <c r="C35" s="217" t="str">
        <f t="shared" si="2"/>
        <v>Q4</v>
      </c>
      <c r="D35" s="214">
        <f t="shared" si="3"/>
        <v>2024</v>
      </c>
      <c r="E35" s="175">
        <v>15251</v>
      </c>
      <c r="F35" s="171">
        <v>11282</v>
      </c>
      <c r="G35" s="171">
        <v>3969</v>
      </c>
      <c r="H35" s="175">
        <v>172</v>
      </c>
      <c r="I35" s="171">
        <v>148</v>
      </c>
      <c r="J35" s="193">
        <v>24</v>
      </c>
      <c r="L35" s="168">
        <v>43678</v>
      </c>
      <c r="M35" s="52">
        <f t="shared" si="4"/>
        <v>2019</v>
      </c>
      <c r="N35" s="169" t="s">
        <v>234</v>
      </c>
      <c r="O35" s="170">
        <f t="shared" si="5"/>
        <v>3148</v>
      </c>
      <c r="P35" s="167">
        <f t="shared" si="18"/>
        <v>2180</v>
      </c>
      <c r="Q35" s="167">
        <f t="shared" si="19"/>
        <v>968</v>
      </c>
      <c r="R35" s="170">
        <f t="shared" si="20"/>
        <v>26</v>
      </c>
      <c r="S35" s="167">
        <f t="shared" si="9"/>
        <v>21</v>
      </c>
      <c r="T35" s="192">
        <f t="shared" si="0"/>
        <v>5</v>
      </c>
      <c r="U35" s="170">
        <f t="shared" si="10"/>
        <v>31256.666666666661</v>
      </c>
      <c r="V35" s="167">
        <f t="shared" si="11"/>
        <v>16073.333333333332</v>
      </c>
      <c r="W35" s="167">
        <f t="shared" si="12"/>
        <v>15183.333333333334</v>
      </c>
      <c r="X35" s="170">
        <f t="shared" si="13"/>
        <v>267.33333333333337</v>
      </c>
      <c r="Y35" s="167">
        <f t="shared" si="14"/>
        <v>142</v>
      </c>
      <c r="Z35" s="192">
        <f t="shared" si="15"/>
        <v>125.3333333333333</v>
      </c>
      <c r="AC35" s="47" t="s">
        <v>253</v>
      </c>
      <c r="AD35" s="47" t="str">
        <f t="shared" si="16"/>
        <v>Q2</v>
      </c>
      <c r="AE35" s="47">
        <f t="shared" si="17"/>
        <v>2024</v>
      </c>
      <c r="AF35" s="113">
        <v>190548</v>
      </c>
      <c r="AG35" s="113">
        <v>31074</v>
      </c>
      <c r="AH35" s="113">
        <v>34599</v>
      </c>
      <c r="AI35" s="113">
        <v>117240</v>
      </c>
      <c r="AJ35" s="113">
        <v>7635</v>
      </c>
      <c r="AK35" s="113">
        <v>10469</v>
      </c>
      <c r="AL35" s="113">
        <v>2480</v>
      </c>
      <c r="AM35" s="47">
        <v>730</v>
      </c>
      <c r="AN35" s="113">
        <v>7210</v>
      </c>
      <c r="AO35" s="47">
        <v>49</v>
      </c>
      <c r="AP35" s="113">
        <v>18741</v>
      </c>
      <c r="AQ35" s="113">
        <v>2327</v>
      </c>
      <c r="AR35" s="47">
        <v>2573</v>
      </c>
      <c r="AS35" s="113">
        <v>12533</v>
      </c>
      <c r="AT35" s="47">
        <v>1308</v>
      </c>
      <c r="AU35" s="113">
        <v>3908</v>
      </c>
      <c r="AV35" s="47">
        <v>196</v>
      </c>
      <c r="AW35" s="47">
        <v>0</v>
      </c>
      <c r="AX35" s="113">
        <v>3578</v>
      </c>
      <c r="AY35" s="47">
        <v>134</v>
      </c>
    </row>
    <row r="36" spans="2:51" x14ac:dyDescent="0.25">
      <c r="L36" s="168">
        <v>43709</v>
      </c>
      <c r="M36" s="52">
        <f t="shared" si="4"/>
        <v>2019</v>
      </c>
      <c r="N36" s="169" t="s">
        <v>234</v>
      </c>
      <c r="O36" s="170">
        <f t="shared" si="5"/>
        <v>3148</v>
      </c>
      <c r="P36" s="167">
        <f t="shared" si="18"/>
        <v>2180</v>
      </c>
      <c r="Q36" s="167">
        <f t="shared" si="19"/>
        <v>968</v>
      </c>
      <c r="R36" s="170">
        <f t="shared" si="20"/>
        <v>26</v>
      </c>
      <c r="S36" s="167">
        <f t="shared" si="9"/>
        <v>21</v>
      </c>
      <c r="T36" s="192">
        <f t="shared" si="0"/>
        <v>5</v>
      </c>
      <c r="U36" s="170">
        <f t="shared" si="10"/>
        <v>32305.999999999993</v>
      </c>
      <c r="V36" s="167">
        <f t="shared" si="11"/>
        <v>16800</v>
      </c>
      <c r="W36" s="167">
        <f t="shared" si="12"/>
        <v>15506</v>
      </c>
      <c r="X36" s="170">
        <f t="shared" si="13"/>
        <v>276.00000000000006</v>
      </c>
      <c r="Y36" s="167">
        <f t="shared" si="14"/>
        <v>149</v>
      </c>
      <c r="Z36" s="192">
        <f t="shared" si="15"/>
        <v>126.99999999999997</v>
      </c>
      <c r="AC36" s="47" t="s">
        <v>254</v>
      </c>
      <c r="AD36" s="47" t="str">
        <f t="shared" si="16"/>
        <v>Q3</v>
      </c>
      <c r="AE36" s="47">
        <f t="shared" si="17"/>
        <v>2024</v>
      </c>
      <c r="AF36" s="113">
        <v>182365</v>
      </c>
      <c r="AG36" s="113">
        <v>27486</v>
      </c>
      <c r="AH36" s="113">
        <v>33446</v>
      </c>
      <c r="AI36" s="113">
        <v>112781</v>
      </c>
      <c r="AJ36" s="113">
        <v>8652</v>
      </c>
      <c r="AK36" s="113">
        <v>11771</v>
      </c>
      <c r="AL36" s="113">
        <v>2542</v>
      </c>
      <c r="AM36" s="113">
        <v>967</v>
      </c>
      <c r="AN36" s="113">
        <v>8192</v>
      </c>
      <c r="AO36" s="113">
        <v>70</v>
      </c>
      <c r="AP36" s="113">
        <v>22120</v>
      </c>
      <c r="AQ36" s="113">
        <v>4625</v>
      </c>
      <c r="AR36" s="113">
        <v>2695</v>
      </c>
      <c r="AS36" s="113">
        <v>13242</v>
      </c>
      <c r="AT36" s="113">
        <v>1558</v>
      </c>
      <c r="AU36" s="113">
        <v>4175</v>
      </c>
      <c r="AV36" s="113">
        <v>435</v>
      </c>
      <c r="AW36" s="113">
        <v>0</v>
      </c>
      <c r="AX36" s="113">
        <v>3645</v>
      </c>
      <c r="AY36" s="113">
        <v>95</v>
      </c>
    </row>
    <row r="37" spans="2:51" x14ac:dyDescent="0.25">
      <c r="L37" s="168">
        <v>43739</v>
      </c>
      <c r="M37" s="52">
        <f t="shared" si="4"/>
        <v>2019</v>
      </c>
      <c r="N37" s="169" t="s">
        <v>235</v>
      </c>
      <c r="O37" s="170">
        <f t="shared" si="5"/>
        <v>2394</v>
      </c>
      <c r="P37" s="167">
        <f t="shared" si="18"/>
        <v>1538</v>
      </c>
      <c r="Q37" s="167">
        <f t="shared" si="19"/>
        <v>856</v>
      </c>
      <c r="R37" s="170">
        <f t="shared" si="20"/>
        <v>31</v>
      </c>
      <c r="S37" s="167">
        <f t="shared" si="9"/>
        <v>20</v>
      </c>
      <c r="T37" s="192">
        <f t="shared" si="0"/>
        <v>11</v>
      </c>
      <c r="U37" s="170">
        <f t="shared" ref="U37:U68" si="21">O37/3+U36</f>
        <v>33103.999999999993</v>
      </c>
      <c r="V37" s="167">
        <f t="shared" si="11"/>
        <v>17312.666666666668</v>
      </c>
      <c r="W37" s="167">
        <f t="shared" si="12"/>
        <v>15791.333333333334</v>
      </c>
      <c r="X37" s="170">
        <f t="shared" si="13"/>
        <v>286.33333333333337</v>
      </c>
      <c r="Y37" s="167">
        <f t="shared" si="14"/>
        <v>155.66666666666666</v>
      </c>
      <c r="Z37" s="192">
        <f t="shared" si="15"/>
        <v>130.66666666666663</v>
      </c>
      <c r="AC37" s="47" t="s">
        <v>255</v>
      </c>
      <c r="AD37" s="47" t="str">
        <f t="shared" si="16"/>
        <v>Q4</v>
      </c>
      <c r="AE37" s="47">
        <f t="shared" si="17"/>
        <v>2024</v>
      </c>
      <c r="AF37" s="113">
        <v>163347</v>
      </c>
      <c r="AG37" s="113">
        <v>23821</v>
      </c>
      <c r="AH37" s="113">
        <v>29261</v>
      </c>
      <c r="AI37" s="113">
        <v>103011</v>
      </c>
      <c r="AJ37" s="113">
        <v>7254</v>
      </c>
      <c r="AK37" s="113">
        <v>11282</v>
      </c>
      <c r="AL37" s="113">
        <v>1816</v>
      </c>
      <c r="AM37" s="113">
        <v>1914</v>
      </c>
      <c r="AN37" s="113">
        <v>7442</v>
      </c>
      <c r="AO37" s="113">
        <v>110</v>
      </c>
      <c r="AP37" s="113">
        <v>22112</v>
      </c>
      <c r="AQ37" s="113">
        <v>4978</v>
      </c>
      <c r="AR37" s="113">
        <v>1564</v>
      </c>
      <c r="AS37" s="113">
        <v>14264</v>
      </c>
      <c r="AT37" s="113">
        <v>1306</v>
      </c>
      <c r="AU37" s="113">
        <v>3969</v>
      </c>
      <c r="AV37" s="113">
        <v>341</v>
      </c>
      <c r="AW37" s="113">
        <v>0</v>
      </c>
      <c r="AX37" s="113">
        <v>3574</v>
      </c>
      <c r="AY37" s="113">
        <v>54</v>
      </c>
    </row>
    <row r="38" spans="2:51" x14ac:dyDescent="0.25">
      <c r="H38" s="200"/>
      <c r="L38" s="168">
        <v>43770</v>
      </c>
      <c r="M38" s="52">
        <f t="shared" si="4"/>
        <v>2019</v>
      </c>
      <c r="N38" s="169" t="s">
        <v>235</v>
      </c>
      <c r="O38" s="170">
        <f t="shared" si="5"/>
        <v>2394</v>
      </c>
      <c r="P38" s="167">
        <f t="shared" si="18"/>
        <v>1538</v>
      </c>
      <c r="Q38" s="167">
        <f t="shared" si="19"/>
        <v>856</v>
      </c>
      <c r="R38" s="170">
        <f t="shared" si="20"/>
        <v>31</v>
      </c>
      <c r="S38" s="167">
        <f t="shared" si="9"/>
        <v>20</v>
      </c>
      <c r="T38" s="192">
        <f t="shared" si="0"/>
        <v>11</v>
      </c>
      <c r="U38" s="170">
        <f t="shared" si="21"/>
        <v>33901.999999999993</v>
      </c>
      <c r="V38" s="167">
        <f t="shared" si="11"/>
        <v>17825.333333333336</v>
      </c>
      <c r="W38" s="167">
        <f t="shared" si="12"/>
        <v>16076.666666666668</v>
      </c>
      <c r="X38" s="170">
        <f t="shared" si="13"/>
        <v>296.66666666666669</v>
      </c>
      <c r="Y38" s="167">
        <f t="shared" si="14"/>
        <v>162.33333333333331</v>
      </c>
      <c r="Z38" s="192">
        <f t="shared" si="15"/>
        <v>134.33333333333329</v>
      </c>
    </row>
    <row r="39" spans="2:51" x14ac:dyDescent="0.25">
      <c r="D39" s="73"/>
      <c r="H39" s="200"/>
      <c r="L39" s="168">
        <v>43800</v>
      </c>
      <c r="M39" s="52">
        <f t="shared" si="4"/>
        <v>2019</v>
      </c>
      <c r="N39" s="169" t="s">
        <v>235</v>
      </c>
      <c r="O39" s="170">
        <f t="shared" si="5"/>
        <v>2394</v>
      </c>
      <c r="P39" s="167">
        <f t="shared" si="18"/>
        <v>1538</v>
      </c>
      <c r="Q39" s="167">
        <f t="shared" si="19"/>
        <v>856</v>
      </c>
      <c r="R39" s="170">
        <f t="shared" si="20"/>
        <v>31</v>
      </c>
      <c r="S39" s="167">
        <f t="shared" si="9"/>
        <v>20</v>
      </c>
      <c r="T39" s="192">
        <f t="shared" si="0"/>
        <v>11</v>
      </c>
      <c r="U39" s="170">
        <f t="shared" si="21"/>
        <v>34699.999999999993</v>
      </c>
      <c r="V39" s="167">
        <f t="shared" si="11"/>
        <v>18338.000000000004</v>
      </c>
      <c r="W39" s="167">
        <f t="shared" si="12"/>
        <v>16362.000000000002</v>
      </c>
      <c r="X39" s="170">
        <f t="shared" si="13"/>
        <v>307</v>
      </c>
      <c r="Y39" s="167">
        <f t="shared" si="14"/>
        <v>168.99999999999997</v>
      </c>
      <c r="Z39" s="192">
        <f t="shared" si="15"/>
        <v>137.99999999999994</v>
      </c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</row>
    <row r="40" spans="2:51" x14ac:dyDescent="0.25">
      <c r="L40" s="168">
        <v>43831</v>
      </c>
      <c r="M40" s="52">
        <f t="shared" si="4"/>
        <v>2020</v>
      </c>
      <c r="N40" s="169" t="s">
        <v>236</v>
      </c>
      <c r="O40" s="170">
        <f t="shared" si="5"/>
        <v>2102</v>
      </c>
      <c r="P40" s="167">
        <f t="shared" si="18"/>
        <v>1554</v>
      </c>
      <c r="Q40" s="167">
        <f t="shared" si="19"/>
        <v>548</v>
      </c>
      <c r="R40" s="170">
        <f t="shared" si="20"/>
        <v>19</v>
      </c>
      <c r="S40" s="167">
        <f t="shared" si="9"/>
        <v>16</v>
      </c>
      <c r="T40" s="192">
        <f t="shared" si="0"/>
        <v>3</v>
      </c>
      <c r="U40" s="170">
        <f t="shared" si="21"/>
        <v>35400.666666666657</v>
      </c>
      <c r="V40" s="167">
        <f t="shared" si="11"/>
        <v>18856.000000000004</v>
      </c>
      <c r="W40" s="167">
        <f t="shared" si="12"/>
        <v>16544.666666666668</v>
      </c>
      <c r="X40" s="170">
        <f t="shared" si="13"/>
        <v>313.33333333333331</v>
      </c>
      <c r="Y40" s="167">
        <f t="shared" si="14"/>
        <v>174.33333333333331</v>
      </c>
      <c r="Z40" s="192">
        <f t="shared" si="15"/>
        <v>138.99999999999994</v>
      </c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</row>
    <row r="41" spans="2:51" x14ac:dyDescent="0.25">
      <c r="E41" s="215"/>
      <c r="F41" s="215"/>
      <c r="G41" s="215"/>
      <c r="H41" s="215"/>
      <c r="I41" s="215"/>
      <c r="J41" s="215"/>
      <c r="L41" s="168">
        <v>43862</v>
      </c>
      <c r="M41" s="52">
        <f t="shared" si="4"/>
        <v>2020</v>
      </c>
      <c r="N41" s="169" t="s">
        <v>236</v>
      </c>
      <c r="O41" s="170">
        <f t="shared" si="5"/>
        <v>2102</v>
      </c>
      <c r="P41" s="167">
        <f t="shared" si="18"/>
        <v>1554</v>
      </c>
      <c r="Q41" s="167">
        <f t="shared" si="19"/>
        <v>548</v>
      </c>
      <c r="R41" s="170">
        <f t="shared" si="20"/>
        <v>19</v>
      </c>
      <c r="S41" s="167">
        <f t="shared" si="9"/>
        <v>16</v>
      </c>
      <c r="T41" s="192">
        <f t="shared" si="0"/>
        <v>3</v>
      </c>
      <c r="U41" s="170">
        <f t="shared" si="21"/>
        <v>36101.333333333321</v>
      </c>
      <c r="V41" s="167">
        <f t="shared" si="11"/>
        <v>19374.000000000004</v>
      </c>
      <c r="W41" s="167">
        <f t="shared" si="12"/>
        <v>16727.333333333336</v>
      </c>
      <c r="X41" s="170">
        <f t="shared" si="13"/>
        <v>319.66666666666663</v>
      </c>
      <c r="Y41" s="167">
        <f t="shared" si="14"/>
        <v>179.66666666666666</v>
      </c>
      <c r="Z41" s="192">
        <f t="shared" si="15"/>
        <v>139.99999999999994</v>
      </c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</row>
    <row r="42" spans="2:51" x14ac:dyDescent="0.25">
      <c r="E42" s="215"/>
      <c r="F42" s="215"/>
      <c r="G42" s="215"/>
      <c r="H42" s="215"/>
      <c r="I42" s="215"/>
      <c r="J42" s="215"/>
      <c r="L42" s="168">
        <v>43891</v>
      </c>
      <c r="M42" s="52">
        <f t="shared" si="4"/>
        <v>2020</v>
      </c>
      <c r="N42" s="169" t="s">
        <v>236</v>
      </c>
      <c r="O42" s="170">
        <f t="shared" si="5"/>
        <v>2102</v>
      </c>
      <c r="P42" s="167">
        <f t="shared" si="18"/>
        <v>1554</v>
      </c>
      <c r="Q42" s="167">
        <f t="shared" si="19"/>
        <v>548</v>
      </c>
      <c r="R42" s="170">
        <f t="shared" si="20"/>
        <v>19</v>
      </c>
      <c r="S42" s="167">
        <f t="shared" si="9"/>
        <v>16</v>
      </c>
      <c r="T42" s="192">
        <f t="shared" si="0"/>
        <v>3</v>
      </c>
      <c r="U42" s="170">
        <f t="shared" si="21"/>
        <v>36801.999999999985</v>
      </c>
      <c r="V42" s="167">
        <f t="shared" si="11"/>
        <v>19892.000000000004</v>
      </c>
      <c r="W42" s="167">
        <f t="shared" si="12"/>
        <v>16910.000000000004</v>
      </c>
      <c r="X42" s="170">
        <f t="shared" si="13"/>
        <v>325.99999999999994</v>
      </c>
      <c r="Y42" s="167">
        <f t="shared" si="14"/>
        <v>185</v>
      </c>
      <c r="Z42" s="192">
        <f t="shared" si="15"/>
        <v>140.99999999999994</v>
      </c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</row>
    <row r="43" spans="2:51" x14ac:dyDescent="0.25">
      <c r="E43" s="215"/>
      <c r="F43" s="215"/>
      <c r="G43" s="215"/>
      <c r="H43" s="215"/>
      <c r="I43" s="215"/>
      <c r="J43" s="215"/>
      <c r="L43" s="168">
        <v>43922</v>
      </c>
      <c r="M43" s="52">
        <f t="shared" si="4"/>
        <v>2020</v>
      </c>
      <c r="N43" s="169" t="s">
        <v>237</v>
      </c>
      <c r="O43" s="170">
        <f t="shared" si="5"/>
        <v>1640</v>
      </c>
      <c r="P43" s="167">
        <f t="shared" si="18"/>
        <v>1217</v>
      </c>
      <c r="Q43" s="167">
        <f t="shared" si="19"/>
        <v>423</v>
      </c>
      <c r="R43" s="170">
        <f t="shared" si="20"/>
        <v>13</v>
      </c>
      <c r="S43" s="167">
        <f t="shared" si="9"/>
        <v>8</v>
      </c>
      <c r="T43" s="192">
        <f t="shared" si="0"/>
        <v>5</v>
      </c>
      <c r="U43" s="170">
        <f t="shared" si="21"/>
        <v>37348.66666666665</v>
      </c>
      <c r="V43" s="167">
        <f t="shared" si="11"/>
        <v>20297.666666666672</v>
      </c>
      <c r="W43" s="167">
        <f t="shared" si="12"/>
        <v>17051.000000000004</v>
      </c>
      <c r="X43" s="170">
        <f t="shared" si="13"/>
        <v>330.33333333333326</v>
      </c>
      <c r="Y43" s="167">
        <f t="shared" si="14"/>
        <v>187.66666666666666</v>
      </c>
      <c r="Z43" s="192">
        <f t="shared" si="15"/>
        <v>142.6666666666666</v>
      </c>
    </row>
    <row r="44" spans="2:51" x14ac:dyDescent="0.25">
      <c r="E44" s="215"/>
      <c r="F44" s="215"/>
      <c r="G44" s="215"/>
      <c r="H44" s="215"/>
      <c r="I44" s="215"/>
      <c r="J44" s="215"/>
      <c r="L44" s="168">
        <v>43952</v>
      </c>
      <c r="M44" s="52">
        <f t="shared" si="4"/>
        <v>2020</v>
      </c>
      <c r="N44" s="169" t="s">
        <v>237</v>
      </c>
      <c r="O44" s="170">
        <f t="shared" si="5"/>
        <v>1640</v>
      </c>
      <c r="P44" s="167">
        <f t="shared" si="18"/>
        <v>1217</v>
      </c>
      <c r="Q44" s="167">
        <f t="shared" si="19"/>
        <v>423</v>
      </c>
      <c r="R44" s="170">
        <f t="shared" si="20"/>
        <v>13</v>
      </c>
      <c r="S44" s="167">
        <f t="shared" si="9"/>
        <v>8</v>
      </c>
      <c r="T44" s="192">
        <f t="shared" si="0"/>
        <v>5</v>
      </c>
      <c r="U44" s="170">
        <f t="shared" si="21"/>
        <v>37895.333333333314</v>
      </c>
      <c r="V44" s="167">
        <f t="shared" si="11"/>
        <v>20703.333333333339</v>
      </c>
      <c r="W44" s="167">
        <f t="shared" si="12"/>
        <v>17192.000000000004</v>
      </c>
      <c r="X44" s="170">
        <f t="shared" si="13"/>
        <v>334.66666666666657</v>
      </c>
      <c r="Y44" s="167">
        <f t="shared" si="14"/>
        <v>190.33333333333331</v>
      </c>
      <c r="Z44" s="192">
        <f t="shared" si="15"/>
        <v>144.33333333333326</v>
      </c>
    </row>
    <row r="45" spans="2:51" x14ac:dyDescent="0.25">
      <c r="L45" s="168">
        <v>43983</v>
      </c>
      <c r="M45" s="52">
        <f t="shared" si="4"/>
        <v>2020</v>
      </c>
      <c r="N45" s="169" t="s">
        <v>237</v>
      </c>
      <c r="O45" s="170">
        <f t="shared" si="5"/>
        <v>1640</v>
      </c>
      <c r="P45" s="167">
        <f t="shared" si="18"/>
        <v>1217</v>
      </c>
      <c r="Q45" s="167">
        <f t="shared" si="19"/>
        <v>423</v>
      </c>
      <c r="R45" s="170">
        <f t="shared" si="20"/>
        <v>13</v>
      </c>
      <c r="S45" s="167">
        <f t="shared" si="9"/>
        <v>8</v>
      </c>
      <c r="T45" s="192">
        <f t="shared" si="0"/>
        <v>5</v>
      </c>
      <c r="U45" s="170">
        <f t="shared" si="21"/>
        <v>38441.999999999978</v>
      </c>
      <c r="V45" s="167">
        <f t="shared" si="11"/>
        <v>21109.000000000007</v>
      </c>
      <c r="W45" s="167">
        <f t="shared" si="12"/>
        <v>17333.000000000004</v>
      </c>
      <c r="X45" s="170">
        <f t="shared" si="13"/>
        <v>338.99999999999989</v>
      </c>
      <c r="Y45" s="167">
        <f t="shared" si="14"/>
        <v>192.99999999999997</v>
      </c>
      <c r="Z45" s="192">
        <f t="shared" si="15"/>
        <v>145.99999999999991</v>
      </c>
    </row>
    <row r="46" spans="2:51" x14ac:dyDescent="0.25">
      <c r="L46" s="168">
        <v>44013</v>
      </c>
      <c r="M46" s="52">
        <f t="shared" si="4"/>
        <v>2020</v>
      </c>
      <c r="N46" s="169" t="s">
        <v>238</v>
      </c>
      <c r="O46" s="170">
        <f t="shared" si="5"/>
        <v>3296</v>
      </c>
      <c r="P46" s="167">
        <f t="shared" si="18"/>
        <v>2554</v>
      </c>
      <c r="Q46" s="167">
        <f t="shared" si="19"/>
        <v>742</v>
      </c>
      <c r="R46" s="170">
        <f t="shared" si="20"/>
        <v>18</v>
      </c>
      <c r="S46" s="167">
        <f t="shared" si="9"/>
        <v>17</v>
      </c>
      <c r="T46" s="192">
        <f t="shared" si="0"/>
        <v>1</v>
      </c>
      <c r="U46" s="170">
        <f t="shared" si="21"/>
        <v>39540.666666666642</v>
      </c>
      <c r="V46" s="167">
        <f t="shared" si="11"/>
        <v>21960.333333333339</v>
      </c>
      <c r="W46" s="167">
        <f t="shared" si="12"/>
        <v>17580.333333333336</v>
      </c>
      <c r="X46" s="170">
        <f t="shared" si="13"/>
        <v>344.99999999999989</v>
      </c>
      <c r="Y46" s="167">
        <f t="shared" si="14"/>
        <v>198.66666666666663</v>
      </c>
      <c r="Z46" s="192">
        <f t="shared" si="15"/>
        <v>146.33333333333326</v>
      </c>
    </row>
    <row r="47" spans="2:51" x14ac:dyDescent="0.25">
      <c r="L47" s="168">
        <v>44044</v>
      </c>
      <c r="M47" s="52">
        <f t="shared" si="4"/>
        <v>2020</v>
      </c>
      <c r="N47" s="169" t="s">
        <v>238</v>
      </c>
      <c r="O47" s="170">
        <f t="shared" si="5"/>
        <v>3296</v>
      </c>
      <c r="P47" s="167">
        <f t="shared" si="18"/>
        <v>2554</v>
      </c>
      <c r="Q47" s="167">
        <f t="shared" si="19"/>
        <v>742</v>
      </c>
      <c r="R47" s="170">
        <f t="shared" si="20"/>
        <v>18</v>
      </c>
      <c r="S47" s="167">
        <f t="shared" si="9"/>
        <v>17</v>
      </c>
      <c r="T47" s="192">
        <f t="shared" si="0"/>
        <v>1</v>
      </c>
      <c r="U47" s="170">
        <f t="shared" si="21"/>
        <v>40639.333333333307</v>
      </c>
      <c r="V47" s="167">
        <f t="shared" si="11"/>
        <v>22811.666666666672</v>
      </c>
      <c r="W47" s="167">
        <f t="shared" si="12"/>
        <v>17827.666666666668</v>
      </c>
      <c r="X47" s="170">
        <f t="shared" si="13"/>
        <v>350.99999999999989</v>
      </c>
      <c r="Y47" s="167">
        <f t="shared" si="14"/>
        <v>204.33333333333329</v>
      </c>
      <c r="Z47" s="192">
        <f t="shared" si="15"/>
        <v>146.6666666666666</v>
      </c>
    </row>
    <row r="48" spans="2:51" x14ac:dyDescent="0.25">
      <c r="L48" s="168">
        <v>44075</v>
      </c>
      <c r="M48" s="52">
        <f t="shared" si="4"/>
        <v>2020</v>
      </c>
      <c r="N48" s="169" t="s">
        <v>238</v>
      </c>
      <c r="O48" s="170">
        <f t="shared" si="5"/>
        <v>3296</v>
      </c>
      <c r="P48" s="167">
        <f t="shared" si="18"/>
        <v>2554</v>
      </c>
      <c r="Q48" s="167">
        <f t="shared" si="19"/>
        <v>742</v>
      </c>
      <c r="R48" s="170">
        <f t="shared" si="20"/>
        <v>18</v>
      </c>
      <c r="S48" s="167">
        <f t="shared" si="9"/>
        <v>17</v>
      </c>
      <c r="T48" s="192">
        <f t="shared" si="0"/>
        <v>1</v>
      </c>
      <c r="U48" s="170">
        <f t="shared" si="21"/>
        <v>41737.999999999971</v>
      </c>
      <c r="V48" s="167">
        <f t="shared" si="11"/>
        <v>23663.000000000004</v>
      </c>
      <c r="W48" s="167">
        <f t="shared" si="12"/>
        <v>18075</v>
      </c>
      <c r="X48" s="170">
        <f t="shared" si="13"/>
        <v>356.99999999999989</v>
      </c>
      <c r="Y48" s="167">
        <f t="shared" si="14"/>
        <v>209.99999999999994</v>
      </c>
      <c r="Z48" s="192">
        <f t="shared" si="15"/>
        <v>146.99999999999994</v>
      </c>
    </row>
    <row r="49" spans="12:26" x14ac:dyDescent="0.25">
      <c r="L49" s="168">
        <v>44105</v>
      </c>
      <c r="M49" s="52">
        <f t="shared" si="4"/>
        <v>2020</v>
      </c>
      <c r="N49" s="169" t="s">
        <v>239</v>
      </c>
      <c r="O49" s="170">
        <f t="shared" si="5"/>
        <v>3477</v>
      </c>
      <c r="P49" s="167">
        <f t="shared" si="18"/>
        <v>2833</v>
      </c>
      <c r="Q49" s="167">
        <f t="shared" si="19"/>
        <v>644</v>
      </c>
      <c r="R49" s="170">
        <f t="shared" si="20"/>
        <v>28</v>
      </c>
      <c r="S49" s="167">
        <f t="shared" si="9"/>
        <v>20</v>
      </c>
      <c r="T49" s="192">
        <f t="shared" si="0"/>
        <v>8</v>
      </c>
      <c r="U49" s="170">
        <f t="shared" si="21"/>
        <v>42896.999999999971</v>
      </c>
      <c r="V49" s="167">
        <f t="shared" si="11"/>
        <v>24607.333333333336</v>
      </c>
      <c r="W49" s="167">
        <f t="shared" si="12"/>
        <v>18289.666666666668</v>
      </c>
      <c r="X49" s="170">
        <f t="shared" si="13"/>
        <v>366.3333333333332</v>
      </c>
      <c r="Y49" s="167">
        <f t="shared" si="14"/>
        <v>216.6666666666666</v>
      </c>
      <c r="Z49" s="192">
        <f t="shared" si="15"/>
        <v>149.6666666666666</v>
      </c>
    </row>
    <row r="50" spans="12:26" x14ac:dyDescent="0.25">
      <c r="L50" s="168">
        <v>44136</v>
      </c>
      <c r="M50" s="52">
        <f t="shared" si="4"/>
        <v>2020</v>
      </c>
      <c r="N50" s="169" t="s">
        <v>239</v>
      </c>
      <c r="O50" s="170">
        <f t="shared" si="5"/>
        <v>3477</v>
      </c>
      <c r="P50" s="167">
        <f t="shared" si="18"/>
        <v>2833</v>
      </c>
      <c r="Q50" s="167">
        <f t="shared" si="19"/>
        <v>644</v>
      </c>
      <c r="R50" s="170">
        <f t="shared" si="20"/>
        <v>28</v>
      </c>
      <c r="S50" s="167">
        <f t="shared" si="9"/>
        <v>20</v>
      </c>
      <c r="T50" s="192">
        <f t="shared" si="0"/>
        <v>8</v>
      </c>
      <c r="U50" s="170">
        <f t="shared" si="21"/>
        <v>44055.999999999971</v>
      </c>
      <c r="V50" s="167">
        <f t="shared" si="11"/>
        <v>25551.666666666668</v>
      </c>
      <c r="W50" s="167">
        <f t="shared" si="12"/>
        <v>18504.333333333336</v>
      </c>
      <c r="X50" s="170">
        <f t="shared" si="13"/>
        <v>375.66666666666652</v>
      </c>
      <c r="Y50" s="167">
        <f t="shared" si="14"/>
        <v>223.33333333333326</v>
      </c>
      <c r="Z50" s="192">
        <f t="shared" si="15"/>
        <v>152.33333333333326</v>
      </c>
    </row>
    <row r="51" spans="12:26" x14ac:dyDescent="0.25">
      <c r="L51" s="168">
        <v>44166</v>
      </c>
      <c r="M51" s="52">
        <f t="shared" si="4"/>
        <v>2020</v>
      </c>
      <c r="N51" s="169" t="s">
        <v>239</v>
      </c>
      <c r="O51" s="170">
        <f t="shared" si="5"/>
        <v>3477</v>
      </c>
      <c r="P51" s="167">
        <f t="shared" si="18"/>
        <v>2833</v>
      </c>
      <c r="Q51" s="167">
        <f t="shared" si="19"/>
        <v>644</v>
      </c>
      <c r="R51" s="170">
        <f t="shared" si="20"/>
        <v>28</v>
      </c>
      <c r="S51" s="167">
        <f t="shared" si="9"/>
        <v>20</v>
      </c>
      <c r="T51" s="192">
        <f t="shared" si="0"/>
        <v>8</v>
      </c>
      <c r="U51" s="170">
        <f t="shared" si="21"/>
        <v>45214.999999999971</v>
      </c>
      <c r="V51" s="167">
        <f t="shared" si="11"/>
        <v>26496</v>
      </c>
      <c r="W51" s="167">
        <f t="shared" si="12"/>
        <v>18719.000000000004</v>
      </c>
      <c r="X51" s="170">
        <f t="shared" si="13"/>
        <v>384.99999999999983</v>
      </c>
      <c r="Y51" s="167">
        <f t="shared" si="14"/>
        <v>229.99999999999991</v>
      </c>
      <c r="Z51" s="192">
        <f t="shared" si="15"/>
        <v>154.99999999999991</v>
      </c>
    </row>
    <row r="52" spans="12:26" x14ac:dyDescent="0.25">
      <c r="L52" s="168">
        <v>44197</v>
      </c>
      <c r="M52" s="52">
        <f t="shared" si="4"/>
        <v>2021</v>
      </c>
      <c r="N52" s="169" t="s">
        <v>240</v>
      </c>
      <c r="O52" s="170">
        <f t="shared" si="5"/>
        <v>3329</v>
      </c>
      <c r="P52" s="167">
        <f t="shared" si="18"/>
        <v>2568</v>
      </c>
      <c r="Q52" s="167">
        <f t="shared" ref="Q52:Q83" si="22">SUMIFS(G:G,$B:$B,$N52)</f>
        <v>761</v>
      </c>
      <c r="R52" s="170">
        <f t="shared" ref="R52:R83" si="23">SUMIFS(H:H,$B:$B,$N52)</f>
        <v>34</v>
      </c>
      <c r="S52" s="167">
        <f t="shared" si="9"/>
        <v>31</v>
      </c>
      <c r="T52" s="192">
        <f t="shared" si="0"/>
        <v>3</v>
      </c>
      <c r="U52" s="170">
        <f t="shared" si="21"/>
        <v>46324.666666666635</v>
      </c>
      <c r="V52" s="167">
        <f t="shared" si="11"/>
        <v>27352</v>
      </c>
      <c r="W52" s="167">
        <f t="shared" si="12"/>
        <v>18972.666666666672</v>
      </c>
      <c r="X52" s="170">
        <f t="shared" si="13"/>
        <v>396.33333333333314</v>
      </c>
      <c r="Y52" s="167">
        <f t="shared" si="14"/>
        <v>240.33333333333326</v>
      </c>
      <c r="Z52" s="192">
        <f t="shared" si="15"/>
        <v>155.99999999999991</v>
      </c>
    </row>
    <row r="53" spans="12:26" x14ac:dyDescent="0.25">
      <c r="L53" s="168">
        <v>44228</v>
      </c>
      <c r="M53" s="52">
        <f t="shared" si="4"/>
        <v>2021</v>
      </c>
      <c r="N53" s="169" t="s">
        <v>240</v>
      </c>
      <c r="O53" s="170">
        <f t="shared" si="5"/>
        <v>3329</v>
      </c>
      <c r="P53" s="167">
        <f t="shared" si="18"/>
        <v>2568</v>
      </c>
      <c r="Q53" s="167">
        <f t="shared" si="22"/>
        <v>761</v>
      </c>
      <c r="R53" s="170">
        <f t="shared" si="23"/>
        <v>34</v>
      </c>
      <c r="S53" s="167">
        <f t="shared" si="9"/>
        <v>31</v>
      </c>
      <c r="T53" s="192">
        <f t="shared" si="0"/>
        <v>3</v>
      </c>
      <c r="U53" s="170">
        <f t="shared" si="21"/>
        <v>47434.333333333299</v>
      </c>
      <c r="V53" s="167">
        <f t="shared" si="11"/>
        <v>28208</v>
      </c>
      <c r="W53" s="167">
        <f t="shared" si="12"/>
        <v>19226.333333333339</v>
      </c>
      <c r="X53" s="170">
        <f t="shared" si="13"/>
        <v>407.66666666666646</v>
      </c>
      <c r="Y53" s="167">
        <f t="shared" si="14"/>
        <v>250.6666666666666</v>
      </c>
      <c r="Z53" s="192">
        <f t="shared" si="15"/>
        <v>156.99999999999991</v>
      </c>
    </row>
    <row r="54" spans="12:26" x14ac:dyDescent="0.25">
      <c r="L54" s="168">
        <v>44256</v>
      </c>
      <c r="M54" s="52">
        <f t="shared" si="4"/>
        <v>2021</v>
      </c>
      <c r="N54" s="169" t="s">
        <v>240</v>
      </c>
      <c r="O54" s="170">
        <f t="shared" si="5"/>
        <v>3329</v>
      </c>
      <c r="P54" s="167">
        <f t="shared" si="18"/>
        <v>2568</v>
      </c>
      <c r="Q54" s="167">
        <f t="shared" si="22"/>
        <v>761</v>
      </c>
      <c r="R54" s="170">
        <f t="shared" si="23"/>
        <v>34</v>
      </c>
      <c r="S54" s="167">
        <f t="shared" si="9"/>
        <v>31</v>
      </c>
      <c r="T54" s="192">
        <f t="shared" si="0"/>
        <v>3</v>
      </c>
      <c r="U54" s="170">
        <f t="shared" si="21"/>
        <v>48543.999999999964</v>
      </c>
      <c r="V54" s="167">
        <f t="shared" si="11"/>
        <v>29064</v>
      </c>
      <c r="W54" s="167">
        <f t="shared" si="12"/>
        <v>19480.000000000007</v>
      </c>
      <c r="X54" s="170">
        <f t="shared" si="13"/>
        <v>418.99999999999977</v>
      </c>
      <c r="Y54" s="167">
        <f t="shared" si="14"/>
        <v>260.99999999999994</v>
      </c>
      <c r="Z54" s="192">
        <f t="shared" si="15"/>
        <v>157.99999999999991</v>
      </c>
    </row>
    <row r="55" spans="12:26" x14ac:dyDescent="0.25">
      <c r="L55" s="168">
        <v>44287</v>
      </c>
      <c r="M55" s="52">
        <f t="shared" si="4"/>
        <v>2021</v>
      </c>
      <c r="N55" s="169" t="s">
        <v>241</v>
      </c>
      <c r="O55" s="170">
        <f t="shared" si="5"/>
        <v>5096</v>
      </c>
      <c r="P55" s="167">
        <f t="shared" si="18"/>
        <v>3710</v>
      </c>
      <c r="Q55" s="167">
        <f t="shared" si="22"/>
        <v>1386</v>
      </c>
      <c r="R55" s="170">
        <f t="shared" si="23"/>
        <v>49</v>
      </c>
      <c r="S55" s="167">
        <f t="shared" si="9"/>
        <v>41</v>
      </c>
      <c r="T55" s="192">
        <f t="shared" si="0"/>
        <v>8</v>
      </c>
      <c r="U55" s="170">
        <f t="shared" si="21"/>
        <v>50242.666666666628</v>
      </c>
      <c r="V55" s="167">
        <f t="shared" si="11"/>
        <v>30300.666666666668</v>
      </c>
      <c r="W55" s="167">
        <f t="shared" si="12"/>
        <v>19942.000000000007</v>
      </c>
      <c r="X55" s="170">
        <f t="shared" si="13"/>
        <v>435.33333333333309</v>
      </c>
      <c r="Y55" s="167">
        <f t="shared" si="14"/>
        <v>274.66666666666663</v>
      </c>
      <c r="Z55" s="192">
        <f t="shared" si="15"/>
        <v>160.66666666666657</v>
      </c>
    </row>
    <row r="56" spans="12:26" x14ac:dyDescent="0.25">
      <c r="L56" s="168">
        <v>44317</v>
      </c>
      <c r="M56" s="52">
        <f t="shared" si="4"/>
        <v>2021</v>
      </c>
      <c r="N56" s="169" t="s">
        <v>241</v>
      </c>
      <c r="O56" s="170">
        <f t="shared" si="5"/>
        <v>5096</v>
      </c>
      <c r="P56" s="167">
        <f t="shared" si="18"/>
        <v>3710</v>
      </c>
      <c r="Q56" s="167">
        <f t="shared" si="22"/>
        <v>1386</v>
      </c>
      <c r="R56" s="170">
        <f t="shared" si="23"/>
        <v>49</v>
      </c>
      <c r="S56" s="167">
        <f t="shared" si="9"/>
        <v>41</v>
      </c>
      <c r="T56" s="192">
        <f t="shared" si="0"/>
        <v>8</v>
      </c>
      <c r="U56" s="170">
        <f t="shared" si="21"/>
        <v>51941.333333333292</v>
      </c>
      <c r="V56" s="167">
        <f t="shared" si="11"/>
        <v>31537.333333333336</v>
      </c>
      <c r="W56" s="167">
        <f t="shared" si="12"/>
        <v>20404.000000000007</v>
      </c>
      <c r="X56" s="170">
        <f t="shared" si="13"/>
        <v>451.6666666666664</v>
      </c>
      <c r="Y56" s="167">
        <f t="shared" si="14"/>
        <v>288.33333333333331</v>
      </c>
      <c r="Z56" s="192">
        <f t="shared" si="15"/>
        <v>163.33333333333323</v>
      </c>
    </row>
    <row r="57" spans="12:26" x14ac:dyDescent="0.25">
      <c r="L57" s="168">
        <v>44348</v>
      </c>
      <c r="M57" s="52">
        <f t="shared" si="4"/>
        <v>2021</v>
      </c>
      <c r="N57" s="169" t="s">
        <v>241</v>
      </c>
      <c r="O57" s="170">
        <f t="shared" si="5"/>
        <v>5096</v>
      </c>
      <c r="P57" s="167">
        <f t="shared" si="18"/>
        <v>3710</v>
      </c>
      <c r="Q57" s="167">
        <f t="shared" si="22"/>
        <v>1386</v>
      </c>
      <c r="R57" s="170">
        <f t="shared" si="23"/>
        <v>49</v>
      </c>
      <c r="S57" s="167">
        <f t="shared" si="9"/>
        <v>41</v>
      </c>
      <c r="T57" s="192">
        <f t="shared" si="0"/>
        <v>8</v>
      </c>
      <c r="U57" s="170">
        <f t="shared" si="21"/>
        <v>53639.999999999956</v>
      </c>
      <c r="V57" s="167">
        <f t="shared" si="11"/>
        <v>32774</v>
      </c>
      <c r="W57" s="167">
        <f t="shared" si="12"/>
        <v>20866.000000000007</v>
      </c>
      <c r="X57" s="170">
        <f t="shared" si="13"/>
        <v>467.99999999999972</v>
      </c>
      <c r="Y57" s="167">
        <f t="shared" si="14"/>
        <v>302</v>
      </c>
      <c r="Z57" s="192">
        <f t="shared" si="15"/>
        <v>165.99999999999989</v>
      </c>
    </row>
    <row r="58" spans="12:26" x14ac:dyDescent="0.25">
      <c r="L58" s="168">
        <v>44378</v>
      </c>
      <c r="M58" s="52">
        <f t="shared" si="4"/>
        <v>2021</v>
      </c>
      <c r="N58" s="169" t="s">
        <v>242</v>
      </c>
      <c r="O58" s="170">
        <f t="shared" si="5"/>
        <v>5162</v>
      </c>
      <c r="P58" s="167">
        <f t="shared" si="18"/>
        <v>3671</v>
      </c>
      <c r="Q58" s="167">
        <f t="shared" si="22"/>
        <v>1491</v>
      </c>
      <c r="R58" s="170">
        <f t="shared" si="23"/>
        <v>57</v>
      </c>
      <c r="S58" s="167">
        <f t="shared" si="9"/>
        <v>46</v>
      </c>
      <c r="T58" s="192">
        <f t="shared" si="0"/>
        <v>11</v>
      </c>
      <c r="U58" s="170">
        <f t="shared" si="21"/>
        <v>55360.666666666621</v>
      </c>
      <c r="V58" s="167">
        <f t="shared" si="11"/>
        <v>33997.666666666664</v>
      </c>
      <c r="W58" s="167">
        <f t="shared" si="12"/>
        <v>21363.000000000007</v>
      </c>
      <c r="X58" s="170">
        <f t="shared" si="13"/>
        <v>486.99999999999972</v>
      </c>
      <c r="Y58" s="167">
        <f t="shared" si="14"/>
        <v>317.33333333333331</v>
      </c>
      <c r="Z58" s="192">
        <f t="shared" si="15"/>
        <v>169.66666666666654</v>
      </c>
    </row>
    <row r="59" spans="12:26" x14ac:dyDescent="0.25">
      <c r="L59" s="168">
        <v>44409</v>
      </c>
      <c r="M59" s="52">
        <f t="shared" si="4"/>
        <v>2021</v>
      </c>
      <c r="N59" s="169" t="s">
        <v>242</v>
      </c>
      <c r="O59" s="170">
        <f t="shared" si="5"/>
        <v>5162</v>
      </c>
      <c r="P59" s="167">
        <f t="shared" si="18"/>
        <v>3671</v>
      </c>
      <c r="Q59" s="167">
        <f t="shared" si="22"/>
        <v>1491</v>
      </c>
      <c r="R59" s="170">
        <f t="shared" si="23"/>
        <v>57</v>
      </c>
      <c r="S59" s="167">
        <f t="shared" si="9"/>
        <v>46</v>
      </c>
      <c r="T59" s="192">
        <f t="shared" si="0"/>
        <v>11</v>
      </c>
      <c r="U59" s="170">
        <f t="shared" si="21"/>
        <v>57081.333333333285</v>
      </c>
      <c r="V59" s="167">
        <f t="shared" si="11"/>
        <v>35221.333333333328</v>
      </c>
      <c r="W59" s="167">
        <f t="shared" si="12"/>
        <v>21860.000000000007</v>
      </c>
      <c r="X59" s="170">
        <f t="shared" si="13"/>
        <v>505.99999999999972</v>
      </c>
      <c r="Y59" s="167">
        <f t="shared" si="14"/>
        <v>332.66666666666663</v>
      </c>
      <c r="Z59" s="192">
        <f t="shared" si="15"/>
        <v>173.3333333333332</v>
      </c>
    </row>
    <row r="60" spans="12:26" x14ac:dyDescent="0.25">
      <c r="L60" s="168">
        <v>44440</v>
      </c>
      <c r="M60" s="52">
        <f t="shared" si="4"/>
        <v>2021</v>
      </c>
      <c r="N60" s="169" t="s">
        <v>242</v>
      </c>
      <c r="O60" s="170">
        <f t="shared" si="5"/>
        <v>5162</v>
      </c>
      <c r="P60" s="167">
        <f t="shared" si="18"/>
        <v>3671</v>
      </c>
      <c r="Q60" s="167">
        <f t="shared" si="22"/>
        <v>1491</v>
      </c>
      <c r="R60" s="170">
        <f t="shared" si="23"/>
        <v>57</v>
      </c>
      <c r="S60" s="167">
        <f t="shared" si="9"/>
        <v>46</v>
      </c>
      <c r="T60" s="192">
        <f t="shared" si="0"/>
        <v>11</v>
      </c>
      <c r="U60" s="170">
        <f t="shared" si="21"/>
        <v>58801.999999999949</v>
      </c>
      <c r="V60" s="167">
        <f t="shared" si="11"/>
        <v>36444.999999999993</v>
      </c>
      <c r="W60" s="167">
        <f t="shared" si="12"/>
        <v>22357.000000000007</v>
      </c>
      <c r="X60" s="170">
        <f t="shared" si="13"/>
        <v>524.99999999999977</v>
      </c>
      <c r="Y60" s="167">
        <f t="shared" si="14"/>
        <v>347.99999999999994</v>
      </c>
      <c r="Z60" s="192">
        <f t="shared" si="15"/>
        <v>176.99999999999986</v>
      </c>
    </row>
    <row r="61" spans="12:26" x14ac:dyDescent="0.25">
      <c r="L61" s="168">
        <v>44470</v>
      </c>
      <c r="M61" s="52">
        <f t="shared" si="4"/>
        <v>2021</v>
      </c>
      <c r="N61" s="169" t="s">
        <v>243</v>
      </c>
      <c r="O61" s="170">
        <f t="shared" si="5"/>
        <v>6129</v>
      </c>
      <c r="P61" s="167">
        <f t="shared" si="18"/>
        <v>4787</v>
      </c>
      <c r="Q61" s="167">
        <f t="shared" si="22"/>
        <v>1342</v>
      </c>
      <c r="R61" s="170">
        <f t="shared" si="23"/>
        <v>39</v>
      </c>
      <c r="S61" s="167">
        <f t="shared" si="9"/>
        <v>29</v>
      </c>
      <c r="T61" s="192">
        <f t="shared" si="0"/>
        <v>10</v>
      </c>
      <c r="U61" s="170">
        <f t="shared" si="21"/>
        <v>60844.999999999949</v>
      </c>
      <c r="V61" s="167">
        <f t="shared" si="11"/>
        <v>38040.666666666657</v>
      </c>
      <c r="W61" s="167">
        <f t="shared" si="12"/>
        <v>22804.333333333339</v>
      </c>
      <c r="X61" s="170">
        <f t="shared" si="13"/>
        <v>537.99999999999977</v>
      </c>
      <c r="Y61" s="167">
        <f t="shared" si="14"/>
        <v>357.66666666666663</v>
      </c>
      <c r="Z61" s="192">
        <f t="shared" si="15"/>
        <v>180.3333333333332</v>
      </c>
    </row>
    <row r="62" spans="12:26" x14ac:dyDescent="0.25">
      <c r="L62" s="168">
        <v>44501</v>
      </c>
      <c r="M62" s="52">
        <f t="shared" si="4"/>
        <v>2021</v>
      </c>
      <c r="N62" s="169" t="s">
        <v>243</v>
      </c>
      <c r="O62" s="170">
        <f t="shared" si="5"/>
        <v>6129</v>
      </c>
      <c r="P62" s="167">
        <f t="shared" si="18"/>
        <v>4787</v>
      </c>
      <c r="Q62" s="167">
        <f t="shared" si="22"/>
        <v>1342</v>
      </c>
      <c r="R62" s="170">
        <f t="shared" si="23"/>
        <v>39</v>
      </c>
      <c r="S62" s="167">
        <f t="shared" si="9"/>
        <v>29</v>
      </c>
      <c r="T62" s="192">
        <f t="shared" si="0"/>
        <v>10</v>
      </c>
      <c r="U62" s="170">
        <f t="shared" si="21"/>
        <v>62887.999999999949</v>
      </c>
      <c r="V62" s="167">
        <f t="shared" si="11"/>
        <v>39636.333333333321</v>
      </c>
      <c r="W62" s="167">
        <f t="shared" si="12"/>
        <v>23251.666666666672</v>
      </c>
      <c r="X62" s="170">
        <f t="shared" si="13"/>
        <v>550.99999999999977</v>
      </c>
      <c r="Y62" s="167">
        <f t="shared" si="14"/>
        <v>367.33333333333331</v>
      </c>
      <c r="Z62" s="192">
        <f t="shared" si="15"/>
        <v>183.66666666666654</v>
      </c>
    </row>
    <row r="63" spans="12:26" x14ac:dyDescent="0.25">
      <c r="L63" s="168">
        <v>44531</v>
      </c>
      <c r="M63" s="52">
        <f t="shared" si="4"/>
        <v>2021</v>
      </c>
      <c r="N63" s="169" t="s">
        <v>243</v>
      </c>
      <c r="O63" s="170">
        <f t="shared" si="5"/>
        <v>6129</v>
      </c>
      <c r="P63" s="167">
        <f t="shared" si="18"/>
        <v>4787</v>
      </c>
      <c r="Q63" s="167">
        <f t="shared" si="22"/>
        <v>1342</v>
      </c>
      <c r="R63" s="170">
        <f t="shared" si="23"/>
        <v>39</v>
      </c>
      <c r="S63" s="167">
        <f t="shared" si="9"/>
        <v>29</v>
      </c>
      <c r="T63" s="192">
        <f t="shared" si="0"/>
        <v>10</v>
      </c>
      <c r="U63" s="170">
        <f t="shared" si="21"/>
        <v>64930.999999999949</v>
      </c>
      <c r="V63" s="167">
        <f t="shared" si="11"/>
        <v>41231.999999999985</v>
      </c>
      <c r="W63" s="167">
        <f t="shared" si="12"/>
        <v>23699.000000000004</v>
      </c>
      <c r="X63" s="170">
        <f t="shared" si="13"/>
        <v>563.99999999999977</v>
      </c>
      <c r="Y63" s="167">
        <f t="shared" si="14"/>
        <v>377</v>
      </c>
      <c r="Z63" s="192">
        <f t="shared" si="15"/>
        <v>186.99999999999989</v>
      </c>
    </row>
    <row r="64" spans="12:26" x14ac:dyDescent="0.25">
      <c r="L64" s="168">
        <v>44562</v>
      </c>
      <c r="M64" s="52">
        <f t="shared" si="4"/>
        <v>2022</v>
      </c>
      <c r="N64" s="169" t="s">
        <v>244</v>
      </c>
      <c r="O64" s="170">
        <f t="shared" si="5"/>
        <v>7124</v>
      </c>
      <c r="P64" s="167">
        <f t="shared" si="18"/>
        <v>5686</v>
      </c>
      <c r="Q64" s="167">
        <f t="shared" si="22"/>
        <v>1438</v>
      </c>
      <c r="R64" s="170">
        <f t="shared" si="23"/>
        <v>52</v>
      </c>
      <c r="S64" s="167">
        <f t="shared" si="9"/>
        <v>41</v>
      </c>
      <c r="T64" s="192">
        <f t="shared" si="0"/>
        <v>11</v>
      </c>
      <c r="U64" s="170">
        <f t="shared" si="21"/>
        <v>67305.666666666613</v>
      </c>
      <c r="V64" s="167">
        <f t="shared" si="11"/>
        <v>43127.333333333321</v>
      </c>
      <c r="W64" s="167">
        <f t="shared" si="12"/>
        <v>24178.333333333336</v>
      </c>
      <c r="X64" s="170">
        <f t="shared" si="13"/>
        <v>581.33333333333314</v>
      </c>
      <c r="Y64" s="167">
        <f t="shared" si="14"/>
        <v>390.66666666666669</v>
      </c>
      <c r="Z64" s="192">
        <f t="shared" si="15"/>
        <v>190.66666666666654</v>
      </c>
    </row>
    <row r="65" spans="12:26" x14ac:dyDescent="0.25">
      <c r="L65" s="168">
        <v>44593</v>
      </c>
      <c r="M65" s="52">
        <f t="shared" si="4"/>
        <v>2022</v>
      </c>
      <c r="N65" s="169" t="s">
        <v>244</v>
      </c>
      <c r="O65" s="170">
        <f t="shared" si="5"/>
        <v>7124</v>
      </c>
      <c r="P65" s="167">
        <f t="shared" si="18"/>
        <v>5686</v>
      </c>
      <c r="Q65" s="167">
        <f t="shared" si="22"/>
        <v>1438</v>
      </c>
      <c r="R65" s="170">
        <f t="shared" si="23"/>
        <v>52</v>
      </c>
      <c r="S65" s="167">
        <f t="shared" si="9"/>
        <v>41</v>
      </c>
      <c r="T65" s="192">
        <f t="shared" si="0"/>
        <v>11</v>
      </c>
      <c r="U65" s="170">
        <f t="shared" si="21"/>
        <v>69680.333333333285</v>
      </c>
      <c r="V65" s="167">
        <f t="shared" si="11"/>
        <v>45022.666666666657</v>
      </c>
      <c r="W65" s="167">
        <f t="shared" si="12"/>
        <v>24657.666666666668</v>
      </c>
      <c r="X65" s="170">
        <f t="shared" si="13"/>
        <v>598.66666666666652</v>
      </c>
      <c r="Y65" s="167">
        <f t="shared" si="14"/>
        <v>404.33333333333337</v>
      </c>
      <c r="Z65" s="192">
        <f t="shared" si="15"/>
        <v>194.3333333333332</v>
      </c>
    </row>
    <row r="66" spans="12:26" x14ac:dyDescent="0.25">
      <c r="L66" s="168">
        <v>44621</v>
      </c>
      <c r="M66" s="52">
        <f t="shared" si="4"/>
        <v>2022</v>
      </c>
      <c r="N66" s="169" t="s">
        <v>244</v>
      </c>
      <c r="O66" s="170">
        <f t="shared" si="5"/>
        <v>7124</v>
      </c>
      <c r="P66" s="167">
        <f t="shared" si="18"/>
        <v>5686</v>
      </c>
      <c r="Q66" s="167">
        <f t="shared" si="22"/>
        <v>1438</v>
      </c>
      <c r="R66" s="170">
        <f t="shared" si="23"/>
        <v>52</v>
      </c>
      <c r="S66" s="167">
        <f t="shared" si="9"/>
        <v>41</v>
      </c>
      <c r="T66" s="192">
        <f t="shared" si="0"/>
        <v>11</v>
      </c>
      <c r="U66" s="170">
        <f t="shared" si="21"/>
        <v>72054.999999999956</v>
      </c>
      <c r="V66" s="167">
        <f t="shared" si="11"/>
        <v>46917.999999999993</v>
      </c>
      <c r="W66" s="167">
        <f t="shared" si="12"/>
        <v>25137</v>
      </c>
      <c r="X66" s="170">
        <f t="shared" si="13"/>
        <v>615.99999999999989</v>
      </c>
      <c r="Y66" s="167">
        <f t="shared" si="14"/>
        <v>418.00000000000006</v>
      </c>
      <c r="Z66" s="192">
        <f t="shared" si="15"/>
        <v>197.99999999999986</v>
      </c>
    </row>
    <row r="67" spans="12:26" x14ac:dyDescent="0.25">
      <c r="L67" s="168">
        <v>44652</v>
      </c>
      <c r="M67" s="52">
        <f t="shared" si="4"/>
        <v>2022</v>
      </c>
      <c r="N67" s="169" t="s">
        <v>245</v>
      </c>
      <c r="O67" s="170">
        <f t="shared" si="5"/>
        <v>9534</v>
      </c>
      <c r="P67" s="167">
        <f t="shared" si="18"/>
        <v>7875</v>
      </c>
      <c r="Q67" s="167">
        <f t="shared" si="22"/>
        <v>1659</v>
      </c>
      <c r="R67" s="170">
        <f t="shared" si="23"/>
        <v>81</v>
      </c>
      <c r="S67" s="167">
        <f t="shared" si="9"/>
        <v>68</v>
      </c>
      <c r="T67" s="192">
        <f t="shared" si="0"/>
        <v>13</v>
      </c>
      <c r="U67" s="170">
        <f t="shared" si="21"/>
        <v>75232.999999999956</v>
      </c>
      <c r="V67" s="167">
        <f t="shared" si="11"/>
        <v>49542.999999999993</v>
      </c>
      <c r="W67" s="167">
        <f t="shared" si="12"/>
        <v>25690</v>
      </c>
      <c r="X67" s="170">
        <f t="shared" si="13"/>
        <v>642.99999999999989</v>
      </c>
      <c r="Y67" s="167">
        <f t="shared" si="14"/>
        <v>440.66666666666674</v>
      </c>
      <c r="Z67" s="192">
        <f t="shared" si="15"/>
        <v>202.3333333333332</v>
      </c>
    </row>
    <row r="68" spans="12:26" x14ac:dyDescent="0.25">
      <c r="L68" s="168">
        <v>44682</v>
      </c>
      <c r="M68" s="52">
        <f t="shared" si="4"/>
        <v>2022</v>
      </c>
      <c r="N68" s="169" t="s">
        <v>245</v>
      </c>
      <c r="O68" s="170">
        <f t="shared" si="5"/>
        <v>9534</v>
      </c>
      <c r="P68" s="167">
        <f t="shared" si="18"/>
        <v>7875</v>
      </c>
      <c r="Q68" s="167">
        <f t="shared" si="22"/>
        <v>1659</v>
      </c>
      <c r="R68" s="170">
        <f t="shared" si="23"/>
        <v>81</v>
      </c>
      <c r="S68" s="167">
        <f t="shared" si="9"/>
        <v>68</v>
      </c>
      <c r="T68" s="192">
        <f t="shared" ref="T68:T93" si="24">SUMIFS(J:J,$B:$B,$N68)</f>
        <v>13</v>
      </c>
      <c r="U68" s="170">
        <f t="shared" si="21"/>
        <v>78410.999999999956</v>
      </c>
      <c r="V68" s="167">
        <f t="shared" si="11"/>
        <v>52167.999999999993</v>
      </c>
      <c r="W68" s="167">
        <f t="shared" si="12"/>
        <v>26243</v>
      </c>
      <c r="X68" s="170">
        <f t="shared" si="13"/>
        <v>669.99999999999989</v>
      </c>
      <c r="Y68" s="167">
        <f t="shared" si="14"/>
        <v>463.33333333333343</v>
      </c>
      <c r="Z68" s="192">
        <f t="shared" si="15"/>
        <v>206.66666666666654</v>
      </c>
    </row>
    <row r="69" spans="12:26" x14ac:dyDescent="0.25">
      <c r="L69" s="168">
        <v>44713</v>
      </c>
      <c r="M69" s="52">
        <f t="shared" ref="M69:M87" si="25">YEAR(L69)</f>
        <v>2022</v>
      </c>
      <c r="N69" s="169" t="s">
        <v>245</v>
      </c>
      <c r="O69" s="170">
        <f t="shared" ref="O69:O93" si="26">SUMIFS(E:E,$B:$B,$N69)</f>
        <v>9534</v>
      </c>
      <c r="P69" s="167">
        <f t="shared" si="18"/>
        <v>7875</v>
      </c>
      <c r="Q69" s="167">
        <f t="shared" si="22"/>
        <v>1659</v>
      </c>
      <c r="R69" s="170">
        <f t="shared" si="23"/>
        <v>81</v>
      </c>
      <c r="S69" s="167">
        <f t="shared" ref="S69:S93" si="27">SUMIFS(I:I,$B:$B,$N69)</f>
        <v>68</v>
      </c>
      <c r="T69" s="192">
        <f t="shared" si="24"/>
        <v>13</v>
      </c>
      <c r="U69" s="170">
        <f t="shared" ref="U69:U87" si="28">O69/3+U68</f>
        <v>81588.999999999956</v>
      </c>
      <c r="V69" s="167">
        <f t="shared" ref="V69:V93" si="29">P69/3+V68</f>
        <v>54792.999999999993</v>
      </c>
      <c r="W69" s="167">
        <f t="shared" ref="W69:W93" si="30">Q69/3+W68</f>
        <v>26796</v>
      </c>
      <c r="X69" s="170">
        <f t="shared" ref="X69:X93" si="31">R69/3+X68</f>
        <v>696.99999999999989</v>
      </c>
      <c r="Y69" s="167">
        <f t="shared" ref="Y69:Y93" si="32">S69/3+Y68</f>
        <v>486.00000000000011</v>
      </c>
      <c r="Z69" s="192">
        <f t="shared" ref="Z69:Z93" si="33">T69/3+Z68</f>
        <v>210.99999999999989</v>
      </c>
    </row>
    <row r="70" spans="12:26" x14ac:dyDescent="0.25">
      <c r="L70" s="168">
        <v>44743</v>
      </c>
      <c r="M70" s="52">
        <f t="shared" si="25"/>
        <v>2022</v>
      </c>
      <c r="N70" s="169" t="s">
        <v>246</v>
      </c>
      <c r="O70" s="170">
        <f t="shared" si="26"/>
        <v>11013</v>
      </c>
      <c r="P70" s="167">
        <f t="shared" si="18"/>
        <v>9716</v>
      </c>
      <c r="Q70" s="167">
        <f t="shared" si="22"/>
        <v>1297</v>
      </c>
      <c r="R70" s="170">
        <f t="shared" si="23"/>
        <v>98</v>
      </c>
      <c r="S70" s="167">
        <f t="shared" si="27"/>
        <v>86</v>
      </c>
      <c r="T70" s="192">
        <f t="shared" si="24"/>
        <v>12</v>
      </c>
      <c r="U70" s="170">
        <f t="shared" si="28"/>
        <v>85259.999999999956</v>
      </c>
      <c r="V70" s="167">
        <f t="shared" si="29"/>
        <v>58031.666666666657</v>
      </c>
      <c r="W70" s="167">
        <f t="shared" si="30"/>
        <v>27228.333333333332</v>
      </c>
      <c r="X70" s="170">
        <f t="shared" si="31"/>
        <v>729.66666666666652</v>
      </c>
      <c r="Y70" s="167">
        <f t="shared" si="32"/>
        <v>514.66666666666674</v>
      </c>
      <c r="Z70" s="192">
        <f t="shared" si="33"/>
        <v>214.99999999999989</v>
      </c>
    </row>
    <row r="71" spans="12:26" x14ac:dyDescent="0.25">
      <c r="L71" s="168">
        <v>44774</v>
      </c>
      <c r="M71" s="52">
        <f t="shared" si="25"/>
        <v>2022</v>
      </c>
      <c r="N71" s="169" t="s">
        <v>246</v>
      </c>
      <c r="O71" s="170">
        <f t="shared" si="26"/>
        <v>11013</v>
      </c>
      <c r="P71" s="167">
        <f t="shared" si="18"/>
        <v>9716</v>
      </c>
      <c r="Q71" s="167">
        <f t="shared" si="22"/>
        <v>1297</v>
      </c>
      <c r="R71" s="170">
        <f t="shared" si="23"/>
        <v>98</v>
      </c>
      <c r="S71" s="167">
        <f t="shared" si="27"/>
        <v>86</v>
      </c>
      <c r="T71" s="192">
        <f t="shared" si="24"/>
        <v>12</v>
      </c>
      <c r="U71" s="170">
        <f t="shared" si="28"/>
        <v>88930.999999999956</v>
      </c>
      <c r="V71" s="167">
        <f t="shared" si="29"/>
        <v>61270.333333333321</v>
      </c>
      <c r="W71" s="167">
        <f t="shared" si="30"/>
        <v>27660.666666666664</v>
      </c>
      <c r="X71" s="170">
        <f t="shared" si="31"/>
        <v>762.33333333333314</v>
      </c>
      <c r="Y71" s="167">
        <f t="shared" si="32"/>
        <v>543.33333333333337</v>
      </c>
      <c r="Z71" s="192">
        <f t="shared" si="33"/>
        <v>218.99999999999989</v>
      </c>
    </row>
    <row r="72" spans="12:26" x14ac:dyDescent="0.25">
      <c r="L72" s="168">
        <v>44805</v>
      </c>
      <c r="M72" s="52">
        <f t="shared" si="25"/>
        <v>2022</v>
      </c>
      <c r="N72" s="169" t="s">
        <v>246</v>
      </c>
      <c r="O72" s="170">
        <f t="shared" si="26"/>
        <v>11013</v>
      </c>
      <c r="P72" s="167">
        <f t="shared" si="18"/>
        <v>9716</v>
      </c>
      <c r="Q72" s="167">
        <f t="shared" si="22"/>
        <v>1297</v>
      </c>
      <c r="R72" s="170">
        <f t="shared" si="23"/>
        <v>98</v>
      </c>
      <c r="S72" s="167">
        <f t="shared" si="27"/>
        <v>86</v>
      </c>
      <c r="T72" s="192">
        <f t="shared" si="24"/>
        <v>12</v>
      </c>
      <c r="U72" s="170">
        <f t="shared" si="28"/>
        <v>92601.999999999956</v>
      </c>
      <c r="V72" s="167">
        <f t="shared" si="29"/>
        <v>64508.999999999985</v>
      </c>
      <c r="W72" s="167">
        <f t="shared" si="30"/>
        <v>28092.999999999996</v>
      </c>
      <c r="X72" s="170">
        <f t="shared" si="31"/>
        <v>794.99999999999977</v>
      </c>
      <c r="Y72" s="167">
        <f t="shared" si="32"/>
        <v>572</v>
      </c>
      <c r="Z72" s="192">
        <f t="shared" si="33"/>
        <v>222.99999999999989</v>
      </c>
    </row>
    <row r="73" spans="12:26" x14ac:dyDescent="0.25">
      <c r="L73" s="168">
        <v>44835</v>
      </c>
      <c r="M73" s="52">
        <f t="shared" si="25"/>
        <v>2022</v>
      </c>
      <c r="N73" s="169" t="s">
        <v>247</v>
      </c>
      <c r="O73" s="170">
        <f t="shared" si="26"/>
        <v>10991</v>
      </c>
      <c r="P73" s="167">
        <f t="shared" si="18"/>
        <v>9506</v>
      </c>
      <c r="Q73" s="167">
        <f t="shared" si="22"/>
        <v>1485</v>
      </c>
      <c r="R73" s="170">
        <f t="shared" si="23"/>
        <v>97</v>
      </c>
      <c r="S73" s="167">
        <f t="shared" si="27"/>
        <v>86</v>
      </c>
      <c r="T73" s="192">
        <f t="shared" si="24"/>
        <v>11</v>
      </c>
      <c r="U73" s="170">
        <f t="shared" si="28"/>
        <v>96265.666666666628</v>
      </c>
      <c r="V73" s="167">
        <f t="shared" si="29"/>
        <v>67677.666666666657</v>
      </c>
      <c r="W73" s="167">
        <f t="shared" si="30"/>
        <v>28587.999999999996</v>
      </c>
      <c r="X73" s="170">
        <f t="shared" si="31"/>
        <v>827.33333333333314</v>
      </c>
      <c r="Y73" s="167">
        <f t="shared" si="32"/>
        <v>600.66666666666663</v>
      </c>
      <c r="Z73" s="192">
        <f t="shared" si="33"/>
        <v>226.66666666666654</v>
      </c>
    </row>
    <row r="74" spans="12:26" x14ac:dyDescent="0.25">
      <c r="L74" s="168">
        <v>44866</v>
      </c>
      <c r="M74" s="52">
        <f t="shared" si="25"/>
        <v>2022</v>
      </c>
      <c r="N74" s="169" t="s">
        <v>247</v>
      </c>
      <c r="O74" s="170">
        <f t="shared" si="26"/>
        <v>10991</v>
      </c>
      <c r="P74" s="167">
        <f t="shared" si="18"/>
        <v>9506</v>
      </c>
      <c r="Q74" s="167">
        <f t="shared" si="22"/>
        <v>1485</v>
      </c>
      <c r="R74" s="170">
        <f t="shared" si="23"/>
        <v>97</v>
      </c>
      <c r="S74" s="167">
        <f t="shared" si="27"/>
        <v>86</v>
      </c>
      <c r="T74" s="192">
        <f t="shared" si="24"/>
        <v>11</v>
      </c>
      <c r="U74" s="170">
        <f t="shared" si="28"/>
        <v>99929.333333333299</v>
      </c>
      <c r="V74" s="167">
        <f t="shared" si="29"/>
        <v>70846.333333333328</v>
      </c>
      <c r="W74" s="167">
        <f t="shared" si="30"/>
        <v>29082.999999999996</v>
      </c>
      <c r="X74" s="170">
        <f t="shared" si="31"/>
        <v>859.66666666666652</v>
      </c>
      <c r="Y74" s="167">
        <f t="shared" si="32"/>
        <v>629.33333333333326</v>
      </c>
      <c r="Z74" s="192">
        <f t="shared" si="33"/>
        <v>230.3333333333332</v>
      </c>
    </row>
    <row r="75" spans="12:26" x14ac:dyDescent="0.25">
      <c r="L75" s="168">
        <v>44896</v>
      </c>
      <c r="M75" s="52">
        <f t="shared" si="25"/>
        <v>2022</v>
      </c>
      <c r="N75" s="169" t="s">
        <v>247</v>
      </c>
      <c r="O75" s="170">
        <f t="shared" si="26"/>
        <v>10991</v>
      </c>
      <c r="P75" s="167">
        <f t="shared" si="18"/>
        <v>9506</v>
      </c>
      <c r="Q75" s="167">
        <f t="shared" si="22"/>
        <v>1485</v>
      </c>
      <c r="R75" s="170">
        <f t="shared" si="23"/>
        <v>97</v>
      </c>
      <c r="S75" s="167">
        <f t="shared" si="27"/>
        <v>86</v>
      </c>
      <c r="T75" s="192">
        <f t="shared" si="24"/>
        <v>11</v>
      </c>
      <c r="U75" s="170">
        <f t="shared" si="28"/>
        <v>103592.99999999997</v>
      </c>
      <c r="V75" s="167">
        <f t="shared" si="29"/>
        <v>74015</v>
      </c>
      <c r="W75" s="167">
        <f t="shared" si="30"/>
        <v>29577.999999999996</v>
      </c>
      <c r="X75" s="170">
        <f t="shared" si="31"/>
        <v>891.99999999999989</v>
      </c>
      <c r="Y75" s="167">
        <f t="shared" si="32"/>
        <v>657.99999999999989</v>
      </c>
      <c r="Z75" s="192">
        <f t="shared" si="33"/>
        <v>233.99999999999986</v>
      </c>
    </row>
    <row r="76" spans="12:26" x14ac:dyDescent="0.25">
      <c r="L76" s="168">
        <v>44927</v>
      </c>
      <c r="M76" s="52">
        <f t="shared" si="25"/>
        <v>2023</v>
      </c>
      <c r="N76" s="169" t="s">
        <v>248</v>
      </c>
      <c r="O76" s="170">
        <f t="shared" si="26"/>
        <v>8520</v>
      </c>
      <c r="P76" s="167">
        <f t="shared" si="18"/>
        <v>6760</v>
      </c>
      <c r="Q76" s="167">
        <f t="shared" si="22"/>
        <v>1760</v>
      </c>
      <c r="R76" s="170">
        <f t="shared" si="23"/>
        <v>82</v>
      </c>
      <c r="S76" s="167">
        <f t="shared" si="27"/>
        <v>69</v>
      </c>
      <c r="T76" s="192">
        <f t="shared" si="24"/>
        <v>13</v>
      </c>
      <c r="U76" s="170">
        <f t="shared" si="28"/>
        <v>106432.99999999997</v>
      </c>
      <c r="V76" s="167">
        <f t="shared" si="29"/>
        <v>76268.333333333328</v>
      </c>
      <c r="W76" s="167">
        <f t="shared" si="30"/>
        <v>30164.666666666664</v>
      </c>
      <c r="X76" s="170">
        <f t="shared" si="31"/>
        <v>919.33333333333326</v>
      </c>
      <c r="Y76" s="167">
        <f t="shared" si="32"/>
        <v>680.99999999999989</v>
      </c>
      <c r="Z76" s="192">
        <f t="shared" si="33"/>
        <v>238.3333333333332</v>
      </c>
    </row>
    <row r="77" spans="12:26" x14ac:dyDescent="0.25">
      <c r="L77" s="168">
        <v>44958</v>
      </c>
      <c r="M77" s="52">
        <f t="shared" si="25"/>
        <v>2023</v>
      </c>
      <c r="N77" s="169" t="s">
        <v>248</v>
      </c>
      <c r="O77" s="170">
        <f t="shared" si="26"/>
        <v>8520</v>
      </c>
      <c r="P77" s="167">
        <f t="shared" si="18"/>
        <v>6760</v>
      </c>
      <c r="Q77" s="167">
        <f t="shared" si="22"/>
        <v>1760</v>
      </c>
      <c r="R77" s="170">
        <f t="shared" si="23"/>
        <v>82</v>
      </c>
      <c r="S77" s="167">
        <f t="shared" si="27"/>
        <v>69</v>
      </c>
      <c r="T77" s="192">
        <f t="shared" si="24"/>
        <v>13</v>
      </c>
      <c r="U77" s="170">
        <f t="shared" si="28"/>
        <v>109272.99999999997</v>
      </c>
      <c r="V77" s="167">
        <f t="shared" si="29"/>
        <v>78521.666666666657</v>
      </c>
      <c r="W77" s="167">
        <f t="shared" si="30"/>
        <v>30751.333333333332</v>
      </c>
      <c r="X77" s="170">
        <f t="shared" si="31"/>
        <v>946.66666666666663</v>
      </c>
      <c r="Y77" s="167">
        <f t="shared" si="32"/>
        <v>703.99999999999989</v>
      </c>
      <c r="Z77" s="192">
        <f t="shared" si="33"/>
        <v>242.66666666666654</v>
      </c>
    </row>
    <row r="78" spans="12:26" x14ac:dyDescent="0.25">
      <c r="L78" s="168">
        <v>44986</v>
      </c>
      <c r="M78" s="52">
        <f t="shared" si="25"/>
        <v>2023</v>
      </c>
      <c r="N78" s="169" t="s">
        <v>248</v>
      </c>
      <c r="O78" s="170">
        <f t="shared" si="26"/>
        <v>8520</v>
      </c>
      <c r="P78" s="167">
        <f t="shared" si="18"/>
        <v>6760</v>
      </c>
      <c r="Q78" s="167">
        <f t="shared" si="22"/>
        <v>1760</v>
      </c>
      <c r="R78" s="170">
        <f t="shared" si="23"/>
        <v>82</v>
      </c>
      <c r="S78" s="167">
        <f t="shared" si="27"/>
        <v>69</v>
      </c>
      <c r="T78" s="192">
        <f t="shared" si="24"/>
        <v>13</v>
      </c>
      <c r="U78" s="170">
        <f t="shared" si="28"/>
        <v>112112.99999999997</v>
      </c>
      <c r="V78" s="167">
        <f t="shared" si="29"/>
        <v>80774.999999999985</v>
      </c>
      <c r="W78" s="167">
        <f t="shared" si="30"/>
        <v>31338</v>
      </c>
      <c r="X78" s="170">
        <f t="shared" si="31"/>
        <v>974</v>
      </c>
      <c r="Y78" s="167">
        <f t="shared" si="32"/>
        <v>726.99999999999989</v>
      </c>
      <c r="Z78" s="192">
        <f t="shared" si="33"/>
        <v>246.99999999999989</v>
      </c>
    </row>
    <row r="79" spans="12:26" x14ac:dyDescent="0.25">
      <c r="L79" s="168">
        <v>45017</v>
      </c>
      <c r="M79" s="52">
        <f t="shared" si="25"/>
        <v>2023</v>
      </c>
      <c r="N79" s="169" t="s">
        <v>249</v>
      </c>
      <c r="O79" s="170">
        <f t="shared" si="26"/>
        <v>12797</v>
      </c>
      <c r="P79" s="167">
        <f t="shared" si="18"/>
        <v>9486</v>
      </c>
      <c r="Q79" s="167">
        <f t="shared" si="22"/>
        <v>3311</v>
      </c>
      <c r="R79" s="170">
        <f t="shared" si="23"/>
        <v>147</v>
      </c>
      <c r="S79" s="167">
        <f t="shared" si="27"/>
        <v>113</v>
      </c>
      <c r="T79" s="192">
        <f t="shared" si="24"/>
        <v>34</v>
      </c>
      <c r="U79" s="170">
        <f t="shared" si="28"/>
        <v>116378.66666666664</v>
      </c>
      <c r="V79" s="167">
        <f t="shared" si="29"/>
        <v>83936.999999999985</v>
      </c>
      <c r="W79" s="167">
        <f t="shared" si="30"/>
        <v>32441.666666666668</v>
      </c>
      <c r="X79" s="170">
        <f t="shared" si="31"/>
        <v>1023</v>
      </c>
      <c r="Y79" s="167">
        <f t="shared" si="32"/>
        <v>764.66666666666652</v>
      </c>
      <c r="Z79" s="192">
        <f t="shared" si="33"/>
        <v>258.3333333333332</v>
      </c>
    </row>
    <row r="80" spans="12:26" x14ac:dyDescent="0.25">
      <c r="L80" s="168">
        <v>45047</v>
      </c>
      <c r="M80" s="52">
        <f t="shared" si="25"/>
        <v>2023</v>
      </c>
      <c r="N80" s="169" t="s">
        <v>249</v>
      </c>
      <c r="O80" s="170">
        <f t="shared" si="26"/>
        <v>12797</v>
      </c>
      <c r="P80" s="167">
        <f t="shared" si="18"/>
        <v>9486</v>
      </c>
      <c r="Q80" s="167">
        <f t="shared" si="22"/>
        <v>3311</v>
      </c>
      <c r="R80" s="170">
        <f t="shared" si="23"/>
        <v>147</v>
      </c>
      <c r="S80" s="167">
        <f t="shared" si="27"/>
        <v>113</v>
      </c>
      <c r="T80" s="192">
        <f t="shared" si="24"/>
        <v>34</v>
      </c>
      <c r="U80" s="170">
        <f t="shared" si="28"/>
        <v>120644.33333333331</v>
      </c>
      <c r="V80" s="167">
        <f t="shared" si="29"/>
        <v>87098.999999999985</v>
      </c>
      <c r="W80" s="167">
        <f t="shared" si="30"/>
        <v>33545.333333333336</v>
      </c>
      <c r="X80" s="170">
        <f t="shared" si="31"/>
        <v>1072</v>
      </c>
      <c r="Y80" s="167">
        <f t="shared" si="32"/>
        <v>802.33333333333314</v>
      </c>
      <c r="Z80" s="192">
        <f t="shared" si="33"/>
        <v>269.66666666666652</v>
      </c>
    </row>
    <row r="81" spans="12:26" x14ac:dyDescent="0.25">
      <c r="L81" s="168">
        <v>45078</v>
      </c>
      <c r="M81" s="52">
        <f t="shared" si="25"/>
        <v>2023</v>
      </c>
      <c r="N81" s="169" t="s">
        <v>249</v>
      </c>
      <c r="O81" s="170">
        <f t="shared" si="26"/>
        <v>12797</v>
      </c>
      <c r="P81" s="167">
        <f t="shared" si="18"/>
        <v>9486</v>
      </c>
      <c r="Q81" s="167">
        <f t="shared" si="22"/>
        <v>3311</v>
      </c>
      <c r="R81" s="170">
        <f t="shared" si="23"/>
        <v>147</v>
      </c>
      <c r="S81" s="167">
        <f t="shared" si="27"/>
        <v>113</v>
      </c>
      <c r="T81" s="192">
        <f t="shared" si="24"/>
        <v>34</v>
      </c>
      <c r="U81" s="170">
        <f t="shared" si="28"/>
        <v>124909.99999999999</v>
      </c>
      <c r="V81" s="167">
        <f t="shared" si="29"/>
        <v>90260.999999999985</v>
      </c>
      <c r="W81" s="167">
        <f t="shared" si="30"/>
        <v>34649</v>
      </c>
      <c r="X81" s="170">
        <f t="shared" si="31"/>
        <v>1121</v>
      </c>
      <c r="Y81" s="167">
        <f t="shared" si="32"/>
        <v>839.99999999999977</v>
      </c>
      <c r="Z81" s="192">
        <f t="shared" si="33"/>
        <v>280.99999999999983</v>
      </c>
    </row>
    <row r="82" spans="12:26" x14ac:dyDescent="0.25">
      <c r="L82" s="168">
        <v>45108</v>
      </c>
      <c r="M82" s="52">
        <f t="shared" si="25"/>
        <v>2023</v>
      </c>
      <c r="N82" s="169" t="s">
        <v>250</v>
      </c>
      <c r="O82" s="170">
        <f t="shared" si="26"/>
        <v>14710</v>
      </c>
      <c r="P82" s="167">
        <f t="shared" si="18"/>
        <v>11458</v>
      </c>
      <c r="Q82" s="167">
        <f t="shared" si="22"/>
        <v>3252</v>
      </c>
      <c r="R82" s="170">
        <f t="shared" si="23"/>
        <v>147</v>
      </c>
      <c r="S82" s="167">
        <f t="shared" si="27"/>
        <v>113</v>
      </c>
      <c r="T82" s="192">
        <f t="shared" si="24"/>
        <v>34</v>
      </c>
      <c r="U82" s="170">
        <f t="shared" si="28"/>
        <v>129813.33333333331</v>
      </c>
      <c r="V82" s="167">
        <f t="shared" si="29"/>
        <v>94080.333333333314</v>
      </c>
      <c r="W82" s="167">
        <f t="shared" si="30"/>
        <v>35733</v>
      </c>
      <c r="X82" s="170">
        <f t="shared" si="31"/>
        <v>1170</v>
      </c>
      <c r="Y82" s="167">
        <f t="shared" si="32"/>
        <v>877.6666666666664</v>
      </c>
      <c r="Z82" s="192">
        <f t="shared" si="33"/>
        <v>292.33333333333314</v>
      </c>
    </row>
    <row r="83" spans="12:26" x14ac:dyDescent="0.25">
      <c r="L83" s="168">
        <v>45139</v>
      </c>
      <c r="M83" s="52">
        <f t="shared" si="25"/>
        <v>2023</v>
      </c>
      <c r="N83" s="169" t="s">
        <v>250</v>
      </c>
      <c r="O83" s="170">
        <f t="shared" si="26"/>
        <v>14710</v>
      </c>
      <c r="P83" s="167">
        <f t="shared" si="18"/>
        <v>11458</v>
      </c>
      <c r="Q83" s="167">
        <f t="shared" si="22"/>
        <v>3252</v>
      </c>
      <c r="R83" s="170">
        <f t="shared" si="23"/>
        <v>147</v>
      </c>
      <c r="S83" s="167">
        <f t="shared" si="27"/>
        <v>113</v>
      </c>
      <c r="T83" s="192">
        <f t="shared" si="24"/>
        <v>34</v>
      </c>
      <c r="U83" s="170">
        <f t="shared" si="28"/>
        <v>134716.66666666666</v>
      </c>
      <c r="V83" s="167">
        <f t="shared" si="29"/>
        <v>97899.666666666642</v>
      </c>
      <c r="W83" s="167">
        <f t="shared" si="30"/>
        <v>36817</v>
      </c>
      <c r="X83" s="170">
        <f t="shared" si="31"/>
        <v>1219</v>
      </c>
      <c r="Y83" s="167">
        <f t="shared" si="32"/>
        <v>915.33333333333303</v>
      </c>
      <c r="Z83" s="192">
        <f t="shared" si="33"/>
        <v>303.66666666666646</v>
      </c>
    </row>
    <row r="84" spans="12:26" x14ac:dyDescent="0.25">
      <c r="L84" s="168">
        <v>45170</v>
      </c>
      <c r="M84" s="52">
        <f t="shared" si="25"/>
        <v>2023</v>
      </c>
      <c r="N84" s="169" t="s">
        <v>250</v>
      </c>
      <c r="O84" s="170">
        <f t="shared" si="26"/>
        <v>14710</v>
      </c>
      <c r="P84" s="167">
        <f t="shared" ref="P84:P93" si="34">SUMIFS(F:F,$B:$B,$N84)</f>
        <v>11458</v>
      </c>
      <c r="Q84" s="167">
        <f t="shared" ref="Q84:Q93" si="35">SUMIFS(G:G,$B:$B,$N84)</f>
        <v>3252</v>
      </c>
      <c r="R84" s="170">
        <f t="shared" ref="R84:R93" si="36">SUMIFS(H:H,$B:$B,$N84)</f>
        <v>147</v>
      </c>
      <c r="S84" s="167">
        <f t="shared" si="27"/>
        <v>113</v>
      </c>
      <c r="T84" s="192">
        <f t="shared" si="24"/>
        <v>34</v>
      </c>
      <c r="U84" s="170">
        <f t="shared" si="28"/>
        <v>139620</v>
      </c>
      <c r="V84" s="167">
        <f t="shared" si="29"/>
        <v>101718.99999999997</v>
      </c>
      <c r="W84" s="167">
        <f t="shared" si="30"/>
        <v>37901</v>
      </c>
      <c r="X84" s="170">
        <f t="shared" si="31"/>
        <v>1268</v>
      </c>
      <c r="Y84" s="167">
        <f t="shared" si="32"/>
        <v>952.99999999999966</v>
      </c>
      <c r="Z84" s="192">
        <f t="shared" si="33"/>
        <v>314.99999999999977</v>
      </c>
    </row>
    <row r="85" spans="12:26" x14ac:dyDescent="0.25">
      <c r="L85" s="168">
        <v>45200</v>
      </c>
      <c r="M85" s="52">
        <f t="shared" si="25"/>
        <v>2023</v>
      </c>
      <c r="N85" s="169" t="s">
        <v>251</v>
      </c>
      <c r="O85" s="170">
        <f t="shared" si="26"/>
        <v>14105</v>
      </c>
      <c r="P85" s="167">
        <f t="shared" si="34"/>
        <v>10931</v>
      </c>
      <c r="Q85" s="167">
        <f t="shared" si="35"/>
        <v>3174</v>
      </c>
      <c r="R85" s="170">
        <f t="shared" si="36"/>
        <v>146</v>
      </c>
      <c r="S85" s="167">
        <f t="shared" si="27"/>
        <v>117</v>
      </c>
      <c r="T85" s="192">
        <f t="shared" si="24"/>
        <v>29</v>
      </c>
      <c r="U85" s="170">
        <f t="shared" si="28"/>
        <v>144321.66666666666</v>
      </c>
      <c r="V85" s="167">
        <f t="shared" si="29"/>
        <v>105362.66666666664</v>
      </c>
      <c r="W85" s="167">
        <f t="shared" si="30"/>
        <v>38959</v>
      </c>
      <c r="X85" s="170">
        <f t="shared" si="31"/>
        <v>1316.6666666666667</v>
      </c>
      <c r="Y85" s="167">
        <f t="shared" si="32"/>
        <v>991.99999999999966</v>
      </c>
      <c r="Z85" s="192">
        <f t="shared" si="33"/>
        <v>324.66666666666646</v>
      </c>
    </row>
    <row r="86" spans="12:26" x14ac:dyDescent="0.25">
      <c r="L86" s="168">
        <v>45231</v>
      </c>
      <c r="M86" s="52">
        <f t="shared" si="25"/>
        <v>2023</v>
      </c>
      <c r="N86" s="169" t="s">
        <v>251</v>
      </c>
      <c r="O86" s="170">
        <f t="shared" si="26"/>
        <v>14105</v>
      </c>
      <c r="P86" s="167">
        <f t="shared" si="34"/>
        <v>10931</v>
      </c>
      <c r="Q86" s="167">
        <f t="shared" si="35"/>
        <v>3174</v>
      </c>
      <c r="R86" s="170">
        <f t="shared" si="36"/>
        <v>146</v>
      </c>
      <c r="S86" s="167">
        <f t="shared" si="27"/>
        <v>117</v>
      </c>
      <c r="T86" s="192">
        <f t="shared" si="24"/>
        <v>29</v>
      </c>
      <c r="U86" s="170">
        <f t="shared" si="28"/>
        <v>149023.33333333331</v>
      </c>
      <c r="V86" s="167">
        <f t="shared" si="29"/>
        <v>109006.33333333331</v>
      </c>
      <c r="W86" s="167">
        <f t="shared" si="30"/>
        <v>40017</v>
      </c>
      <c r="X86" s="170">
        <f t="shared" si="31"/>
        <v>1365.3333333333335</v>
      </c>
      <c r="Y86" s="167">
        <f t="shared" si="32"/>
        <v>1030.9999999999995</v>
      </c>
      <c r="Z86" s="192">
        <f t="shared" si="33"/>
        <v>334.33333333333314</v>
      </c>
    </row>
    <row r="87" spans="12:26" x14ac:dyDescent="0.25">
      <c r="L87" s="168">
        <v>45261</v>
      </c>
      <c r="M87" s="52">
        <f t="shared" si="25"/>
        <v>2023</v>
      </c>
      <c r="N87" s="169" t="s">
        <v>251</v>
      </c>
      <c r="O87" s="170">
        <f t="shared" si="26"/>
        <v>14105</v>
      </c>
      <c r="P87" s="167">
        <f t="shared" si="34"/>
        <v>10931</v>
      </c>
      <c r="Q87" s="167">
        <f t="shared" si="35"/>
        <v>3174</v>
      </c>
      <c r="R87" s="170">
        <f t="shared" si="36"/>
        <v>146</v>
      </c>
      <c r="S87" s="167">
        <f t="shared" si="27"/>
        <v>117</v>
      </c>
      <c r="T87" s="192">
        <f t="shared" si="24"/>
        <v>29</v>
      </c>
      <c r="U87" s="170">
        <f t="shared" si="28"/>
        <v>153724.99999999997</v>
      </c>
      <c r="V87" s="167">
        <f t="shared" si="29"/>
        <v>112649.99999999999</v>
      </c>
      <c r="W87" s="167">
        <f t="shared" si="30"/>
        <v>41075</v>
      </c>
      <c r="X87" s="170">
        <f t="shared" si="31"/>
        <v>1414.0000000000002</v>
      </c>
      <c r="Y87" s="167">
        <f t="shared" si="32"/>
        <v>1069.9999999999995</v>
      </c>
      <c r="Z87" s="192">
        <f t="shared" si="33"/>
        <v>343.99999999999983</v>
      </c>
    </row>
    <row r="88" spans="12:26" x14ac:dyDescent="0.25">
      <c r="L88" s="168">
        <v>45292</v>
      </c>
      <c r="M88" s="52">
        <f t="shared" ref="M88:M93" si="37">YEAR(L88)</f>
        <v>2024</v>
      </c>
      <c r="N88" s="169" t="s">
        <v>252</v>
      </c>
      <c r="O88" s="170">
        <f t="shared" si="26"/>
        <v>11026</v>
      </c>
      <c r="P88" s="167">
        <f t="shared" si="34"/>
        <v>8144</v>
      </c>
      <c r="Q88" s="167">
        <f t="shared" si="35"/>
        <v>2882</v>
      </c>
      <c r="R88" s="170">
        <f t="shared" si="36"/>
        <v>111</v>
      </c>
      <c r="S88" s="167">
        <f t="shared" si="27"/>
        <v>90</v>
      </c>
      <c r="T88" s="192">
        <f t="shared" si="24"/>
        <v>21</v>
      </c>
      <c r="U88" s="170">
        <f t="shared" ref="U88:U93" si="38">O88/3+U87</f>
        <v>157400.33333333331</v>
      </c>
      <c r="V88" s="167">
        <f t="shared" si="29"/>
        <v>115364.66666666666</v>
      </c>
      <c r="W88" s="167">
        <f t="shared" si="30"/>
        <v>42035.666666666664</v>
      </c>
      <c r="X88" s="170">
        <f t="shared" si="31"/>
        <v>1451.0000000000002</v>
      </c>
      <c r="Y88" s="167">
        <f t="shared" si="32"/>
        <v>1099.9999999999995</v>
      </c>
      <c r="Z88" s="192">
        <f t="shared" si="33"/>
        <v>350.99999999999983</v>
      </c>
    </row>
    <row r="89" spans="12:26" x14ac:dyDescent="0.25">
      <c r="L89" s="168">
        <v>45323</v>
      </c>
      <c r="M89" s="52">
        <f t="shared" si="37"/>
        <v>2024</v>
      </c>
      <c r="N89" s="169" t="s">
        <v>252</v>
      </c>
      <c r="O89" s="170">
        <f t="shared" si="26"/>
        <v>11026</v>
      </c>
      <c r="P89" s="167">
        <f t="shared" si="34"/>
        <v>8144</v>
      </c>
      <c r="Q89" s="167">
        <f t="shared" si="35"/>
        <v>2882</v>
      </c>
      <c r="R89" s="170">
        <f t="shared" si="36"/>
        <v>111</v>
      </c>
      <c r="S89" s="167">
        <f t="shared" si="27"/>
        <v>90</v>
      </c>
      <c r="T89" s="192">
        <f t="shared" si="24"/>
        <v>21</v>
      </c>
      <c r="U89" s="170">
        <f t="shared" si="38"/>
        <v>161075.66666666666</v>
      </c>
      <c r="V89" s="167">
        <f t="shared" si="29"/>
        <v>118079.33333333333</v>
      </c>
      <c r="W89" s="167">
        <f t="shared" si="30"/>
        <v>42996.333333333328</v>
      </c>
      <c r="X89" s="170">
        <f t="shared" si="31"/>
        <v>1488.0000000000002</v>
      </c>
      <c r="Y89" s="167">
        <f t="shared" si="32"/>
        <v>1129.9999999999995</v>
      </c>
      <c r="Z89" s="192">
        <f t="shared" si="33"/>
        <v>357.99999999999983</v>
      </c>
    </row>
    <row r="90" spans="12:26" x14ac:dyDescent="0.25">
      <c r="L90" s="168">
        <v>45352</v>
      </c>
      <c r="M90" s="52">
        <f t="shared" si="37"/>
        <v>2024</v>
      </c>
      <c r="N90" s="169" t="s">
        <v>252</v>
      </c>
      <c r="O90" s="170">
        <f t="shared" si="26"/>
        <v>11026</v>
      </c>
      <c r="P90" s="167">
        <f t="shared" si="34"/>
        <v>8144</v>
      </c>
      <c r="Q90" s="167">
        <f t="shared" si="35"/>
        <v>2882</v>
      </c>
      <c r="R90" s="170">
        <f t="shared" si="36"/>
        <v>111</v>
      </c>
      <c r="S90" s="167">
        <f t="shared" si="27"/>
        <v>90</v>
      </c>
      <c r="T90" s="192">
        <f t="shared" si="24"/>
        <v>21</v>
      </c>
      <c r="U90" s="170">
        <f t="shared" si="38"/>
        <v>164751</v>
      </c>
      <c r="V90" s="167">
        <f t="shared" si="29"/>
        <v>120794</v>
      </c>
      <c r="W90" s="167">
        <f t="shared" si="30"/>
        <v>43956.999999999993</v>
      </c>
      <c r="X90" s="170">
        <f t="shared" si="31"/>
        <v>1525.0000000000002</v>
      </c>
      <c r="Y90" s="167">
        <f t="shared" si="32"/>
        <v>1159.9999999999995</v>
      </c>
      <c r="Z90" s="192">
        <f t="shared" si="33"/>
        <v>364.99999999999983</v>
      </c>
    </row>
    <row r="91" spans="12:26" x14ac:dyDescent="0.25">
      <c r="L91" s="168">
        <v>45383</v>
      </c>
      <c r="M91" s="52">
        <f t="shared" si="37"/>
        <v>2024</v>
      </c>
      <c r="N91" s="169" t="s">
        <v>253</v>
      </c>
      <c r="O91" s="170">
        <f t="shared" si="26"/>
        <v>14377</v>
      </c>
      <c r="P91" s="167">
        <f t="shared" si="34"/>
        <v>10469</v>
      </c>
      <c r="Q91" s="167">
        <f t="shared" si="35"/>
        <v>3908</v>
      </c>
      <c r="R91" s="170">
        <f t="shared" si="36"/>
        <v>214</v>
      </c>
      <c r="S91" s="167">
        <f t="shared" si="27"/>
        <v>184</v>
      </c>
      <c r="T91" s="192">
        <f t="shared" si="24"/>
        <v>30</v>
      </c>
      <c r="U91" s="170">
        <f t="shared" si="38"/>
        <v>169543.33333333334</v>
      </c>
      <c r="V91" s="167">
        <f t="shared" si="29"/>
        <v>124283.66666666667</v>
      </c>
      <c r="W91" s="167">
        <f t="shared" si="30"/>
        <v>45259.666666666657</v>
      </c>
      <c r="X91" s="170">
        <f t="shared" si="31"/>
        <v>1596.3333333333335</v>
      </c>
      <c r="Y91" s="167">
        <f t="shared" si="32"/>
        <v>1221.3333333333328</v>
      </c>
      <c r="Z91" s="192">
        <f t="shared" si="33"/>
        <v>374.99999999999983</v>
      </c>
    </row>
    <row r="92" spans="12:26" x14ac:dyDescent="0.25">
      <c r="L92" s="168">
        <v>45413</v>
      </c>
      <c r="M92" s="52">
        <f t="shared" si="37"/>
        <v>2024</v>
      </c>
      <c r="N92" s="169" t="s">
        <v>253</v>
      </c>
      <c r="O92" s="170">
        <f t="shared" si="26"/>
        <v>14377</v>
      </c>
      <c r="P92" s="167">
        <f t="shared" si="34"/>
        <v>10469</v>
      </c>
      <c r="Q92" s="167">
        <f t="shared" si="35"/>
        <v>3908</v>
      </c>
      <c r="R92" s="170">
        <f t="shared" si="36"/>
        <v>214</v>
      </c>
      <c r="S92" s="167">
        <f t="shared" si="27"/>
        <v>184</v>
      </c>
      <c r="T92" s="192">
        <f t="shared" si="24"/>
        <v>30</v>
      </c>
      <c r="U92" s="170">
        <f t="shared" si="38"/>
        <v>174335.66666666669</v>
      </c>
      <c r="V92" s="167">
        <f t="shared" si="29"/>
        <v>127773.33333333334</v>
      </c>
      <c r="W92" s="167">
        <f t="shared" si="30"/>
        <v>46562.333333333321</v>
      </c>
      <c r="X92" s="170">
        <f t="shared" si="31"/>
        <v>1667.6666666666667</v>
      </c>
      <c r="Y92" s="167">
        <f t="shared" si="32"/>
        <v>1282.6666666666661</v>
      </c>
      <c r="Z92" s="192">
        <f t="shared" si="33"/>
        <v>384.99999999999983</v>
      </c>
    </row>
    <row r="93" spans="12:26" x14ac:dyDescent="0.25">
      <c r="L93" s="168">
        <v>45444</v>
      </c>
      <c r="M93" s="52">
        <f t="shared" si="37"/>
        <v>2024</v>
      </c>
      <c r="N93" s="169" t="s">
        <v>253</v>
      </c>
      <c r="O93" s="170">
        <f t="shared" si="26"/>
        <v>14377</v>
      </c>
      <c r="P93" s="167">
        <f t="shared" si="34"/>
        <v>10469</v>
      </c>
      <c r="Q93" s="167">
        <f t="shared" si="35"/>
        <v>3908</v>
      </c>
      <c r="R93" s="170">
        <f t="shared" si="36"/>
        <v>214</v>
      </c>
      <c r="S93" s="167">
        <f t="shared" si="27"/>
        <v>184</v>
      </c>
      <c r="T93" s="192">
        <f t="shared" si="24"/>
        <v>30</v>
      </c>
      <c r="U93" s="170">
        <f t="shared" si="38"/>
        <v>179128.00000000003</v>
      </c>
      <c r="V93" s="167">
        <f t="shared" si="29"/>
        <v>131263</v>
      </c>
      <c r="W93" s="167">
        <f t="shared" si="30"/>
        <v>47864.999999999985</v>
      </c>
      <c r="X93" s="170">
        <f t="shared" si="31"/>
        <v>1739</v>
      </c>
      <c r="Y93" s="167">
        <f t="shared" si="32"/>
        <v>1343.9999999999993</v>
      </c>
      <c r="Z93" s="192">
        <f t="shared" si="33"/>
        <v>394.99999999999983</v>
      </c>
    </row>
    <row r="94" spans="12:26" x14ac:dyDescent="0.25">
      <c r="L94" s="168">
        <v>45474</v>
      </c>
      <c r="M94" s="52">
        <f t="shared" ref="M94:M99" si="39">YEAR(L94)</f>
        <v>2024</v>
      </c>
      <c r="N94" s="169" t="s">
        <v>254</v>
      </c>
      <c r="O94" s="170">
        <f t="shared" ref="O94:T99" si="40">SUMIFS(E:E,$B:$B,$N94)</f>
        <v>15946</v>
      </c>
      <c r="P94" s="167">
        <f t="shared" si="40"/>
        <v>11771</v>
      </c>
      <c r="Q94" s="167">
        <f t="shared" si="40"/>
        <v>4175</v>
      </c>
      <c r="R94" s="170">
        <f t="shared" si="40"/>
        <v>229</v>
      </c>
      <c r="S94" s="167">
        <f t="shared" si="40"/>
        <v>179</v>
      </c>
      <c r="T94" s="192">
        <f t="shared" si="40"/>
        <v>50</v>
      </c>
      <c r="U94" s="170">
        <f t="shared" ref="U94:Z99" si="41">O94/3+U93</f>
        <v>184443.33333333337</v>
      </c>
      <c r="V94" s="167">
        <f t="shared" si="41"/>
        <v>135186.66666666666</v>
      </c>
      <c r="W94" s="167">
        <f t="shared" si="41"/>
        <v>49256.66666666665</v>
      </c>
      <c r="X94" s="170">
        <f t="shared" si="41"/>
        <v>1815.3333333333333</v>
      </c>
      <c r="Y94" s="167">
        <f t="shared" si="41"/>
        <v>1403.6666666666661</v>
      </c>
      <c r="Z94" s="192">
        <f t="shared" si="41"/>
        <v>411.66666666666652</v>
      </c>
    </row>
    <row r="95" spans="12:26" x14ac:dyDescent="0.25">
      <c r="L95" s="168">
        <v>45505</v>
      </c>
      <c r="M95" s="52">
        <f t="shared" si="39"/>
        <v>2024</v>
      </c>
      <c r="N95" s="169" t="s">
        <v>254</v>
      </c>
      <c r="O95" s="170">
        <f t="shared" si="40"/>
        <v>15946</v>
      </c>
      <c r="P95" s="167">
        <f t="shared" si="40"/>
        <v>11771</v>
      </c>
      <c r="Q95" s="167">
        <f t="shared" si="40"/>
        <v>4175</v>
      </c>
      <c r="R95" s="170">
        <f t="shared" si="40"/>
        <v>229</v>
      </c>
      <c r="S95" s="167">
        <f t="shared" si="40"/>
        <v>179</v>
      </c>
      <c r="T95" s="192">
        <f t="shared" si="40"/>
        <v>50</v>
      </c>
      <c r="U95" s="170">
        <f t="shared" si="41"/>
        <v>189758.66666666672</v>
      </c>
      <c r="V95" s="167">
        <f t="shared" si="41"/>
        <v>139110.33333333331</v>
      </c>
      <c r="W95" s="167">
        <f t="shared" si="41"/>
        <v>50648.333333333314</v>
      </c>
      <c r="X95" s="170">
        <f t="shared" si="41"/>
        <v>1891.6666666666665</v>
      </c>
      <c r="Y95" s="167">
        <f t="shared" si="41"/>
        <v>1463.3333333333328</v>
      </c>
      <c r="Z95" s="192">
        <f t="shared" si="41"/>
        <v>428.3333333333332</v>
      </c>
    </row>
    <row r="96" spans="12:26" x14ac:dyDescent="0.25">
      <c r="L96" s="168">
        <v>45536</v>
      </c>
      <c r="M96" s="52">
        <f t="shared" si="39"/>
        <v>2024</v>
      </c>
      <c r="N96" s="169" t="s">
        <v>254</v>
      </c>
      <c r="O96" s="170">
        <f t="shared" si="40"/>
        <v>15946</v>
      </c>
      <c r="P96" s="167">
        <f t="shared" si="40"/>
        <v>11771</v>
      </c>
      <c r="Q96" s="167">
        <f t="shared" si="40"/>
        <v>4175</v>
      </c>
      <c r="R96" s="170">
        <f t="shared" si="40"/>
        <v>229</v>
      </c>
      <c r="S96" s="167">
        <f t="shared" si="40"/>
        <v>179</v>
      </c>
      <c r="T96" s="192">
        <f t="shared" si="40"/>
        <v>50</v>
      </c>
      <c r="U96" s="170">
        <f t="shared" si="41"/>
        <v>195074.00000000006</v>
      </c>
      <c r="V96" s="167">
        <f t="shared" si="41"/>
        <v>143033.99999999997</v>
      </c>
      <c r="W96" s="167">
        <f t="shared" si="41"/>
        <v>52039.999999999978</v>
      </c>
      <c r="X96" s="170">
        <f t="shared" si="41"/>
        <v>1967.9999999999998</v>
      </c>
      <c r="Y96" s="167">
        <f t="shared" si="41"/>
        <v>1522.9999999999995</v>
      </c>
      <c r="Z96" s="192">
        <f t="shared" si="41"/>
        <v>444.99999999999989</v>
      </c>
    </row>
    <row r="97" spans="12:26" x14ac:dyDescent="0.25">
      <c r="L97" s="168">
        <v>45566</v>
      </c>
      <c r="M97" s="52">
        <f t="shared" si="39"/>
        <v>2024</v>
      </c>
      <c r="N97" s="169" t="s">
        <v>255</v>
      </c>
      <c r="O97" s="170">
        <f t="shared" si="40"/>
        <v>15251</v>
      </c>
      <c r="P97" s="167">
        <f t="shared" si="40"/>
        <v>11282</v>
      </c>
      <c r="Q97" s="167">
        <f t="shared" si="40"/>
        <v>3969</v>
      </c>
      <c r="R97" s="170">
        <f t="shared" si="40"/>
        <v>172</v>
      </c>
      <c r="S97" s="167">
        <f t="shared" si="40"/>
        <v>148</v>
      </c>
      <c r="T97" s="192">
        <f t="shared" si="40"/>
        <v>24</v>
      </c>
      <c r="U97" s="170">
        <f t="shared" si="41"/>
        <v>200157.66666666672</v>
      </c>
      <c r="V97" s="167">
        <f t="shared" si="41"/>
        <v>146794.66666666663</v>
      </c>
      <c r="W97" s="167">
        <f t="shared" si="41"/>
        <v>53362.999999999978</v>
      </c>
      <c r="X97" s="170">
        <f t="shared" si="41"/>
        <v>2025.333333333333</v>
      </c>
      <c r="Y97" s="167">
        <f t="shared" si="41"/>
        <v>1572.3333333333328</v>
      </c>
      <c r="Z97" s="192">
        <f t="shared" si="41"/>
        <v>452.99999999999989</v>
      </c>
    </row>
    <row r="98" spans="12:26" x14ac:dyDescent="0.25">
      <c r="L98" s="168">
        <v>45597</v>
      </c>
      <c r="M98" s="52">
        <f t="shared" si="39"/>
        <v>2024</v>
      </c>
      <c r="N98" s="169" t="s">
        <v>255</v>
      </c>
      <c r="O98" s="170">
        <f t="shared" si="40"/>
        <v>15251</v>
      </c>
      <c r="P98" s="167">
        <f t="shared" si="40"/>
        <v>11282</v>
      </c>
      <c r="Q98" s="167">
        <f t="shared" si="40"/>
        <v>3969</v>
      </c>
      <c r="R98" s="170">
        <f t="shared" si="40"/>
        <v>172</v>
      </c>
      <c r="S98" s="167">
        <f t="shared" si="40"/>
        <v>148</v>
      </c>
      <c r="T98" s="192">
        <f t="shared" si="40"/>
        <v>24</v>
      </c>
      <c r="U98" s="170">
        <f t="shared" si="41"/>
        <v>205241.33333333337</v>
      </c>
      <c r="V98" s="167">
        <f t="shared" si="41"/>
        <v>150555.33333333328</v>
      </c>
      <c r="W98" s="167">
        <f t="shared" si="41"/>
        <v>54685.999999999978</v>
      </c>
      <c r="X98" s="170">
        <f t="shared" si="41"/>
        <v>2082.6666666666665</v>
      </c>
      <c r="Y98" s="167">
        <f t="shared" si="41"/>
        <v>1621.6666666666661</v>
      </c>
      <c r="Z98" s="192">
        <f t="shared" si="41"/>
        <v>460.99999999999989</v>
      </c>
    </row>
    <row r="99" spans="12:26" x14ac:dyDescent="0.25">
      <c r="L99" s="172">
        <v>45627</v>
      </c>
      <c r="M99" s="173">
        <f t="shared" si="39"/>
        <v>2024</v>
      </c>
      <c r="N99" s="174" t="s">
        <v>255</v>
      </c>
      <c r="O99" s="175">
        <f t="shared" si="40"/>
        <v>15251</v>
      </c>
      <c r="P99" s="171">
        <f t="shared" si="40"/>
        <v>11282</v>
      </c>
      <c r="Q99" s="171">
        <f t="shared" si="40"/>
        <v>3969</v>
      </c>
      <c r="R99" s="175">
        <f t="shared" si="40"/>
        <v>172</v>
      </c>
      <c r="S99" s="171">
        <f t="shared" si="40"/>
        <v>148</v>
      </c>
      <c r="T99" s="193">
        <f t="shared" si="40"/>
        <v>24</v>
      </c>
      <c r="U99" s="175">
        <f t="shared" si="41"/>
        <v>210325.00000000003</v>
      </c>
      <c r="V99" s="171">
        <f t="shared" si="41"/>
        <v>154315.99999999994</v>
      </c>
      <c r="W99" s="171">
        <f t="shared" si="41"/>
        <v>56008.999999999978</v>
      </c>
      <c r="X99" s="175">
        <f t="shared" si="41"/>
        <v>2140</v>
      </c>
      <c r="Y99" s="171">
        <f t="shared" si="41"/>
        <v>1670.9999999999993</v>
      </c>
      <c r="Z99" s="193">
        <f t="shared" si="41"/>
        <v>468.99999999999989</v>
      </c>
    </row>
  </sheetData>
  <mergeCells count="12">
    <mergeCell ref="E2:G2"/>
    <mergeCell ref="H2:J2"/>
    <mergeCell ref="AU2:AY2"/>
    <mergeCell ref="AF2:AJ2"/>
    <mergeCell ref="AK2:AO2"/>
    <mergeCell ref="AP2:AT2"/>
    <mergeCell ref="U1:Z1"/>
    <mergeCell ref="O1:T1"/>
    <mergeCell ref="O2:Q2"/>
    <mergeCell ref="R2:T2"/>
    <mergeCell ref="U2:W2"/>
    <mergeCell ref="X2:Z2"/>
  </mergeCells>
  <phoneticPr fontId="3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theme="3" tint="0.499984740745262"/>
  </sheetPr>
  <dimension ref="B1:AA174"/>
  <sheetViews>
    <sheetView zoomScaleNormal="100" workbookViewId="0">
      <selection activeCell="H171" sqref="H171"/>
    </sheetView>
  </sheetViews>
  <sheetFormatPr defaultColWidth="8.77734375" defaultRowHeight="13.8" x14ac:dyDescent="0.25"/>
  <cols>
    <col min="1" max="1" width="2.77734375" style="47" customWidth="1"/>
    <col min="2" max="2" width="37.6640625" style="47" customWidth="1"/>
    <col min="3" max="3" width="13.6640625" style="47" customWidth="1"/>
    <col min="4" max="4" width="17.109375" style="47" customWidth="1"/>
    <col min="5" max="5" width="33.77734375" style="47" customWidth="1"/>
    <col min="6" max="7" width="18.6640625" style="47" bestFit="1" customWidth="1"/>
    <col min="8" max="8" width="18.77734375" style="47" bestFit="1" customWidth="1"/>
    <col min="9" max="9" width="18.109375" style="47" customWidth="1"/>
    <col min="10" max="10" width="23.6640625" style="47" customWidth="1"/>
    <col min="11" max="11" width="13.77734375" style="47" bestFit="1" customWidth="1"/>
    <col min="12" max="12" width="16.109375" style="47" bestFit="1" customWidth="1"/>
    <col min="13" max="17" width="13.109375" style="47" customWidth="1"/>
    <col min="18" max="21" width="12.6640625" style="47" bestFit="1" customWidth="1"/>
    <col min="22" max="23" width="13.109375" style="47" bestFit="1" customWidth="1"/>
    <col min="24" max="24" width="14.33203125" style="47" customWidth="1"/>
    <col min="25" max="25" width="11.109375" style="47" customWidth="1"/>
    <col min="26" max="26" width="13.109375" style="47" customWidth="1"/>
    <col min="27" max="27" width="10" style="47" customWidth="1"/>
    <col min="28" max="16384" width="8.77734375" style="47"/>
  </cols>
  <sheetData>
    <row r="1" spans="2:27" x14ac:dyDescent="0.25">
      <c r="C1" s="47" t="s">
        <v>256</v>
      </c>
      <c r="D1" s="47" t="s">
        <v>257</v>
      </c>
    </row>
    <row r="2" spans="2:27" x14ac:dyDescent="0.25">
      <c r="C2" s="47" t="s">
        <v>258</v>
      </c>
      <c r="D2" s="47" t="s">
        <v>259</v>
      </c>
    </row>
    <row r="3" spans="2:27" x14ac:dyDescent="0.25">
      <c r="B3" s="47" t="s">
        <v>260</v>
      </c>
      <c r="C3" s="328">
        <f>39*365</f>
        <v>14235</v>
      </c>
      <c r="D3" s="47">
        <v>20</v>
      </c>
      <c r="E3" s="329">
        <f>C3*D3/100</f>
        <v>2847</v>
      </c>
      <c r="F3" s="311" t="s">
        <v>261</v>
      </c>
      <c r="Q3" s="109"/>
      <c r="R3" s="109"/>
      <c r="S3" s="109"/>
    </row>
    <row r="4" spans="2:27" x14ac:dyDescent="0.25">
      <c r="B4" s="47" t="s">
        <v>262</v>
      </c>
      <c r="C4" s="328">
        <f>C3</f>
        <v>14235</v>
      </c>
      <c r="D4" s="47">
        <v>20</v>
      </c>
      <c r="E4" s="329">
        <f>C4*D4/100</f>
        <v>2847</v>
      </c>
      <c r="K4" s="330"/>
      <c r="O4" s="92"/>
      <c r="P4" s="109"/>
      <c r="Q4" s="109"/>
      <c r="R4" s="109"/>
      <c r="S4" s="109"/>
      <c r="T4" s="54"/>
      <c r="U4" s="54"/>
      <c r="V4" s="54"/>
      <c r="W4" s="54"/>
      <c r="X4" s="109"/>
    </row>
    <row r="5" spans="2:27" x14ac:dyDescent="0.25">
      <c r="B5" s="47" t="s">
        <v>263</v>
      </c>
      <c r="C5" s="328">
        <v>20000</v>
      </c>
      <c r="D5" s="47">
        <v>25</v>
      </c>
      <c r="E5" s="329">
        <f>C5*D5/100</f>
        <v>5000</v>
      </c>
      <c r="F5" s="328"/>
      <c r="G5" s="328"/>
      <c r="H5" s="328"/>
      <c r="I5" s="328"/>
      <c r="L5" s="92"/>
      <c r="M5" s="92"/>
      <c r="N5" s="92"/>
      <c r="O5" s="92"/>
    </row>
    <row r="6" spans="2:27" x14ac:dyDescent="0.25">
      <c r="B6" s="47" t="s">
        <v>264</v>
      </c>
      <c r="C6" s="328">
        <v>20000</v>
      </c>
      <c r="D6" s="47">
        <v>30</v>
      </c>
      <c r="E6" s="329">
        <f>C6*D6/100</f>
        <v>6000</v>
      </c>
    </row>
    <row r="7" spans="2:27" x14ac:dyDescent="0.25">
      <c r="B7" s="479" t="s">
        <v>265</v>
      </c>
      <c r="C7" s="63"/>
      <c r="D7" s="64"/>
      <c r="E7" s="331"/>
      <c r="F7" s="332">
        <v>2017</v>
      </c>
      <c r="G7" s="332">
        <v>2018</v>
      </c>
      <c r="H7" s="332">
        <v>2019</v>
      </c>
      <c r="I7" s="332">
        <v>2020</v>
      </c>
      <c r="J7" s="332">
        <v>2021</v>
      </c>
      <c r="K7" s="332">
        <v>2022</v>
      </c>
      <c r="L7" s="332">
        <v>2023</v>
      </c>
      <c r="M7" s="332">
        <v>2024</v>
      </c>
      <c r="N7" s="332">
        <v>2025</v>
      </c>
      <c r="O7" s="332">
        <v>2026</v>
      </c>
      <c r="P7" s="332">
        <v>2027</v>
      </c>
      <c r="Q7" s="332">
        <v>2028</v>
      </c>
      <c r="R7" s="332">
        <v>2029</v>
      </c>
      <c r="S7" s="332">
        <v>2030</v>
      </c>
      <c r="T7" s="332">
        <v>2031</v>
      </c>
      <c r="U7" s="332">
        <v>2032</v>
      </c>
      <c r="V7" s="332">
        <v>2033</v>
      </c>
      <c r="W7" s="332">
        <v>2034</v>
      </c>
      <c r="X7" s="332">
        <v>2035</v>
      </c>
      <c r="Y7" s="332">
        <v>2036</v>
      </c>
      <c r="Z7" s="332">
        <v>2037</v>
      </c>
      <c r="AA7" s="332">
        <v>2038</v>
      </c>
    </row>
    <row r="8" spans="2:27" x14ac:dyDescent="0.25">
      <c r="B8" s="480"/>
      <c r="C8" s="67"/>
      <c r="AA8" s="86"/>
    </row>
    <row r="9" spans="2:27" x14ac:dyDescent="0.25">
      <c r="B9" s="480"/>
      <c r="C9" s="485" t="s">
        <v>266</v>
      </c>
      <c r="D9" s="333" t="s">
        <v>168</v>
      </c>
      <c r="E9" s="47" t="s">
        <v>267</v>
      </c>
      <c r="F9" s="334">
        <f>SUMIFS('EV Data'!$S:$S,'EV Data'!$M:$M,'EV Forecast'!F7)/3</f>
        <v>30</v>
      </c>
      <c r="G9" s="334">
        <f>SUMIFS('EV Data'!$S:$S,'EV Data'!$M:$M,'EV Forecast'!G7)/3</f>
        <v>76</v>
      </c>
      <c r="H9" s="334">
        <f>SUMIFS('EV Data'!$S:$S,'EV Data'!$M:$M,'EV Forecast'!H7)/3</f>
        <v>63</v>
      </c>
      <c r="I9" s="334">
        <f>SUMIFS('EV Data'!$S:$S,'EV Data'!$M:$M,'EV Forecast'!I7)/3</f>
        <v>61</v>
      </c>
      <c r="J9" s="334">
        <f>SUMIFS('EV Data'!$S:$S,'EV Data'!$M:$M,'EV Forecast'!J7)/3</f>
        <v>147</v>
      </c>
      <c r="K9" s="334">
        <f>SUMIFS('EV Data'!$S:$S,'EV Data'!$M:$M,'EV Forecast'!K7)/3</f>
        <v>281</v>
      </c>
      <c r="L9" s="334">
        <f>SUMIFS('EV Data'!$S:$S,'EV Data'!$M:$M,'EV Forecast'!L7)/3</f>
        <v>412</v>
      </c>
      <c r="M9" s="334">
        <f>SUMIFS('EV Data'!$S:$S,'EV Data'!$M:$M,'EV Forecast'!M7)/3</f>
        <v>601</v>
      </c>
      <c r="N9" s="335">
        <f t="shared" ref="N9:W9" si="0">N12+N17+N22</f>
        <v>768.58553925940055</v>
      </c>
      <c r="O9" s="335">
        <f t="shared" si="0"/>
        <v>982.90138295950703</v>
      </c>
      <c r="P9" s="335">
        <f t="shared" si="0"/>
        <v>1256.9780190694564</v>
      </c>
      <c r="Q9" s="335">
        <f t="shared" si="0"/>
        <v>1607.4794153472728</v>
      </c>
      <c r="R9" s="335">
        <f t="shared" si="0"/>
        <v>1885.5733542023513</v>
      </c>
      <c r="S9" s="335">
        <f t="shared" si="0"/>
        <v>2843.1166923364153</v>
      </c>
      <c r="T9" s="335">
        <f t="shared" si="0"/>
        <v>3667.6205331139754</v>
      </c>
      <c r="U9" s="335">
        <f t="shared" si="0"/>
        <v>5219.9622471296589</v>
      </c>
      <c r="V9" s="335">
        <f t="shared" si="0"/>
        <v>6034.2763576818843</v>
      </c>
      <c r="W9" s="335">
        <f t="shared" si="0"/>
        <v>6879.0750477573474</v>
      </c>
      <c r="X9" s="335">
        <f>X12+X17+X22</f>
        <v>7755.251974892758</v>
      </c>
      <c r="Y9" s="335">
        <f>Y12+Y17+Y22</f>
        <v>8663.7243490944802</v>
      </c>
      <c r="Z9" s="335">
        <f>Z12+Z17+Z22</f>
        <v>9605.4335174743155</v>
      </c>
      <c r="AA9" s="336">
        <f>AA12+AA17+AA22</f>
        <v>9797.5421878238012</v>
      </c>
    </row>
    <row r="10" spans="2:27" x14ac:dyDescent="0.25">
      <c r="B10" s="480"/>
      <c r="C10" s="485"/>
      <c r="D10" s="333" t="s">
        <v>168</v>
      </c>
      <c r="E10" s="47" t="s">
        <v>206</v>
      </c>
      <c r="F10" s="334">
        <f>F9</f>
        <v>30</v>
      </c>
      <c r="G10" s="334">
        <f>F10+G9</f>
        <v>106</v>
      </c>
      <c r="H10" s="334">
        <f t="shared" ref="H10:T10" si="1">G10+H9</f>
        <v>169</v>
      </c>
      <c r="I10" s="334">
        <f t="shared" si="1"/>
        <v>230</v>
      </c>
      <c r="J10" s="334">
        <f t="shared" si="1"/>
        <v>377</v>
      </c>
      <c r="K10" s="334">
        <f t="shared" si="1"/>
        <v>658</v>
      </c>
      <c r="L10" s="334">
        <f t="shared" si="1"/>
        <v>1070</v>
      </c>
      <c r="M10" s="334">
        <f t="shared" si="1"/>
        <v>1671</v>
      </c>
      <c r="N10" s="335">
        <f t="shared" si="1"/>
        <v>2439.5855392594003</v>
      </c>
      <c r="O10" s="335">
        <f t="shared" si="1"/>
        <v>3422.4869222189072</v>
      </c>
      <c r="P10" s="335">
        <f t="shared" si="1"/>
        <v>4679.4649412883637</v>
      </c>
      <c r="Q10" s="335">
        <f t="shared" si="1"/>
        <v>6286.9443566356367</v>
      </c>
      <c r="R10" s="335">
        <f t="shared" si="1"/>
        <v>8172.5177108379885</v>
      </c>
      <c r="S10" s="335">
        <f t="shared" si="1"/>
        <v>11015.634403174405</v>
      </c>
      <c r="T10" s="335">
        <f t="shared" si="1"/>
        <v>14683.25493628838</v>
      </c>
      <c r="U10" s="335">
        <f t="shared" ref="U10:AA10" si="2">T10+U9-F9</f>
        <v>19873.217183418041</v>
      </c>
      <c r="V10" s="335">
        <f t="shared" si="2"/>
        <v>25831.493541099924</v>
      </c>
      <c r="W10" s="335">
        <f t="shared" si="2"/>
        <v>32647.56858885727</v>
      </c>
      <c r="X10" s="335">
        <f t="shared" si="2"/>
        <v>40341.820563750029</v>
      </c>
      <c r="Y10" s="335">
        <f t="shared" si="2"/>
        <v>48858.544912844511</v>
      </c>
      <c r="Z10" s="335">
        <f t="shared" si="2"/>
        <v>58182.978430318828</v>
      </c>
      <c r="AA10" s="336">
        <f t="shared" si="2"/>
        <v>67568.520618142633</v>
      </c>
    </row>
    <row r="11" spans="2:27" x14ac:dyDescent="0.25">
      <c r="B11" s="480"/>
      <c r="C11" s="67"/>
      <c r="D11" s="333"/>
      <c r="G11" s="337"/>
      <c r="AA11" s="86"/>
    </row>
    <row r="12" spans="2:27" x14ac:dyDescent="0.25">
      <c r="B12" s="480"/>
      <c r="C12" s="474" t="s">
        <v>268</v>
      </c>
      <c r="D12" s="338" t="s">
        <v>168</v>
      </c>
      <c r="E12" s="64" t="s">
        <v>267</v>
      </c>
      <c r="F12" s="339">
        <f t="shared" ref="F12:K12" si="3">F9*(F38+F39)</f>
        <v>30</v>
      </c>
      <c r="G12" s="339">
        <f t="shared" si="3"/>
        <v>76</v>
      </c>
      <c r="H12" s="339">
        <f t="shared" si="3"/>
        <v>63</v>
      </c>
      <c r="I12" s="339">
        <f t="shared" si="3"/>
        <v>61</v>
      </c>
      <c r="J12" s="339">
        <f t="shared" si="3"/>
        <v>147</v>
      </c>
      <c r="K12" s="339">
        <f t="shared" si="3"/>
        <v>272.01705152060521</v>
      </c>
      <c r="L12" s="339">
        <f>L9*(L38+L39)</f>
        <v>387.30239420214826</v>
      </c>
      <c r="M12" s="339">
        <f>M9*(M38+M39)</f>
        <v>538.13920222723561</v>
      </c>
      <c r="N12" s="340">
        <f t="shared" ref="N12:W12" si="4">N29*N83*(N38+N39)*N28</f>
        <v>705.35426878656142</v>
      </c>
      <c r="O12" s="340">
        <f t="shared" si="4"/>
        <v>902.03842103866828</v>
      </c>
      <c r="P12" s="340">
        <f t="shared" si="4"/>
        <v>1153.5668656683911</v>
      </c>
      <c r="Q12" s="340">
        <f t="shared" si="4"/>
        <v>1475.2326314833888</v>
      </c>
      <c r="R12" s="340">
        <f t="shared" si="4"/>
        <v>1730.4478767300152</v>
      </c>
      <c r="S12" s="340">
        <f t="shared" si="4"/>
        <v>2609.2144506520408</v>
      </c>
      <c r="T12" s="340">
        <f t="shared" si="4"/>
        <v>3365.886641341132</v>
      </c>
      <c r="U12" s="340">
        <f t="shared" si="4"/>
        <v>4790.5177313971471</v>
      </c>
      <c r="V12" s="340">
        <f t="shared" si="4"/>
        <v>5537.8384974951005</v>
      </c>
      <c r="W12" s="340">
        <f t="shared" si="4"/>
        <v>6313.1358871444145</v>
      </c>
      <c r="X12" s="340">
        <f>X29*X83*(X38+X39)*X28</f>
        <v>7117.2300369807035</v>
      </c>
      <c r="Y12" s="340">
        <f>Y29*Y83*(Y38+Y39)*Y28</f>
        <v>7950.9626984555862</v>
      </c>
      <c r="Z12" s="340">
        <f>Z29*Z83*(Z38+Z39)*Z28</f>
        <v>8815.197774374672</v>
      </c>
      <c r="AA12" s="341">
        <f>AA29*AA83*(AA38+AA39)*AA28</f>
        <v>8991.5017298621642</v>
      </c>
    </row>
    <row r="13" spans="2:27" x14ac:dyDescent="0.25">
      <c r="B13" s="480"/>
      <c r="C13" s="477"/>
      <c r="D13" s="333" t="s">
        <v>168</v>
      </c>
      <c r="E13" s="47" t="s">
        <v>206</v>
      </c>
      <c r="F13" s="334">
        <f>F12</f>
        <v>30</v>
      </c>
      <c r="G13" s="334">
        <f t="shared" ref="G13:N13" si="5">F13+G12</f>
        <v>106</v>
      </c>
      <c r="H13" s="334">
        <f t="shared" si="5"/>
        <v>169</v>
      </c>
      <c r="I13" s="334">
        <f t="shared" si="5"/>
        <v>230</v>
      </c>
      <c r="J13" s="334">
        <f t="shared" si="5"/>
        <v>377</v>
      </c>
      <c r="K13" s="334">
        <f t="shared" si="5"/>
        <v>649.01705152060526</v>
      </c>
      <c r="L13" s="334">
        <f t="shared" si="5"/>
        <v>1036.3194457227535</v>
      </c>
      <c r="M13" s="342">
        <f t="shared" si="5"/>
        <v>1574.458647949989</v>
      </c>
      <c r="N13" s="342">
        <f t="shared" si="5"/>
        <v>2279.8129167365505</v>
      </c>
      <c r="O13" s="342">
        <f t="shared" ref="O13:W13" si="6">N13+O12</f>
        <v>3181.8513377752188</v>
      </c>
      <c r="P13" s="342">
        <f t="shared" si="6"/>
        <v>4335.4182034436099</v>
      </c>
      <c r="Q13" s="342">
        <f t="shared" si="6"/>
        <v>5810.6508349269989</v>
      </c>
      <c r="R13" s="342">
        <f t="shared" si="6"/>
        <v>7541.0987116570141</v>
      </c>
      <c r="S13" s="342">
        <f t="shared" si="6"/>
        <v>10150.313162309056</v>
      </c>
      <c r="T13" s="342">
        <f t="shared" si="6"/>
        <v>13516.199803650188</v>
      </c>
      <c r="U13" s="342">
        <f t="shared" si="6"/>
        <v>18306.717535047334</v>
      </c>
      <c r="V13" s="342">
        <f t="shared" si="6"/>
        <v>23844.556032542434</v>
      </c>
      <c r="W13" s="342">
        <f t="shared" si="6"/>
        <v>30157.691919686848</v>
      </c>
      <c r="X13" s="342">
        <f>W13+X12</f>
        <v>37274.921956667553</v>
      </c>
      <c r="Y13" s="342">
        <f>X13+Y12</f>
        <v>45225.88465512314</v>
      </c>
      <c r="Z13" s="342">
        <f>Y13+Z12</f>
        <v>54041.082429497808</v>
      </c>
      <c r="AA13" s="343">
        <f>Z13+AA12</f>
        <v>63032.584159359976</v>
      </c>
    </row>
    <row r="14" spans="2:27" x14ac:dyDescent="0.25">
      <c r="B14" s="480"/>
      <c r="C14" s="477"/>
      <c r="D14" s="333" t="s">
        <v>168</v>
      </c>
      <c r="E14" s="47" t="s">
        <v>269</v>
      </c>
      <c r="F14" s="334">
        <f>E3</f>
        <v>2847</v>
      </c>
      <c r="G14" s="334">
        <f>F14</f>
        <v>2847</v>
      </c>
      <c r="H14" s="334">
        <f t="shared" ref="H14:W14" si="7">G14</f>
        <v>2847</v>
      </c>
      <c r="I14" s="334">
        <f t="shared" si="7"/>
        <v>2847</v>
      </c>
      <c r="J14" s="334">
        <f t="shared" si="7"/>
        <v>2847</v>
      </c>
      <c r="K14" s="334">
        <f t="shared" si="7"/>
        <v>2847</v>
      </c>
      <c r="L14" s="334">
        <f t="shared" si="7"/>
        <v>2847</v>
      </c>
      <c r="M14" s="334">
        <f t="shared" si="7"/>
        <v>2847</v>
      </c>
      <c r="N14" s="334">
        <f t="shared" si="7"/>
        <v>2847</v>
      </c>
      <c r="O14" s="334">
        <f t="shared" si="7"/>
        <v>2847</v>
      </c>
      <c r="P14" s="334">
        <f t="shared" si="7"/>
        <v>2847</v>
      </c>
      <c r="Q14" s="334">
        <f t="shared" si="7"/>
        <v>2847</v>
      </c>
      <c r="R14" s="334">
        <f t="shared" si="7"/>
        <v>2847</v>
      </c>
      <c r="S14" s="334">
        <f t="shared" si="7"/>
        <v>2847</v>
      </c>
      <c r="T14" s="334">
        <f t="shared" si="7"/>
        <v>2847</v>
      </c>
      <c r="U14" s="334">
        <f t="shared" si="7"/>
        <v>2847</v>
      </c>
      <c r="V14" s="334">
        <f t="shared" si="7"/>
        <v>2847</v>
      </c>
      <c r="W14" s="334">
        <f t="shared" si="7"/>
        <v>2847</v>
      </c>
      <c r="X14" s="334">
        <f>W14</f>
        <v>2847</v>
      </c>
      <c r="Y14" s="334">
        <f>X14</f>
        <v>2847</v>
      </c>
      <c r="Z14" s="334">
        <f>Y14</f>
        <v>2847</v>
      </c>
      <c r="AA14" s="344">
        <f>Z14</f>
        <v>2847</v>
      </c>
    </row>
    <row r="15" spans="2:27" x14ac:dyDescent="0.25">
      <c r="B15" s="480"/>
      <c r="C15" s="477"/>
      <c r="D15" s="333" t="s">
        <v>168</v>
      </c>
      <c r="E15" s="47" t="s">
        <v>270</v>
      </c>
      <c r="F15" s="334">
        <f>F12*F14</f>
        <v>85410</v>
      </c>
      <c r="G15" s="334">
        <f t="shared" ref="G15:W15" si="8">G12*G14</f>
        <v>216372</v>
      </c>
      <c r="H15" s="334">
        <f t="shared" si="8"/>
        <v>179361</v>
      </c>
      <c r="I15" s="334">
        <f t="shared" si="8"/>
        <v>173667</v>
      </c>
      <c r="J15" s="334">
        <f t="shared" si="8"/>
        <v>418509</v>
      </c>
      <c r="K15" s="334">
        <f t="shared" si="8"/>
        <v>774432.54567916307</v>
      </c>
      <c r="L15" s="334">
        <f t="shared" si="8"/>
        <v>1102649.9162935161</v>
      </c>
      <c r="M15" s="334">
        <f t="shared" si="8"/>
        <v>1532082.3087409397</v>
      </c>
      <c r="N15" s="334">
        <f t="shared" si="8"/>
        <v>2008143.6032353404</v>
      </c>
      <c r="O15" s="334">
        <f t="shared" si="8"/>
        <v>2568103.3846970885</v>
      </c>
      <c r="P15" s="334">
        <f t="shared" si="8"/>
        <v>3284204.8665579092</v>
      </c>
      <c r="Q15" s="334">
        <f t="shared" si="8"/>
        <v>4199987.3018332077</v>
      </c>
      <c r="R15" s="334">
        <f t="shared" si="8"/>
        <v>4926585.1050503533</v>
      </c>
      <c r="S15" s="334">
        <f t="shared" si="8"/>
        <v>7428433.5410063602</v>
      </c>
      <c r="T15" s="334">
        <f t="shared" si="8"/>
        <v>9582679.2678982019</v>
      </c>
      <c r="U15" s="334">
        <f t="shared" si="8"/>
        <v>13638603.981287679</v>
      </c>
      <c r="V15" s="334">
        <f t="shared" si="8"/>
        <v>15766226.202368552</v>
      </c>
      <c r="W15" s="334">
        <f t="shared" si="8"/>
        <v>17973497.870700147</v>
      </c>
      <c r="X15" s="334">
        <f>X12*X14</f>
        <v>20262753.915284064</v>
      </c>
      <c r="Y15" s="334">
        <f>Y12*Y14</f>
        <v>22636390.802503053</v>
      </c>
      <c r="Z15" s="334">
        <f>Z12*Z14</f>
        <v>25096868.063644692</v>
      </c>
      <c r="AA15" s="344">
        <f>AA12*AA14</f>
        <v>25598805.424917582</v>
      </c>
    </row>
    <row r="16" spans="2:27" x14ac:dyDescent="0.25">
      <c r="B16" s="480"/>
      <c r="C16" s="478"/>
      <c r="D16" s="345" t="s">
        <v>168</v>
      </c>
      <c r="E16" s="110" t="s">
        <v>271</v>
      </c>
      <c r="F16" s="346">
        <f>F13*F14-F12*F14/2</f>
        <v>42705</v>
      </c>
      <c r="G16" s="346">
        <f>G13*G14-G12*G14/2</f>
        <v>193596</v>
      </c>
      <c r="H16" s="346">
        <f>H13*H14-H12*H14/2</f>
        <v>391462.5</v>
      </c>
      <c r="I16" s="346">
        <f>I13*I14-I12*I14/2</f>
        <v>567976.5</v>
      </c>
      <c r="J16" s="346">
        <f>J13*J14-J12*J14/2</f>
        <v>864064.5</v>
      </c>
      <c r="K16" s="346">
        <f t="shared" ref="K16:W16" si="9">K13*K14-K12*K14/2</f>
        <v>1460535.2728395816</v>
      </c>
      <c r="L16" s="346">
        <f t="shared" si="9"/>
        <v>2399076.5038259211</v>
      </c>
      <c r="M16" s="346">
        <f t="shared" si="9"/>
        <v>3716442.616343149</v>
      </c>
      <c r="N16" s="346">
        <f t="shared" si="9"/>
        <v>5486555.5723312898</v>
      </c>
      <c r="O16" s="346">
        <f t="shared" si="9"/>
        <v>7774679.0662975041</v>
      </c>
      <c r="P16" s="346">
        <f t="shared" si="9"/>
        <v>10700833.191925004</v>
      </c>
      <c r="Q16" s="346">
        <f t="shared" si="9"/>
        <v>14442929.276120562</v>
      </c>
      <c r="R16" s="346">
        <f t="shared" si="9"/>
        <v>19006215.479562342</v>
      </c>
      <c r="S16" s="346">
        <f t="shared" si="9"/>
        <v>25183724.802590698</v>
      </c>
      <c r="T16" s="346">
        <f t="shared" si="9"/>
        <v>33689281.207042985</v>
      </c>
      <c r="U16" s="346">
        <f t="shared" si="9"/>
        <v>45299922.831635922</v>
      </c>
      <c r="V16" s="346">
        <f t="shared" si="9"/>
        <v>60002337.92346403</v>
      </c>
      <c r="W16" s="346">
        <f t="shared" si="9"/>
        <v>76872199.959998384</v>
      </c>
      <c r="X16" s="346">
        <f>X13*X14-X12*X14/2</f>
        <v>95990325.852990493</v>
      </c>
      <c r="Y16" s="346">
        <f>Y13*Y14-Y12*Y14/2</f>
        <v>117439898.21188405</v>
      </c>
      <c r="Z16" s="346">
        <f>Z13*Z14-Z12*Z14/2</f>
        <v>141306527.6449579</v>
      </c>
      <c r="AA16" s="347">
        <f>AA13*AA14-AA12*AA14/2</f>
        <v>166654364.38923907</v>
      </c>
    </row>
    <row r="17" spans="2:27" x14ac:dyDescent="0.25">
      <c r="B17" s="480"/>
      <c r="C17" s="477" t="s">
        <v>272</v>
      </c>
      <c r="D17" s="338" t="s">
        <v>168</v>
      </c>
      <c r="E17" s="47" t="s">
        <v>267</v>
      </c>
      <c r="F17" s="348">
        <f t="shared" ref="F17:M17" si="10">F9*F40</f>
        <v>0</v>
      </c>
      <c r="G17" s="348">
        <f t="shared" si="10"/>
        <v>0</v>
      </c>
      <c r="H17" s="348">
        <f t="shared" si="10"/>
        <v>0</v>
      </c>
      <c r="I17" s="348">
        <f t="shared" si="10"/>
        <v>0</v>
      </c>
      <c r="J17" s="348">
        <f t="shared" si="10"/>
        <v>0</v>
      </c>
      <c r="K17" s="348">
        <f t="shared" si="10"/>
        <v>1.5085867675319526</v>
      </c>
      <c r="L17" s="348">
        <f t="shared" si="10"/>
        <v>5.4066002329493985</v>
      </c>
      <c r="M17" s="348">
        <f t="shared" si="10"/>
        <v>4.0099361589785438</v>
      </c>
      <c r="N17" s="340">
        <f>N29*N83*N40*N28</f>
        <v>7.6070457278239729</v>
      </c>
      <c r="O17" s="340">
        <f t="shared" ref="O17:W17" si="11">O29*O83*O40*O28</f>
        <v>9.7282285239442743</v>
      </c>
      <c r="P17" s="340">
        <f t="shared" si="11"/>
        <v>12.440891457761049</v>
      </c>
      <c r="Q17" s="340">
        <f t="shared" si="11"/>
        <v>15.909965507372624</v>
      </c>
      <c r="R17" s="340">
        <f t="shared" si="11"/>
        <v>18.662389540148087</v>
      </c>
      <c r="S17" s="340">
        <f t="shared" si="11"/>
        <v>28.139637793579816</v>
      </c>
      <c r="T17" s="340">
        <f t="shared" si="11"/>
        <v>36.300132753717953</v>
      </c>
      <c r="U17" s="340">
        <f t="shared" si="11"/>
        <v>51.664374989012536</v>
      </c>
      <c r="V17" s="340">
        <f t="shared" si="11"/>
        <v>59.724017487298482</v>
      </c>
      <c r="W17" s="340">
        <f t="shared" si="11"/>
        <v>68.085379935520265</v>
      </c>
      <c r="X17" s="340">
        <f>X29*X83*X40*X28</f>
        <v>76.757307274676009</v>
      </c>
      <c r="Y17" s="340">
        <f>Y29*Y83*Y40*Y28</f>
        <v>85.748877555423775</v>
      </c>
      <c r="Z17" s="340">
        <f>Z29*Z83*Z40*Z28</f>
        <v>95.069407724491583</v>
      </c>
      <c r="AA17" s="341">
        <f>AA29*AA83*AA40*AA28</f>
        <v>96.97079587898142</v>
      </c>
    </row>
    <row r="18" spans="2:27" x14ac:dyDescent="0.25">
      <c r="B18" s="480"/>
      <c r="C18" s="477"/>
      <c r="D18" s="333" t="s">
        <v>168</v>
      </c>
      <c r="E18" s="47" t="s">
        <v>206</v>
      </c>
      <c r="F18" s="348">
        <f>F17</f>
        <v>0</v>
      </c>
      <c r="G18" s="348">
        <f t="shared" ref="G18:M18" si="12">F18+G17</f>
        <v>0</v>
      </c>
      <c r="H18" s="348">
        <f t="shared" si="12"/>
        <v>0</v>
      </c>
      <c r="I18" s="348">
        <f t="shared" si="12"/>
        <v>0</v>
      </c>
      <c r="J18" s="348">
        <f t="shared" si="12"/>
        <v>0</v>
      </c>
      <c r="K18" s="348">
        <f t="shared" si="12"/>
        <v>1.5085867675319526</v>
      </c>
      <c r="L18" s="348">
        <f t="shared" si="12"/>
        <v>6.9151870004813514</v>
      </c>
      <c r="M18" s="348">
        <f t="shared" si="12"/>
        <v>10.925123159459895</v>
      </c>
      <c r="N18" s="348">
        <f t="shared" ref="N18:W18" si="13">M18+N17</f>
        <v>18.532168887283866</v>
      </c>
      <c r="O18" s="348">
        <f t="shared" si="13"/>
        <v>28.260397411228141</v>
      </c>
      <c r="P18" s="348">
        <f t="shared" si="13"/>
        <v>40.701288868989188</v>
      </c>
      <c r="Q18" s="348">
        <f t="shared" si="13"/>
        <v>56.611254376361813</v>
      </c>
      <c r="R18" s="348">
        <f t="shared" si="13"/>
        <v>75.273643916509897</v>
      </c>
      <c r="S18" s="348">
        <f t="shared" si="13"/>
        <v>103.41328171008971</v>
      </c>
      <c r="T18" s="348">
        <f t="shared" si="13"/>
        <v>139.71341446380765</v>
      </c>
      <c r="U18" s="348">
        <f t="shared" si="13"/>
        <v>191.3777894528202</v>
      </c>
      <c r="V18" s="348">
        <f t="shared" si="13"/>
        <v>251.10180694011868</v>
      </c>
      <c r="W18" s="348">
        <f t="shared" si="13"/>
        <v>319.18718687563893</v>
      </c>
      <c r="X18" s="348">
        <f>W18+X17</f>
        <v>395.94449415031494</v>
      </c>
      <c r="Y18" s="348">
        <f>X18+Y17</f>
        <v>481.69337170573874</v>
      </c>
      <c r="Z18" s="348">
        <f>Y18+Z17</f>
        <v>576.76277943023035</v>
      </c>
      <c r="AA18" s="349">
        <f>Z18+AA17</f>
        <v>673.7335753092118</v>
      </c>
    </row>
    <row r="19" spans="2:27" x14ac:dyDescent="0.25">
      <c r="B19" s="480"/>
      <c r="C19" s="477"/>
      <c r="D19" s="333" t="s">
        <v>168</v>
      </c>
      <c r="E19" s="47" t="s">
        <v>269</v>
      </c>
      <c r="F19" s="334">
        <f>E5</f>
        <v>5000</v>
      </c>
      <c r="G19" s="334">
        <f t="shared" ref="G19:W19" si="14">F19</f>
        <v>5000</v>
      </c>
      <c r="H19" s="334">
        <f t="shared" si="14"/>
        <v>5000</v>
      </c>
      <c r="I19" s="334">
        <f t="shared" si="14"/>
        <v>5000</v>
      </c>
      <c r="J19" s="334">
        <f t="shared" si="14"/>
        <v>5000</v>
      </c>
      <c r="K19" s="334">
        <f t="shared" si="14"/>
        <v>5000</v>
      </c>
      <c r="L19" s="334">
        <f t="shared" si="14"/>
        <v>5000</v>
      </c>
      <c r="M19" s="334">
        <f t="shared" si="14"/>
        <v>5000</v>
      </c>
      <c r="N19" s="334">
        <f t="shared" si="14"/>
        <v>5000</v>
      </c>
      <c r="O19" s="334">
        <f t="shared" si="14"/>
        <v>5000</v>
      </c>
      <c r="P19" s="334">
        <f t="shared" si="14"/>
        <v>5000</v>
      </c>
      <c r="Q19" s="334">
        <f t="shared" si="14"/>
        <v>5000</v>
      </c>
      <c r="R19" s="334">
        <f t="shared" si="14"/>
        <v>5000</v>
      </c>
      <c r="S19" s="334">
        <f t="shared" si="14"/>
        <v>5000</v>
      </c>
      <c r="T19" s="334">
        <f t="shared" si="14"/>
        <v>5000</v>
      </c>
      <c r="U19" s="334">
        <f t="shared" si="14"/>
        <v>5000</v>
      </c>
      <c r="V19" s="334">
        <f t="shared" si="14"/>
        <v>5000</v>
      </c>
      <c r="W19" s="334">
        <f t="shared" si="14"/>
        <v>5000</v>
      </c>
      <c r="X19" s="334">
        <f>W19</f>
        <v>5000</v>
      </c>
      <c r="Y19" s="334">
        <f>X19</f>
        <v>5000</v>
      </c>
      <c r="Z19" s="334">
        <f>Y19</f>
        <v>5000</v>
      </c>
      <c r="AA19" s="344">
        <f>Z19</f>
        <v>5000</v>
      </c>
    </row>
    <row r="20" spans="2:27" x14ac:dyDescent="0.25">
      <c r="B20" s="480"/>
      <c r="C20" s="477"/>
      <c r="D20" s="333" t="s">
        <v>168</v>
      </c>
      <c r="E20" s="47" t="s">
        <v>270</v>
      </c>
      <c r="F20" s="334">
        <f>F17*F19</f>
        <v>0</v>
      </c>
      <c r="G20" s="334">
        <f t="shared" ref="G20:W20" si="15">G17*G19</f>
        <v>0</v>
      </c>
      <c r="H20" s="334">
        <f t="shared" si="15"/>
        <v>0</v>
      </c>
      <c r="I20" s="334">
        <f t="shared" si="15"/>
        <v>0</v>
      </c>
      <c r="J20" s="334">
        <f t="shared" si="15"/>
        <v>0</v>
      </c>
      <c r="K20" s="334">
        <f t="shared" si="15"/>
        <v>7542.9338376597634</v>
      </c>
      <c r="L20" s="334">
        <f t="shared" si="15"/>
        <v>27033.001164746991</v>
      </c>
      <c r="M20" s="334">
        <f t="shared" si="15"/>
        <v>20049.68079489272</v>
      </c>
      <c r="N20" s="334">
        <f t="shared" si="15"/>
        <v>38035.228639119865</v>
      </c>
      <c r="O20" s="334">
        <f t="shared" si="15"/>
        <v>48641.142619721373</v>
      </c>
      <c r="P20" s="334">
        <f t="shared" si="15"/>
        <v>62204.457288805243</v>
      </c>
      <c r="Q20" s="334">
        <f t="shared" si="15"/>
        <v>79549.827536863115</v>
      </c>
      <c r="R20" s="334">
        <f t="shared" si="15"/>
        <v>93311.947700740435</v>
      </c>
      <c r="S20" s="334">
        <f t="shared" si="15"/>
        <v>140698.18896789907</v>
      </c>
      <c r="T20" s="334">
        <f t="shared" si="15"/>
        <v>181500.66376858976</v>
      </c>
      <c r="U20" s="334">
        <f t="shared" si="15"/>
        <v>258321.87494506268</v>
      </c>
      <c r="V20" s="334">
        <f t="shared" si="15"/>
        <v>298620.08743649244</v>
      </c>
      <c r="W20" s="334">
        <f t="shared" si="15"/>
        <v>340426.89967760135</v>
      </c>
      <c r="X20" s="334">
        <f>X17*X19</f>
        <v>383786.53637338005</v>
      </c>
      <c r="Y20" s="334">
        <f>Y17*Y19</f>
        <v>428744.38777711889</v>
      </c>
      <c r="Z20" s="334">
        <f>Z17*Z19</f>
        <v>475347.03862245794</v>
      </c>
      <c r="AA20" s="344">
        <f>AA17*AA19</f>
        <v>484853.97939490707</v>
      </c>
    </row>
    <row r="21" spans="2:27" x14ac:dyDescent="0.25">
      <c r="B21" s="480"/>
      <c r="C21" s="477"/>
      <c r="D21" s="345" t="s">
        <v>168</v>
      </c>
      <c r="E21" s="47" t="s">
        <v>271</v>
      </c>
      <c r="F21" s="346">
        <f>F18*F19-F17*F19/2</f>
        <v>0</v>
      </c>
      <c r="G21" s="346">
        <f>G18*G19-G17*G19/2</f>
        <v>0</v>
      </c>
      <c r="H21" s="346">
        <f>H18*H19-H17*H19/2</f>
        <v>0</v>
      </c>
      <c r="I21" s="346">
        <f>I18*I19-I17*I19/2</f>
        <v>0</v>
      </c>
      <c r="J21" s="346">
        <f>J18*J19-J17*J19/2</f>
        <v>0</v>
      </c>
      <c r="K21" s="346">
        <f t="shared" ref="K21:W21" si="16">K18*K19-K17*K19/2</f>
        <v>3771.4669188298817</v>
      </c>
      <c r="L21" s="346">
        <f t="shared" si="16"/>
        <v>21059.434420033256</v>
      </c>
      <c r="M21" s="346">
        <f t="shared" si="16"/>
        <v>44600.775399853119</v>
      </c>
      <c r="N21" s="346">
        <f t="shared" si="16"/>
        <v>73643.230116859399</v>
      </c>
      <c r="O21" s="346">
        <f t="shared" si="16"/>
        <v>116981.41574628002</v>
      </c>
      <c r="P21" s="346">
        <f t="shared" si="16"/>
        <v>172404.21570054334</v>
      </c>
      <c r="Q21" s="346">
        <f t="shared" si="16"/>
        <v>243281.3581133775</v>
      </c>
      <c r="R21" s="346">
        <f t="shared" si="16"/>
        <v>329712.24573217926</v>
      </c>
      <c r="S21" s="346">
        <f t="shared" si="16"/>
        <v>446717.31406649901</v>
      </c>
      <c r="T21" s="346">
        <f t="shared" si="16"/>
        <v>607816.74043474335</v>
      </c>
      <c r="U21" s="346">
        <f t="shared" si="16"/>
        <v>827728.00979156967</v>
      </c>
      <c r="V21" s="346">
        <f t="shared" si="16"/>
        <v>1106198.9909823472</v>
      </c>
      <c r="W21" s="346">
        <f t="shared" si="16"/>
        <v>1425722.484539394</v>
      </c>
      <c r="X21" s="346">
        <f>X18*X19-X17*X19/2</f>
        <v>1787829.2025648847</v>
      </c>
      <c r="Y21" s="346">
        <f>Y18*Y19-Y17*Y19/2</f>
        <v>2194094.6646401342</v>
      </c>
      <c r="Z21" s="346">
        <f>Z18*Z19-Z17*Z19/2</f>
        <v>2646140.3778399229</v>
      </c>
      <c r="AA21" s="347">
        <f>AA18*AA19-AA17*AA19/2</f>
        <v>3126240.8868486052</v>
      </c>
    </row>
    <row r="22" spans="2:27" x14ac:dyDescent="0.25">
      <c r="B22" s="480"/>
      <c r="C22" s="474" t="s">
        <v>273</v>
      </c>
      <c r="D22" s="338" t="s">
        <v>168</v>
      </c>
      <c r="E22" s="64" t="s">
        <v>267</v>
      </c>
      <c r="F22" s="350">
        <f t="shared" ref="F22:M22" si="17">F9*F41</f>
        <v>0</v>
      </c>
      <c r="G22" s="350">
        <f t="shared" si="17"/>
        <v>0</v>
      </c>
      <c r="H22" s="350">
        <f t="shared" si="17"/>
        <v>0</v>
      </c>
      <c r="I22" s="350">
        <f t="shared" si="17"/>
        <v>0</v>
      </c>
      <c r="J22" s="350">
        <f t="shared" si="17"/>
        <v>0</v>
      </c>
      <c r="K22" s="351">
        <f t="shared" si="17"/>
        <v>7.4743617118628558</v>
      </c>
      <c r="L22" s="351">
        <f t="shared" si="17"/>
        <v>19.291005564902292</v>
      </c>
      <c r="M22" s="351">
        <f t="shared" si="17"/>
        <v>58.850861613785824</v>
      </c>
      <c r="N22" s="340">
        <f t="shared" ref="N22:W22" si="18">N29*N83*N41*N28</f>
        <v>55.624224745015169</v>
      </c>
      <c r="O22" s="340">
        <f t="shared" si="18"/>
        <v>71.134733396894489</v>
      </c>
      <c r="P22" s="340">
        <f t="shared" si="18"/>
        <v>90.970261943304209</v>
      </c>
      <c r="Q22" s="340">
        <f t="shared" si="18"/>
        <v>116.33681835651147</v>
      </c>
      <c r="R22" s="340">
        <f t="shared" si="18"/>
        <v>136.46308793218796</v>
      </c>
      <c r="S22" s="340">
        <f t="shared" si="18"/>
        <v>205.76260389079474</v>
      </c>
      <c r="T22" s="340">
        <f t="shared" si="18"/>
        <v>265.43375901912515</v>
      </c>
      <c r="U22" s="340">
        <f t="shared" si="18"/>
        <v>377.78014074349915</v>
      </c>
      <c r="V22" s="340">
        <f t="shared" si="18"/>
        <v>436.71384269948493</v>
      </c>
      <c r="W22" s="340">
        <f t="shared" si="18"/>
        <v>497.85378067741283</v>
      </c>
      <c r="X22" s="340">
        <f>X29*X83*X41*X28</f>
        <v>561.26463063737799</v>
      </c>
      <c r="Y22" s="340">
        <f>Y29*Y83*Y41*Y28</f>
        <v>627.01277308347085</v>
      </c>
      <c r="Z22" s="340">
        <f>Z29*Z83*Z41*Z28</f>
        <v>695.16633537515258</v>
      </c>
      <c r="AA22" s="341">
        <f>AA29*AA83*AA41*AA28</f>
        <v>709.06966208265555</v>
      </c>
    </row>
    <row r="23" spans="2:27" x14ac:dyDescent="0.25">
      <c r="B23" s="480"/>
      <c r="C23" s="477"/>
      <c r="D23" s="333" t="s">
        <v>168</v>
      </c>
      <c r="E23" s="47" t="s">
        <v>206</v>
      </c>
      <c r="F23" s="348">
        <f>F22</f>
        <v>0</v>
      </c>
      <c r="G23" s="348">
        <f t="shared" ref="G23:L23" si="19">F23+G22</f>
        <v>0</v>
      </c>
      <c r="H23" s="348">
        <f t="shared" si="19"/>
        <v>0</v>
      </c>
      <c r="I23" s="348">
        <f t="shared" si="19"/>
        <v>0</v>
      </c>
      <c r="J23" s="348">
        <f t="shared" si="19"/>
        <v>0</v>
      </c>
      <c r="K23" s="348">
        <f t="shared" si="19"/>
        <v>7.4743617118628558</v>
      </c>
      <c r="L23" s="348">
        <f t="shared" si="19"/>
        <v>26.765367276765147</v>
      </c>
      <c r="M23" s="348">
        <f t="shared" ref="M23:W23" si="20">L23+M22</f>
        <v>85.616228890550971</v>
      </c>
      <c r="N23" s="348">
        <f t="shared" si="20"/>
        <v>141.24045363556615</v>
      </c>
      <c r="O23" s="348">
        <f t="shared" si="20"/>
        <v>212.37518703246064</v>
      </c>
      <c r="P23" s="348">
        <f>O23+P22</f>
        <v>303.34544897576484</v>
      </c>
      <c r="Q23" s="348">
        <f t="shared" si="20"/>
        <v>419.6822673322763</v>
      </c>
      <c r="R23" s="348">
        <f t="shared" si="20"/>
        <v>556.14535526446423</v>
      </c>
      <c r="S23" s="348">
        <f t="shared" si="20"/>
        <v>761.90795915525894</v>
      </c>
      <c r="T23" s="348">
        <f t="shared" si="20"/>
        <v>1027.3417181743841</v>
      </c>
      <c r="U23" s="348">
        <f t="shared" si="20"/>
        <v>1405.1218589178834</v>
      </c>
      <c r="V23" s="348">
        <f t="shared" si="20"/>
        <v>1841.8357016173684</v>
      </c>
      <c r="W23" s="348">
        <f t="shared" si="20"/>
        <v>2339.6894822947811</v>
      </c>
      <c r="X23" s="348">
        <f>W23+X22</f>
        <v>2900.9541129321592</v>
      </c>
      <c r="Y23" s="348">
        <f>X23+Y22</f>
        <v>3527.9668860156298</v>
      </c>
      <c r="Z23" s="348">
        <f>Y23+Z22</f>
        <v>4223.1332213907826</v>
      </c>
      <c r="AA23" s="349">
        <f>Z23+AA22</f>
        <v>4932.2028834734383</v>
      </c>
    </row>
    <row r="24" spans="2:27" x14ac:dyDescent="0.25">
      <c r="B24" s="480"/>
      <c r="C24" s="477"/>
      <c r="D24" s="333" t="s">
        <v>168</v>
      </c>
      <c r="E24" s="47" t="s">
        <v>269</v>
      </c>
      <c r="F24" s="334"/>
      <c r="G24" s="334"/>
      <c r="H24" s="334"/>
      <c r="I24" s="334"/>
      <c r="J24" s="334"/>
      <c r="K24" s="334">
        <f>E6</f>
        <v>6000</v>
      </c>
      <c r="L24" s="334">
        <f t="shared" ref="L24:W24" si="21">K24</f>
        <v>6000</v>
      </c>
      <c r="M24" s="334">
        <f t="shared" si="21"/>
        <v>6000</v>
      </c>
      <c r="N24" s="334">
        <f t="shared" si="21"/>
        <v>6000</v>
      </c>
      <c r="O24" s="334">
        <f t="shared" si="21"/>
        <v>6000</v>
      </c>
      <c r="P24" s="334">
        <f t="shared" si="21"/>
        <v>6000</v>
      </c>
      <c r="Q24" s="334">
        <f t="shared" si="21"/>
        <v>6000</v>
      </c>
      <c r="R24" s="334">
        <f t="shared" si="21"/>
        <v>6000</v>
      </c>
      <c r="S24" s="334">
        <f t="shared" si="21"/>
        <v>6000</v>
      </c>
      <c r="T24" s="334">
        <f t="shared" si="21"/>
        <v>6000</v>
      </c>
      <c r="U24" s="334">
        <f t="shared" si="21"/>
        <v>6000</v>
      </c>
      <c r="V24" s="334">
        <f t="shared" si="21"/>
        <v>6000</v>
      </c>
      <c r="W24" s="334">
        <f t="shared" si="21"/>
        <v>6000</v>
      </c>
      <c r="X24" s="334">
        <f>W24</f>
        <v>6000</v>
      </c>
      <c r="Y24" s="334">
        <f>X24</f>
        <v>6000</v>
      </c>
      <c r="Z24" s="334">
        <f>Y24</f>
        <v>6000</v>
      </c>
      <c r="AA24" s="344">
        <f>Z24</f>
        <v>6000</v>
      </c>
    </row>
    <row r="25" spans="2:27" x14ac:dyDescent="0.25">
      <c r="B25" s="480"/>
      <c r="C25" s="477"/>
      <c r="D25" s="333" t="s">
        <v>168</v>
      </c>
      <c r="E25" s="47" t="s">
        <v>270</v>
      </c>
      <c r="F25" s="334">
        <f>F22*F24</f>
        <v>0</v>
      </c>
      <c r="G25" s="334">
        <f t="shared" ref="G25:W25" si="22">G22*G24</f>
        <v>0</v>
      </c>
      <c r="H25" s="334">
        <f t="shared" si="22"/>
        <v>0</v>
      </c>
      <c r="I25" s="334">
        <f t="shared" si="22"/>
        <v>0</v>
      </c>
      <c r="J25" s="334">
        <f t="shared" si="22"/>
        <v>0</v>
      </c>
      <c r="K25" s="334">
        <f t="shared" si="22"/>
        <v>44846.170271177136</v>
      </c>
      <c r="L25" s="334">
        <f t="shared" si="22"/>
        <v>115746.03338941376</v>
      </c>
      <c r="M25" s="334">
        <f t="shared" si="22"/>
        <v>353105.16968271497</v>
      </c>
      <c r="N25" s="334">
        <f t="shared" si="22"/>
        <v>333745.348470091</v>
      </c>
      <c r="O25" s="334">
        <f t="shared" si="22"/>
        <v>426808.40038136696</v>
      </c>
      <c r="P25" s="334">
        <f t="shared" si="22"/>
        <v>545821.57165982528</v>
      </c>
      <c r="Q25" s="334">
        <f t="shared" si="22"/>
        <v>698020.91013906884</v>
      </c>
      <c r="R25" s="334">
        <f t="shared" si="22"/>
        <v>818778.5275931278</v>
      </c>
      <c r="S25" s="334">
        <f t="shared" si="22"/>
        <v>1234575.6233447683</v>
      </c>
      <c r="T25" s="334">
        <f t="shared" si="22"/>
        <v>1592602.5541147508</v>
      </c>
      <c r="U25" s="334">
        <f t="shared" si="22"/>
        <v>2266680.8444609949</v>
      </c>
      <c r="V25" s="334">
        <f t="shared" si="22"/>
        <v>2620283.0561969094</v>
      </c>
      <c r="W25" s="334">
        <f t="shared" si="22"/>
        <v>2987122.6840644768</v>
      </c>
      <c r="X25" s="334">
        <f>X22*X24</f>
        <v>3367587.7838242678</v>
      </c>
      <c r="Y25" s="334">
        <f>Y22*Y24</f>
        <v>3762076.638500825</v>
      </c>
      <c r="Z25" s="334">
        <f>Z22*Z24</f>
        <v>4170998.0122509156</v>
      </c>
      <c r="AA25" s="344">
        <f>AA22*AA24</f>
        <v>4254417.9724959331</v>
      </c>
    </row>
    <row r="26" spans="2:27" x14ac:dyDescent="0.25">
      <c r="B26" s="480"/>
      <c r="C26" s="478"/>
      <c r="D26" s="345" t="s">
        <v>168</v>
      </c>
      <c r="E26" s="110" t="s">
        <v>271</v>
      </c>
      <c r="F26" s="346">
        <f>F23*F24-F22*F24/2</f>
        <v>0</v>
      </c>
      <c r="G26" s="346">
        <f>G23*G24-G22*G24/2</f>
        <v>0</v>
      </c>
      <c r="H26" s="346">
        <f>H23*H24-H22*H24/2</f>
        <v>0</v>
      </c>
      <c r="I26" s="346">
        <f>I23*I24-I22*I24/2</f>
        <v>0</v>
      </c>
      <c r="J26" s="346">
        <f>J23*J24-J22*J24/2</f>
        <v>0</v>
      </c>
      <c r="K26" s="346">
        <f t="shared" ref="K26:W26" si="23">K23*K24-K22*K24/2</f>
        <v>22423.085135588568</v>
      </c>
      <c r="L26" s="346">
        <f t="shared" si="23"/>
        <v>102719.18696588402</v>
      </c>
      <c r="M26" s="346">
        <f t="shared" si="23"/>
        <v>337144.78850194835</v>
      </c>
      <c r="N26" s="346">
        <f t="shared" si="23"/>
        <v>680570.04757835134</v>
      </c>
      <c r="O26" s="346">
        <f t="shared" si="23"/>
        <v>1060846.9220040804</v>
      </c>
      <c r="P26" s="346">
        <f t="shared" si="23"/>
        <v>1547161.9080246764</v>
      </c>
      <c r="Q26" s="346">
        <f t="shared" si="23"/>
        <v>2169083.1489241235</v>
      </c>
      <c r="R26" s="346">
        <f t="shared" si="23"/>
        <v>2927482.8677902217</v>
      </c>
      <c r="S26" s="346">
        <f t="shared" si="23"/>
        <v>3954159.9432591693</v>
      </c>
      <c r="T26" s="346">
        <f t="shared" si="23"/>
        <v>5367749.031988929</v>
      </c>
      <c r="U26" s="346">
        <f t="shared" si="23"/>
        <v>7297390.7312768027</v>
      </c>
      <c r="V26" s="346">
        <f t="shared" si="23"/>
        <v>9740872.6816057563</v>
      </c>
      <c r="W26" s="346">
        <f t="shared" si="23"/>
        <v>12544575.551736448</v>
      </c>
      <c r="X26" s="346">
        <f>X23*X24-X22*X24/2</f>
        <v>15721930.785680821</v>
      </c>
      <c r="Y26" s="346">
        <f>Y23*Y24-Y22*Y24/2</f>
        <v>19286762.996843368</v>
      </c>
      <c r="Z26" s="346">
        <f>Z23*Z24-Z22*Z24/2</f>
        <v>23253300.322219238</v>
      </c>
      <c r="AA26" s="347">
        <f>AA23*AA24-AA22*AA24/2</f>
        <v>27466008.314592663</v>
      </c>
    </row>
    <row r="27" spans="2:27" x14ac:dyDescent="0.25">
      <c r="B27" s="480"/>
      <c r="C27" s="352"/>
      <c r="D27" s="333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44"/>
    </row>
    <row r="28" spans="2:27" x14ac:dyDescent="0.25">
      <c r="B28" s="480"/>
      <c r="C28" s="67"/>
      <c r="D28" s="47" t="s">
        <v>274</v>
      </c>
      <c r="F28" s="353">
        <f t="shared" ref="F28:K28" si="24">F31/F32</f>
        <v>8.4198708953129378E-3</v>
      </c>
      <c r="G28" s="353">
        <f t="shared" si="24"/>
        <v>9.2524957389822256E-3</v>
      </c>
      <c r="H28" s="353">
        <f t="shared" si="24"/>
        <v>9.6021947873799734E-3</v>
      </c>
      <c r="I28" s="353">
        <f t="shared" si="24"/>
        <v>7.4773228732532481E-3</v>
      </c>
      <c r="J28" s="353">
        <f t="shared" si="24"/>
        <v>9.9755700325732891E-3</v>
      </c>
      <c r="K28" s="353">
        <f t="shared" si="24"/>
        <v>8.5715157246133659E-3</v>
      </c>
      <c r="L28" s="353">
        <f>L31/L32</f>
        <v>1.0663905784910055E-2</v>
      </c>
      <c r="M28" s="353">
        <f>M31/M32</f>
        <v>1.4424230787692604E-2</v>
      </c>
      <c r="N28" s="354">
        <f>M28</f>
        <v>1.4424230787692604E-2</v>
      </c>
      <c r="O28" s="353">
        <f>N28</f>
        <v>1.4424230787692604E-2</v>
      </c>
      <c r="P28" s="353">
        <f>O28</f>
        <v>1.4424230787692604E-2</v>
      </c>
      <c r="Q28" s="353">
        <f t="shared" ref="Q28:W28" si="25">P28</f>
        <v>1.4424230787692604E-2</v>
      </c>
      <c r="R28" s="353">
        <f t="shared" si="25"/>
        <v>1.4424230787692604E-2</v>
      </c>
      <c r="S28" s="353">
        <f t="shared" si="25"/>
        <v>1.4424230787692604E-2</v>
      </c>
      <c r="T28" s="353">
        <f t="shared" si="25"/>
        <v>1.4424230787692604E-2</v>
      </c>
      <c r="U28" s="353">
        <f t="shared" si="25"/>
        <v>1.4424230787692604E-2</v>
      </c>
      <c r="V28" s="353">
        <f t="shared" si="25"/>
        <v>1.4424230787692604E-2</v>
      </c>
      <c r="W28" s="353">
        <f t="shared" si="25"/>
        <v>1.4424230787692604E-2</v>
      </c>
      <c r="X28" s="353">
        <f>W28</f>
        <v>1.4424230787692604E-2</v>
      </c>
      <c r="Y28" s="353">
        <f>X28</f>
        <v>1.4424230787692604E-2</v>
      </c>
      <c r="Z28" s="353">
        <f>Y28</f>
        <v>1.4424230787692604E-2</v>
      </c>
      <c r="AA28" s="355">
        <f>Z28</f>
        <v>1.4424230787692604E-2</v>
      </c>
    </row>
    <row r="29" spans="2:27" x14ac:dyDescent="0.25">
      <c r="B29" s="480"/>
      <c r="C29" s="67"/>
      <c r="D29" s="316" t="s">
        <v>275</v>
      </c>
      <c r="F29" s="356">
        <f t="shared" ref="F29:M29" si="26">F32/F83</f>
        <v>4.4457920322622507E-3</v>
      </c>
      <c r="G29" s="356">
        <f t="shared" si="26"/>
        <v>1.0285937543045911E-2</v>
      </c>
      <c r="H29" s="356">
        <f t="shared" si="26"/>
        <v>8.2416443594165913E-3</v>
      </c>
      <c r="I29" s="356">
        <f t="shared" si="26"/>
        <v>1.3582495596261235E-2</v>
      </c>
      <c r="J29" s="356">
        <f t="shared" si="26"/>
        <v>2.3496433918671341E-2</v>
      </c>
      <c r="K29" s="356">
        <f t="shared" si="26"/>
        <v>5.514400384862523E-2</v>
      </c>
      <c r="L29" s="356">
        <f t="shared" si="26"/>
        <v>5.7067609644847E-2</v>
      </c>
      <c r="M29" s="356">
        <f t="shared" si="26"/>
        <v>5.9583376829894362E-2</v>
      </c>
      <c r="N29" s="357">
        <f>N82*($M$29/($M$29+$M$66))</f>
        <v>7.4703797285081128E-2</v>
      </c>
      <c r="O29" s="357">
        <f>O82*($M$29/($M$29+$M$66))</f>
        <v>9.3661313368371385E-2</v>
      </c>
      <c r="P29" s="357">
        <f t="shared" ref="P29:W29" si="27">P82*($M$29/($M$29+$M$66))</f>
        <v>0.11742966141883368</v>
      </c>
      <c r="Q29" s="357">
        <f t="shared" si="27"/>
        <v>0.14722968197879857</v>
      </c>
      <c r="R29" s="357">
        <f t="shared" si="27"/>
        <v>0.16931413427561837</v>
      </c>
      <c r="S29" s="357">
        <f t="shared" si="27"/>
        <v>0.25029045936395761</v>
      </c>
      <c r="T29" s="357">
        <f t="shared" si="27"/>
        <v>0.31654381625441691</v>
      </c>
      <c r="U29" s="357">
        <f>U82*($M$29/($M$29+$M$66))</f>
        <v>0.44168904593639574</v>
      </c>
      <c r="V29" s="357">
        <f t="shared" si="27"/>
        <v>0.5005809187279151</v>
      </c>
      <c r="W29" s="357">
        <f t="shared" si="27"/>
        <v>0.55947279151943452</v>
      </c>
      <c r="X29" s="357">
        <f>X82*($M$29/($M$29+$M$66))</f>
        <v>0.61836466431095394</v>
      </c>
      <c r="Y29" s="357">
        <f>Y82*($M$29/($M$29+$M$66))</f>
        <v>0.67725653710247335</v>
      </c>
      <c r="Z29" s="357">
        <f>Z82*($M$29/($M$29+$M$66))</f>
        <v>0.73614840989399288</v>
      </c>
      <c r="AA29" s="358">
        <f>AA82*($M$29/($M$29+$M$66))</f>
        <v>0.73614840989399288</v>
      </c>
    </row>
    <row r="30" spans="2:27" x14ac:dyDescent="0.25">
      <c r="B30" s="480"/>
      <c r="C30" s="67"/>
      <c r="F30" s="356"/>
      <c r="G30" s="356"/>
      <c r="H30" s="356"/>
      <c r="I30" s="356"/>
      <c r="J30" s="356"/>
      <c r="K30" s="356"/>
      <c r="L30" s="356"/>
      <c r="M30" s="322"/>
      <c r="N30" s="322"/>
      <c r="O30" s="322"/>
      <c r="AA30" s="86"/>
    </row>
    <row r="31" spans="2:27" x14ac:dyDescent="0.25">
      <c r="B31" s="480"/>
      <c r="C31" s="67"/>
      <c r="D31" s="333" t="s">
        <v>168</v>
      </c>
      <c r="E31" s="47" t="s">
        <v>276</v>
      </c>
      <c r="F31" s="92">
        <f t="shared" ref="F31:N31" si="28">F9</f>
        <v>30</v>
      </c>
      <c r="G31" s="92">
        <f t="shared" si="28"/>
        <v>76</v>
      </c>
      <c r="H31" s="92">
        <f t="shared" si="28"/>
        <v>63</v>
      </c>
      <c r="I31" s="92">
        <f t="shared" si="28"/>
        <v>61</v>
      </c>
      <c r="J31" s="92">
        <f t="shared" si="28"/>
        <v>147</v>
      </c>
      <c r="K31" s="92">
        <f t="shared" si="28"/>
        <v>281</v>
      </c>
      <c r="L31" s="92">
        <f t="shared" si="28"/>
        <v>412</v>
      </c>
      <c r="M31" s="92">
        <f t="shared" si="28"/>
        <v>601</v>
      </c>
      <c r="N31" s="92">
        <f t="shared" si="28"/>
        <v>768.58553925940055</v>
      </c>
      <c r="O31" s="92">
        <f t="shared" ref="O31:W31" si="29">O9</f>
        <v>982.90138295950703</v>
      </c>
      <c r="P31" s="92">
        <f t="shared" si="29"/>
        <v>1256.9780190694564</v>
      </c>
      <c r="Q31" s="92">
        <f t="shared" si="29"/>
        <v>1607.4794153472728</v>
      </c>
      <c r="R31" s="92">
        <f t="shared" si="29"/>
        <v>1885.5733542023513</v>
      </c>
      <c r="S31" s="92">
        <f t="shared" si="29"/>
        <v>2843.1166923364153</v>
      </c>
      <c r="T31" s="92">
        <f t="shared" si="29"/>
        <v>3667.6205331139754</v>
      </c>
      <c r="U31" s="92">
        <f t="shared" si="29"/>
        <v>5219.9622471296589</v>
      </c>
      <c r="V31" s="92">
        <f t="shared" si="29"/>
        <v>6034.2763576818843</v>
      </c>
      <c r="W31" s="92">
        <f t="shared" si="29"/>
        <v>6879.0750477573474</v>
      </c>
      <c r="X31" s="92">
        <f>X9</f>
        <v>7755.251974892758</v>
      </c>
      <c r="Y31" s="92">
        <f>Y9</f>
        <v>8663.7243490944802</v>
      </c>
      <c r="Z31" s="92">
        <f>Z9</f>
        <v>9605.4335174743155</v>
      </c>
      <c r="AA31" s="93">
        <f>AA9</f>
        <v>9797.5421878238012</v>
      </c>
    </row>
    <row r="32" spans="2:27" x14ac:dyDescent="0.25">
      <c r="B32" s="480"/>
      <c r="C32" s="67"/>
      <c r="D32" s="316" t="s">
        <v>209</v>
      </c>
      <c r="E32" s="47" t="s">
        <v>276</v>
      </c>
      <c r="F32" s="334">
        <f>SUMIFS('EV Data'!$AK$6:$AK$33,'EV Data'!$AE$6:$AE$33,'EV Forecast'!F7)</f>
        <v>3563</v>
      </c>
      <c r="G32" s="334">
        <f>SUMIFS('EV Data'!$AK$6:$AK$33,'EV Data'!$AE$6:$AE$33,'EV Forecast'!G7)</f>
        <v>8214</v>
      </c>
      <c r="H32" s="334">
        <f>SUMIFS('EV Data'!$AK$6:$AK$33,'EV Data'!$AE$6:$AE$33,'EV Forecast'!H7)</f>
        <v>6561</v>
      </c>
      <c r="I32" s="334">
        <f>SUMIFS('EV Data'!$AK$6:$AK$33,'EV Data'!$AE$6:$AE$33,'EV Forecast'!I7)</f>
        <v>8158</v>
      </c>
      <c r="J32" s="334">
        <f>SUMIFS('EV Data'!$AK$6:$AK$33,'EV Data'!$AE$6:$AE$33,'EV Forecast'!J7)</f>
        <v>14736</v>
      </c>
      <c r="K32" s="334">
        <f>SUMIFS('EV Data'!$AK$6:$AK$33,'EV Data'!$AE$6:$AE$33,'EV Forecast'!K7)</f>
        <v>32783</v>
      </c>
      <c r="L32" s="334">
        <f>SUMIFS('EV Data'!$AK$6:$AK$37,'EV Data'!$AE$6:$AE$37,'EV Forecast'!L7)</f>
        <v>38635</v>
      </c>
      <c r="M32" s="334">
        <f>SUMIFS('EV Data'!$AK$6:$AK$37,'EV Data'!$AE$6:$AE$37,'EV Forecast'!M7)</f>
        <v>41666</v>
      </c>
      <c r="N32" s="92">
        <f>N29*N83</f>
        <v>53284.334573680841</v>
      </c>
      <c r="O32" s="92">
        <f t="shared" ref="O32:W32" si="30">O29*O83</f>
        <v>68142.377741082892</v>
      </c>
      <c r="P32" s="92">
        <f t="shared" si="30"/>
        <v>87143.504396918404</v>
      </c>
      <c r="Q32" s="92">
        <f t="shared" si="30"/>
        <v>111442.99054885104</v>
      </c>
      <c r="R32" s="92">
        <f t="shared" si="30"/>
        <v>130722.62791380228</v>
      </c>
      <c r="S32" s="92">
        <f t="shared" si="30"/>
        <v>197106.98852394189</v>
      </c>
      <c r="T32" s="92">
        <f t="shared" si="30"/>
        <v>254268.015195885</v>
      </c>
      <c r="U32" s="92">
        <f t="shared" si="30"/>
        <v>361888.43092995731</v>
      </c>
      <c r="V32" s="92">
        <f t="shared" si="30"/>
        <v>418343.02615503059</v>
      </c>
      <c r="W32" s="92">
        <f t="shared" si="30"/>
        <v>476911.04981673486</v>
      </c>
      <c r="X32" s="92">
        <f>X29*X83</f>
        <v>537654.45721444534</v>
      </c>
      <c r="Y32" s="92">
        <f>Y29*Y83</f>
        <v>600636.83648813749</v>
      </c>
      <c r="Z32" s="92">
        <f>Z29*Z83</f>
        <v>665923.44914989162</v>
      </c>
      <c r="AA32" s="93">
        <f>AA29*AA83</f>
        <v>679241.91813288943</v>
      </c>
    </row>
    <row r="33" spans="2:27" x14ac:dyDescent="0.25">
      <c r="B33" s="480"/>
      <c r="C33" s="67"/>
      <c r="D33" s="316" t="s">
        <v>209</v>
      </c>
      <c r="E33" s="47" t="s">
        <v>277</v>
      </c>
      <c r="F33" s="334">
        <f>SUMIFS('EV Data'!$AL$6:$AL$33,'EV Data'!$AE$6:$AE$33,'EV Forecast'!F7)</f>
        <v>2532</v>
      </c>
      <c r="G33" s="334">
        <f>SUMIFS('EV Data'!$AL$6:$AL$33,'EV Data'!$AE$6:$AE$33,'EV Forecast'!G7)</f>
        <v>7311</v>
      </c>
      <c r="H33" s="334">
        <f>SUMIFS('EV Data'!$AL$6:$AL$33,'EV Data'!$AE$6:$AE$33,'EV Forecast'!H7)</f>
        <v>5260</v>
      </c>
      <c r="I33" s="334">
        <f>SUMIFS('EV Data'!$AL$6:$AL$33,'EV Data'!$AE$6:$AE$33,'EV Forecast'!I7)</f>
        <v>4693</v>
      </c>
      <c r="J33" s="334">
        <f>SUMIFS('EV Data'!$AL$6:$AL$33,'EV Data'!$AE$6:$AE$33,'EV Forecast'!J7)</f>
        <v>6998</v>
      </c>
      <c r="K33" s="334">
        <f>SUMIFS('EV Data'!$AL$6:$AL$33,'EV Data'!$AE$6:$AE$33,'EV Forecast'!K7)</f>
        <v>12362</v>
      </c>
      <c r="L33" s="334">
        <f>SUMIFS('EV Data'!$AL$6:$AL$37,'EV Data'!$AE$6:$AE$37,'EV Forecast'!L7)</f>
        <v>10174</v>
      </c>
      <c r="M33" s="334">
        <f>SUMIFS('EV Data'!$AL$6:$AL$37,'EV Data'!$AE$6:$AE$37,'EV Forecast'!M7)</f>
        <v>8434</v>
      </c>
      <c r="N33" s="359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44"/>
    </row>
    <row r="34" spans="2:27" x14ac:dyDescent="0.25">
      <c r="B34" s="480"/>
      <c r="C34" s="67"/>
      <c r="D34" s="316" t="s">
        <v>209</v>
      </c>
      <c r="E34" s="47" t="s">
        <v>278</v>
      </c>
      <c r="F34" s="334">
        <f>SUMIFS('EV Data'!$AN$6:$AN$33,'EV Data'!$AE$6:$AE$33,'EV Forecast'!F7)</f>
        <v>1031</v>
      </c>
      <c r="G34" s="334">
        <f>SUMIFS('EV Data'!$AN$6:$AN$33,'EV Data'!$AE$6:$AE$33,'EV Forecast'!G7)</f>
        <v>903</v>
      </c>
      <c r="H34" s="334">
        <f>SUMIFS('EV Data'!$AN$6:$AN$33,'EV Data'!$AE$6:$AE$33,'EV Forecast'!H7)</f>
        <v>1301</v>
      </c>
      <c r="I34" s="334">
        <f>SUMIFS('EV Data'!$AN$6:$AN$33,'EV Data'!$AE$6:$AE$33,'EV Forecast'!I7)</f>
        <v>3465</v>
      </c>
      <c r="J34" s="334">
        <f>SUMIFS('EV Data'!$AN$6:$AN$33,'EV Data'!$AE$6:$AE$33,'EV Forecast'!J7)</f>
        <v>7738</v>
      </c>
      <c r="K34" s="334">
        <f>SUMIFS('EV Data'!$AN$6:$AN$33,'EV Data'!$AE$6:$AE$33,'EV Forecast'!K7)</f>
        <v>19373</v>
      </c>
      <c r="L34" s="334">
        <f>SUMIFS('EV Data'!$AN$6:$AN$37,'EV Data'!$AE$6:$AE$37,'EV Forecast'!L7)</f>
        <v>26145</v>
      </c>
      <c r="M34" s="334">
        <f>SUMIFS('EV Data'!$AN$6:$AN$37,'EV Data'!$AE$6:$AE$37,'EV Forecast'!M7)</f>
        <v>28874</v>
      </c>
      <c r="N34" s="359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44"/>
    </row>
    <row r="35" spans="2:27" x14ac:dyDescent="0.25">
      <c r="B35" s="480"/>
      <c r="C35" s="67"/>
      <c r="D35" s="316" t="s">
        <v>209</v>
      </c>
      <c r="E35" s="47" t="s">
        <v>279</v>
      </c>
      <c r="F35" s="334">
        <f>SUMIFS('EV Data'!$AO$6:$AO$33,'EV Data'!$AE$6:$AE$33,'EV Forecast'!F7)</f>
        <v>0</v>
      </c>
      <c r="G35" s="334">
        <f>SUMIFS('EV Data'!$AO$6:$AO$33,'EV Data'!$AE$6:$AE$33,'EV Forecast'!G7)</f>
        <v>0</v>
      </c>
      <c r="H35" s="334">
        <f>SUMIFS('EV Data'!$AO$6:$AO$33,'EV Data'!$AE$6:$AE$33,'EV Forecast'!H7)</f>
        <v>0</v>
      </c>
      <c r="I35" s="334">
        <f>SUMIFS('EV Data'!$AO$6:$AO$33,'EV Data'!$AE$6:$AE$33,'EV Forecast'!I7)</f>
        <v>0</v>
      </c>
      <c r="J35" s="334">
        <f>SUMIFS('EV Data'!$AO$6:$AO$33,'EV Data'!$AE$6:$AE$33,'EV Forecast'!J7)</f>
        <v>0</v>
      </c>
      <c r="K35" s="334">
        <f>SUMIFS('EV Data'!$AO$6:$AO$33,'EV Data'!$AE$6:$AE$33,'EV Forecast'!K7)</f>
        <v>176</v>
      </c>
      <c r="L35" s="334">
        <f>SUMIFS('EV Data'!$AO$6:$AO$37,'EV Data'!$AE$6:$AE$37,'EV Forecast'!L7)</f>
        <v>507</v>
      </c>
      <c r="M35" s="334">
        <f>SUMIFS('EV Data'!$AO$6:$AO$37,'EV Data'!$AE$6:$AE$37,'EV Forecast'!M7)</f>
        <v>278</v>
      </c>
      <c r="N35" s="359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44"/>
    </row>
    <row r="36" spans="2:27" x14ac:dyDescent="0.25">
      <c r="B36" s="480"/>
      <c r="C36" s="67"/>
      <c r="D36" s="316" t="s">
        <v>209</v>
      </c>
      <c r="E36" s="47" t="s">
        <v>280</v>
      </c>
      <c r="F36" s="334">
        <f>SUMIFS('EV Data'!$AM$6:$AM$33,'EV Data'!$AE$6:$AE$33,'EV Forecast'!F7)</f>
        <v>0</v>
      </c>
      <c r="G36" s="334">
        <f>SUMIFS('EV Data'!$AM$6:$AM$33,'EV Data'!$AE$6:$AE$33,'EV Forecast'!G7)</f>
        <v>0</v>
      </c>
      <c r="H36" s="334">
        <f>SUMIFS('EV Data'!$AM$6:$AM$33,'EV Data'!$AE$6:$AE$33,'EV Forecast'!H7)</f>
        <v>0</v>
      </c>
      <c r="I36" s="334">
        <f>SUMIFS('EV Data'!$AM$6:$AM$33,'EV Data'!$AE$6:$AE$33,'EV Forecast'!I7)</f>
        <v>0</v>
      </c>
      <c r="J36" s="334">
        <f>SUMIFS('EV Data'!$AM$6:$AM$33,'EV Data'!$AE$6:$AE$33,'EV Forecast'!J7)</f>
        <v>0</v>
      </c>
      <c r="K36" s="334">
        <f>SUMIFS('EV Data'!$AM$6:$AM$33,'EV Data'!$AE$6:$AE$33,'EV Forecast'!K7)</f>
        <v>872</v>
      </c>
      <c r="L36" s="334">
        <f>SUMIFS('EV Data'!$AM$6:$AM$37,'EV Data'!$AE$6:$AE$37,'EV Forecast'!L7)</f>
        <v>1809</v>
      </c>
      <c r="M36" s="334">
        <f>SUMIFS('EV Data'!$AM$6:$AM$37,'EV Data'!$AE$6:$AE$37,'EV Forecast'!M7)</f>
        <v>4080</v>
      </c>
      <c r="N36" s="359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44"/>
    </row>
    <row r="37" spans="2:27" x14ac:dyDescent="0.25">
      <c r="B37" s="480"/>
      <c r="C37" s="67"/>
      <c r="D37" s="316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44"/>
    </row>
    <row r="38" spans="2:27" x14ac:dyDescent="0.25">
      <c r="B38" s="480"/>
      <c r="C38" s="67"/>
      <c r="D38" s="316" t="s">
        <v>209</v>
      </c>
      <c r="E38" s="47" t="s">
        <v>281</v>
      </c>
      <c r="F38" s="356">
        <f t="shared" ref="F38:M41" si="31">F33/F$32</f>
        <v>0.71063710356441201</v>
      </c>
      <c r="G38" s="356">
        <f t="shared" si="31"/>
        <v>0.89006574141709272</v>
      </c>
      <c r="H38" s="356">
        <f t="shared" si="31"/>
        <v>0.80170705685108978</v>
      </c>
      <c r="I38" s="356">
        <f t="shared" si="31"/>
        <v>0.57526354498651633</v>
      </c>
      <c r="J38" s="356">
        <f t="shared" si="31"/>
        <v>0.47489142236699239</v>
      </c>
      <c r="K38" s="356">
        <f t="shared" si="31"/>
        <v>0.37708568465363146</v>
      </c>
      <c r="L38" s="356">
        <f t="shared" si="31"/>
        <v>0.2633363530477546</v>
      </c>
      <c r="M38" s="356">
        <f>M33/M$32</f>
        <v>0.20241923870781933</v>
      </c>
      <c r="N38" s="322">
        <f>AVERAGE(L38:M38)</f>
        <v>0.23287779587778695</v>
      </c>
      <c r="O38" s="322">
        <f t="shared" ref="O38:W41" si="32">N38</f>
        <v>0.23287779587778695</v>
      </c>
      <c r="P38" s="322">
        <f t="shared" si="32"/>
        <v>0.23287779587778695</v>
      </c>
      <c r="Q38" s="322">
        <f t="shared" si="32"/>
        <v>0.23287779587778695</v>
      </c>
      <c r="R38" s="322">
        <f t="shared" si="32"/>
        <v>0.23287779587778695</v>
      </c>
      <c r="S38" s="322">
        <f t="shared" si="32"/>
        <v>0.23287779587778695</v>
      </c>
      <c r="T38" s="322">
        <f t="shared" si="32"/>
        <v>0.23287779587778695</v>
      </c>
      <c r="U38" s="322">
        <f t="shared" si="32"/>
        <v>0.23287779587778695</v>
      </c>
      <c r="V38" s="322">
        <f t="shared" si="32"/>
        <v>0.23287779587778695</v>
      </c>
      <c r="W38" s="322">
        <f t="shared" si="32"/>
        <v>0.23287779587778695</v>
      </c>
      <c r="X38" s="322">
        <f t="shared" ref="X38:AA41" si="33">W38</f>
        <v>0.23287779587778695</v>
      </c>
      <c r="Y38" s="322">
        <f t="shared" si="33"/>
        <v>0.23287779587778695</v>
      </c>
      <c r="Z38" s="322">
        <f t="shared" si="33"/>
        <v>0.23287779587778695</v>
      </c>
      <c r="AA38" s="360">
        <f t="shared" si="33"/>
        <v>0.23287779587778695</v>
      </c>
    </row>
    <row r="39" spans="2:27" x14ac:dyDescent="0.25">
      <c r="B39" s="480"/>
      <c r="C39" s="67"/>
      <c r="D39" s="56" t="s">
        <v>209</v>
      </c>
      <c r="E39" s="47" t="s">
        <v>282</v>
      </c>
      <c r="F39" s="356">
        <f t="shared" si="31"/>
        <v>0.28936289643558799</v>
      </c>
      <c r="G39" s="356">
        <f t="shared" si="31"/>
        <v>0.10993425858290723</v>
      </c>
      <c r="H39" s="356">
        <f t="shared" si="31"/>
        <v>0.19829294314891022</v>
      </c>
      <c r="I39" s="356">
        <f t="shared" si="31"/>
        <v>0.42473645501348367</v>
      </c>
      <c r="J39" s="356">
        <f t="shared" si="31"/>
        <v>0.52510857763300756</v>
      </c>
      <c r="K39" s="356">
        <f t="shared" si="31"/>
        <v>0.59094652716346885</v>
      </c>
      <c r="L39" s="356">
        <f t="shared" si="31"/>
        <v>0.67671800181182862</v>
      </c>
      <c r="M39" s="356">
        <f t="shared" si="31"/>
        <v>0.69298708779340468</v>
      </c>
      <c r="N39" s="322">
        <f>AVERAGE(L39:M39)</f>
        <v>0.68485254480261659</v>
      </c>
      <c r="O39" s="322">
        <f t="shared" si="32"/>
        <v>0.68485254480261659</v>
      </c>
      <c r="P39" s="322">
        <f t="shared" si="32"/>
        <v>0.68485254480261659</v>
      </c>
      <c r="Q39" s="322">
        <f t="shared" si="32"/>
        <v>0.68485254480261659</v>
      </c>
      <c r="R39" s="322">
        <f t="shared" si="32"/>
        <v>0.68485254480261659</v>
      </c>
      <c r="S39" s="322">
        <f t="shared" si="32"/>
        <v>0.68485254480261659</v>
      </c>
      <c r="T39" s="322">
        <f t="shared" si="32"/>
        <v>0.68485254480261659</v>
      </c>
      <c r="U39" s="322">
        <f t="shared" si="32"/>
        <v>0.68485254480261659</v>
      </c>
      <c r="V39" s="322">
        <f t="shared" si="32"/>
        <v>0.68485254480261659</v>
      </c>
      <c r="W39" s="322">
        <f t="shared" si="32"/>
        <v>0.68485254480261659</v>
      </c>
      <c r="X39" s="322">
        <f t="shared" si="33"/>
        <v>0.68485254480261659</v>
      </c>
      <c r="Y39" s="322">
        <f t="shared" si="33"/>
        <v>0.68485254480261659</v>
      </c>
      <c r="Z39" s="322">
        <f t="shared" si="33"/>
        <v>0.68485254480261659</v>
      </c>
      <c r="AA39" s="360">
        <f t="shared" si="33"/>
        <v>0.68485254480261659</v>
      </c>
    </row>
    <row r="40" spans="2:27" x14ac:dyDescent="0.25">
      <c r="B40" s="480"/>
      <c r="C40" s="67"/>
      <c r="D40" s="316" t="s">
        <v>209</v>
      </c>
      <c r="E40" s="47" t="s">
        <v>283</v>
      </c>
      <c r="F40" s="356">
        <f t="shared" si="31"/>
        <v>0</v>
      </c>
      <c r="G40" s="356">
        <f t="shared" si="31"/>
        <v>0</v>
      </c>
      <c r="H40" s="356">
        <f t="shared" si="31"/>
        <v>0</v>
      </c>
      <c r="I40" s="356">
        <f t="shared" si="31"/>
        <v>0</v>
      </c>
      <c r="J40" s="356">
        <f t="shared" si="31"/>
        <v>0</v>
      </c>
      <c r="K40" s="356">
        <f t="shared" si="31"/>
        <v>5.3686361833877316E-3</v>
      </c>
      <c r="L40" s="356">
        <f t="shared" si="31"/>
        <v>1.3122816099391744E-2</v>
      </c>
      <c r="M40" s="356">
        <f t="shared" si="31"/>
        <v>6.6721067537080592E-3</v>
      </c>
      <c r="N40" s="322">
        <f>AVERAGE(L40:M40)</f>
        <v>9.8974614265499011E-3</v>
      </c>
      <c r="O40" s="322">
        <f t="shared" si="32"/>
        <v>9.8974614265499011E-3</v>
      </c>
      <c r="P40" s="322">
        <f t="shared" si="32"/>
        <v>9.8974614265499011E-3</v>
      </c>
      <c r="Q40" s="322">
        <f t="shared" si="32"/>
        <v>9.8974614265499011E-3</v>
      </c>
      <c r="R40" s="322">
        <f t="shared" si="32"/>
        <v>9.8974614265499011E-3</v>
      </c>
      <c r="S40" s="322">
        <f t="shared" si="32"/>
        <v>9.8974614265499011E-3</v>
      </c>
      <c r="T40" s="322">
        <f t="shared" si="32"/>
        <v>9.8974614265499011E-3</v>
      </c>
      <c r="U40" s="322">
        <f t="shared" si="32"/>
        <v>9.8974614265499011E-3</v>
      </c>
      <c r="V40" s="322">
        <f t="shared" si="32"/>
        <v>9.8974614265499011E-3</v>
      </c>
      <c r="W40" s="322">
        <f t="shared" si="32"/>
        <v>9.8974614265499011E-3</v>
      </c>
      <c r="X40" s="322">
        <f t="shared" si="33"/>
        <v>9.8974614265499011E-3</v>
      </c>
      <c r="Y40" s="322">
        <f t="shared" si="33"/>
        <v>9.8974614265499011E-3</v>
      </c>
      <c r="Z40" s="322">
        <f t="shared" si="33"/>
        <v>9.8974614265499011E-3</v>
      </c>
      <c r="AA40" s="360">
        <f t="shared" si="33"/>
        <v>9.8974614265499011E-3</v>
      </c>
    </row>
    <row r="41" spans="2:27" x14ac:dyDescent="0.25">
      <c r="B41" s="480"/>
      <c r="C41" s="67"/>
      <c r="D41" s="316" t="s">
        <v>209</v>
      </c>
      <c r="E41" s="47" t="s">
        <v>284</v>
      </c>
      <c r="F41" s="356">
        <f t="shared" si="31"/>
        <v>0</v>
      </c>
      <c r="G41" s="356">
        <f t="shared" si="31"/>
        <v>0</v>
      </c>
      <c r="H41" s="356">
        <f t="shared" si="31"/>
        <v>0</v>
      </c>
      <c r="I41" s="356">
        <f t="shared" si="31"/>
        <v>0</v>
      </c>
      <c r="J41" s="356">
        <f t="shared" si="31"/>
        <v>0</v>
      </c>
      <c r="K41" s="356">
        <f t="shared" si="31"/>
        <v>2.6599151999511943E-2</v>
      </c>
      <c r="L41" s="356">
        <f t="shared" si="31"/>
        <v>4.6822829041024978E-2</v>
      </c>
      <c r="M41" s="356">
        <f t="shared" si="31"/>
        <v>9.7921566745067926E-2</v>
      </c>
      <c r="N41" s="322">
        <f>AVERAGE(L41:M41)</f>
        <v>7.2372197893046455E-2</v>
      </c>
      <c r="O41" s="322">
        <f t="shared" si="32"/>
        <v>7.2372197893046455E-2</v>
      </c>
      <c r="P41" s="322">
        <f t="shared" si="32"/>
        <v>7.2372197893046455E-2</v>
      </c>
      <c r="Q41" s="322">
        <f t="shared" si="32"/>
        <v>7.2372197893046455E-2</v>
      </c>
      <c r="R41" s="322">
        <f t="shared" si="32"/>
        <v>7.2372197893046455E-2</v>
      </c>
      <c r="S41" s="322">
        <f t="shared" si="32"/>
        <v>7.2372197893046455E-2</v>
      </c>
      <c r="T41" s="322">
        <f t="shared" si="32"/>
        <v>7.2372197893046455E-2</v>
      </c>
      <c r="U41" s="322">
        <f t="shared" si="32"/>
        <v>7.2372197893046455E-2</v>
      </c>
      <c r="V41" s="322">
        <f t="shared" si="32"/>
        <v>7.2372197893046455E-2</v>
      </c>
      <c r="W41" s="322">
        <f t="shared" si="32"/>
        <v>7.2372197893046455E-2</v>
      </c>
      <c r="X41" s="322">
        <f t="shared" si="33"/>
        <v>7.2372197893046455E-2</v>
      </c>
      <c r="Y41" s="322">
        <f t="shared" si="33"/>
        <v>7.2372197893046455E-2</v>
      </c>
      <c r="Z41" s="322">
        <f t="shared" si="33"/>
        <v>7.2372197893046455E-2</v>
      </c>
      <c r="AA41" s="360">
        <f t="shared" si="33"/>
        <v>7.2372197893046455E-2</v>
      </c>
    </row>
    <row r="42" spans="2:27" x14ac:dyDescent="0.25">
      <c r="B42" s="480"/>
      <c r="C42" s="67"/>
      <c r="F42" s="356"/>
      <c r="G42" s="356"/>
      <c r="H42" s="356"/>
      <c r="I42" s="356"/>
      <c r="J42" s="356"/>
      <c r="K42" s="356"/>
      <c r="L42" s="356"/>
      <c r="AA42" s="86"/>
    </row>
    <row r="43" spans="2:27" x14ac:dyDescent="0.25">
      <c r="B43" s="481"/>
      <c r="C43" s="96"/>
      <c r="D43" s="110"/>
      <c r="E43" s="110"/>
      <c r="F43" s="361"/>
      <c r="G43" s="361"/>
      <c r="H43" s="361"/>
      <c r="I43" s="361"/>
      <c r="J43" s="361"/>
      <c r="K43" s="361"/>
      <c r="L43" s="361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1"/>
    </row>
    <row r="44" spans="2:27" x14ac:dyDescent="0.25">
      <c r="B44" s="479" t="s">
        <v>285</v>
      </c>
      <c r="C44" s="63"/>
      <c r="D44" s="64"/>
      <c r="E44" s="331"/>
      <c r="F44" s="332">
        <v>2017</v>
      </c>
      <c r="G44" s="332">
        <v>2018</v>
      </c>
      <c r="H44" s="332">
        <v>2019</v>
      </c>
      <c r="I44" s="332">
        <v>2020</v>
      </c>
      <c r="J44" s="332">
        <v>2021</v>
      </c>
      <c r="K44" s="332">
        <v>2022</v>
      </c>
      <c r="L44" s="332">
        <v>2023</v>
      </c>
      <c r="M44" s="332">
        <v>2024</v>
      </c>
      <c r="N44" s="332">
        <v>2025</v>
      </c>
      <c r="O44" s="332">
        <v>2026</v>
      </c>
      <c r="P44" s="332">
        <v>2027</v>
      </c>
      <c r="Q44" s="332">
        <v>2028</v>
      </c>
      <c r="R44" s="332">
        <v>2029</v>
      </c>
      <c r="S44" s="332">
        <v>2030</v>
      </c>
      <c r="T44" s="332">
        <v>2031</v>
      </c>
      <c r="U44" s="332">
        <v>2032</v>
      </c>
      <c r="V44" s="332">
        <v>2033</v>
      </c>
      <c r="W44" s="332">
        <v>2034</v>
      </c>
      <c r="X44" s="332">
        <v>2035</v>
      </c>
      <c r="Y44" s="332">
        <v>2036</v>
      </c>
      <c r="Z44" s="332">
        <v>2037</v>
      </c>
      <c r="AA44" s="332">
        <v>2038</v>
      </c>
    </row>
    <row r="45" spans="2:27" x14ac:dyDescent="0.25">
      <c r="B45" s="480"/>
      <c r="C45" s="67"/>
      <c r="AA45" s="86"/>
    </row>
    <row r="46" spans="2:27" x14ac:dyDescent="0.25">
      <c r="B46" s="480"/>
      <c r="C46" s="485" t="s">
        <v>266</v>
      </c>
      <c r="D46" s="333" t="s">
        <v>168</v>
      </c>
      <c r="E46" s="47" t="s">
        <v>267</v>
      </c>
      <c r="F46" s="334">
        <f>SUMIFS('EV Data'!$T:$T,'EV Data'!$M:$M,'EV Forecast'!F44)/3</f>
        <v>36</v>
      </c>
      <c r="G46" s="334">
        <f>SUMIFS('EV Data'!$T:$T,'EV Data'!$M:$M,'EV Forecast'!G44)/3</f>
        <v>75</v>
      </c>
      <c r="H46" s="334">
        <f>SUMIFS('EV Data'!$T:$T,'EV Data'!$M:$M,'EV Forecast'!H44)/3</f>
        <v>27</v>
      </c>
      <c r="I46" s="334">
        <f>SUMIFS('EV Data'!$T:$T,'EV Data'!$M:$M,'EV Forecast'!I44)/3</f>
        <v>17</v>
      </c>
      <c r="J46" s="334">
        <f>SUMIFS('EV Data'!$T:$T,'EV Data'!$M:$M,'EV Forecast'!J44)/3</f>
        <v>32</v>
      </c>
      <c r="K46" s="334">
        <f>SUMIFS('EV Data'!$T:$T,'EV Data'!$M:$M,'EV Forecast'!K44)/3</f>
        <v>47</v>
      </c>
      <c r="L46" s="334">
        <f>SUMIFS('EV Data'!$T:$T,'EV Data'!$M:$M,'EV Forecast'!L44)/3</f>
        <v>110</v>
      </c>
      <c r="M46" s="334">
        <f>SUMIFS('EV Data'!$T:$T,'EV Data'!$M:$M,'EV Forecast'!M44)/3</f>
        <v>125</v>
      </c>
      <c r="N46" s="335">
        <f t="shared" ref="N46:W46" si="34">N49+N54+N59</f>
        <v>165.08814264870483</v>
      </c>
      <c r="O46" s="335">
        <f t="shared" si="34"/>
        <v>211.12206180197612</v>
      </c>
      <c r="P46" s="335">
        <f t="shared" si="34"/>
        <v>269.9922857231752</v>
      </c>
      <c r="Q46" s="335">
        <f t="shared" si="34"/>
        <v>345.27814728523254</v>
      </c>
      <c r="R46" s="335">
        <f t="shared" si="34"/>
        <v>405.01126676557789</v>
      </c>
      <c r="S46" s="335">
        <f t="shared" si="34"/>
        <v>610.68655354044506</v>
      </c>
      <c r="T46" s="335">
        <f t="shared" si="34"/>
        <v>787.78565406717428</v>
      </c>
      <c r="U46" s="335">
        <f t="shared" si="34"/>
        <v>1121.2205123002575</v>
      </c>
      <c r="V46" s="335">
        <f t="shared" si="34"/>
        <v>1296.1309122190974</v>
      </c>
      <c r="W46" s="335">
        <f t="shared" si="34"/>
        <v>1477.5892399297709</v>
      </c>
      <c r="X46" s="335">
        <f>X49+X54+X59</f>
        <v>1665.7874483839839</v>
      </c>
      <c r="Y46" s="335">
        <f>Y49+Y54+Y59</f>
        <v>1860.9225494803934</v>
      </c>
      <c r="Z46" s="335">
        <f>Z49+Z54+Z59</f>
        <v>2063.1967396413061</v>
      </c>
      <c r="AA46" s="336">
        <f>AA49+AA54+AA59</f>
        <v>2104.4606744341322</v>
      </c>
    </row>
    <row r="47" spans="2:27" x14ac:dyDescent="0.25">
      <c r="B47" s="480"/>
      <c r="C47" s="485"/>
      <c r="D47" s="333" t="s">
        <v>168</v>
      </c>
      <c r="E47" s="47" t="s">
        <v>206</v>
      </c>
      <c r="F47" s="334">
        <f>F46</f>
        <v>36</v>
      </c>
      <c r="G47" s="334">
        <f t="shared" ref="G47:T47" si="35">F47+G46</f>
        <v>111</v>
      </c>
      <c r="H47" s="334">
        <f t="shared" si="35"/>
        <v>138</v>
      </c>
      <c r="I47" s="334">
        <f t="shared" si="35"/>
        <v>155</v>
      </c>
      <c r="J47" s="334">
        <f t="shared" si="35"/>
        <v>187</v>
      </c>
      <c r="K47" s="334">
        <f t="shared" si="35"/>
        <v>234</v>
      </c>
      <c r="L47" s="334">
        <f t="shared" si="35"/>
        <v>344</v>
      </c>
      <c r="M47" s="334">
        <f t="shared" si="35"/>
        <v>469</v>
      </c>
      <c r="N47" s="335">
        <f t="shared" si="35"/>
        <v>634.08814264870489</v>
      </c>
      <c r="O47" s="335">
        <f t="shared" si="35"/>
        <v>845.21020445068098</v>
      </c>
      <c r="P47" s="335">
        <f t="shared" si="35"/>
        <v>1115.2024901738562</v>
      </c>
      <c r="Q47" s="335">
        <f t="shared" si="35"/>
        <v>1460.4806374590887</v>
      </c>
      <c r="R47" s="335">
        <f t="shared" si="35"/>
        <v>1865.4919042246665</v>
      </c>
      <c r="S47" s="335">
        <f t="shared" si="35"/>
        <v>2476.1784577651115</v>
      </c>
      <c r="T47" s="335">
        <f t="shared" si="35"/>
        <v>3263.9641118322857</v>
      </c>
      <c r="U47" s="335">
        <f t="shared" ref="U47:AA47" si="36">T47+U46-F46</f>
        <v>4349.1846241325429</v>
      </c>
      <c r="V47" s="335">
        <f t="shared" si="36"/>
        <v>5570.3155363516398</v>
      </c>
      <c r="W47" s="335">
        <f t="shared" si="36"/>
        <v>7020.9047762814107</v>
      </c>
      <c r="X47" s="335">
        <f t="shared" si="36"/>
        <v>8669.692224665394</v>
      </c>
      <c r="Y47" s="335">
        <f t="shared" si="36"/>
        <v>10498.614774145788</v>
      </c>
      <c r="Z47" s="335">
        <f t="shared" si="36"/>
        <v>12514.811513787094</v>
      </c>
      <c r="AA47" s="336">
        <f t="shared" si="36"/>
        <v>14509.272188221226</v>
      </c>
    </row>
    <row r="48" spans="2:27" x14ac:dyDescent="0.25">
      <c r="B48" s="480"/>
      <c r="C48" s="67"/>
      <c r="D48" s="333"/>
      <c r="G48" s="337"/>
      <c r="AA48" s="86"/>
    </row>
    <row r="49" spans="2:27" x14ac:dyDescent="0.25">
      <c r="B49" s="480"/>
      <c r="C49" s="474" t="s">
        <v>268</v>
      </c>
      <c r="D49" s="338" t="s">
        <v>168</v>
      </c>
      <c r="E49" s="64" t="s">
        <v>267</v>
      </c>
      <c r="F49" s="339">
        <f t="shared" ref="F49:M49" si="37">F46*(F75+F76)</f>
        <v>31.92982456140351</v>
      </c>
      <c r="G49" s="339">
        <f t="shared" si="37"/>
        <v>67.319171348314612</v>
      </c>
      <c r="H49" s="339">
        <f t="shared" si="37"/>
        <v>26.223992502343016</v>
      </c>
      <c r="I49" s="339">
        <f t="shared" si="37"/>
        <v>16.026304624522698</v>
      </c>
      <c r="J49" s="339">
        <f t="shared" si="37"/>
        <v>30.187951807228917</v>
      </c>
      <c r="K49" s="339">
        <f t="shared" si="37"/>
        <v>42.850824970233035</v>
      </c>
      <c r="L49" s="339">
        <f t="shared" si="37"/>
        <v>104.06801774375926</v>
      </c>
      <c r="M49" s="339">
        <f t="shared" si="37"/>
        <v>122.03696263559662</v>
      </c>
      <c r="N49" s="340">
        <f t="shared" ref="N49:W49" si="38">N66*N83*(N75+N76)*N65</f>
        <v>158.6801299769532</v>
      </c>
      <c r="O49" s="340">
        <f t="shared" si="38"/>
        <v>202.92721009665283</v>
      </c>
      <c r="P49" s="340">
        <f t="shared" si="38"/>
        <v>259.51234476296435</v>
      </c>
      <c r="Q49" s="340">
        <f t="shared" si="38"/>
        <v>331.87593251932515</v>
      </c>
      <c r="R49" s="340">
        <f t="shared" si="38"/>
        <v>389.2904688451685</v>
      </c>
      <c r="S49" s="340">
        <f t="shared" si="38"/>
        <v>586.98232432828001</v>
      </c>
      <c r="T49" s="340">
        <f t="shared" si="38"/>
        <v>757.20719838348134</v>
      </c>
      <c r="U49" s="340">
        <f t="shared" si="38"/>
        <v>1077.6995474667224</v>
      </c>
      <c r="V49" s="340">
        <f t="shared" si="38"/>
        <v>1245.8206768715308</v>
      </c>
      <c r="W49" s="340">
        <f t="shared" si="38"/>
        <v>1420.2355716335451</v>
      </c>
      <c r="X49" s="340">
        <f>X66*X83*(X75+X76)*X65</f>
        <v>1601.1287339152914</v>
      </c>
      <c r="Y49" s="340">
        <f>Y66*Y83*(Y75+Y76)*Y65</f>
        <v>1788.689528459654</v>
      </c>
      <c r="Z49" s="340">
        <f>Z66*Z83*(Z75+Z76)*Z65</f>
        <v>1983.1123032922255</v>
      </c>
      <c r="AA49" s="341">
        <f>AA66*AA83*(AA75+AA76)*AA65</f>
        <v>2022.7745493580701</v>
      </c>
    </row>
    <row r="50" spans="2:27" x14ac:dyDescent="0.25">
      <c r="B50" s="480"/>
      <c r="C50" s="477"/>
      <c r="D50" s="333" t="s">
        <v>168</v>
      </c>
      <c r="E50" s="47" t="s">
        <v>206</v>
      </c>
      <c r="F50" s="334">
        <f>F49</f>
        <v>31.92982456140351</v>
      </c>
      <c r="G50" s="334">
        <f t="shared" ref="G50:AA50" si="39">F50+G49</f>
        <v>99.248995909718118</v>
      </c>
      <c r="H50" s="334">
        <f t="shared" si="39"/>
        <v>125.47298841206114</v>
      </c>
      <c r="I50" s="334">
        <f t="shared" si="39"/>
        <v>141.49929303658385</v>
      </c>
      <c r="J50" s="334">
        <f t="shared" si="39"/>
        <v>171.68724484381278</v>
      </c>
      <c r="K50" s="334">
        <f t="shared" si="39"/>
        <v>214.5380698140458</v>
      </c>
      <c r="L50" s="334">
        <f t="shared" si="39"/>
        <v>318.60608755780504</v>
      </c>
      <c r="M50" s="342">
        <f t="shared" si="39"/>
        <v>440.64305019340168</v>
      </c>
      <c r="N50" s="342">
        <f t="shared" si="39"/>
        <v>599.32318017035482</v>
      </c>
      <c r="O50" s="342">
        <f t="shared" si="39"/>
        <v>802.25039026700767</v>
      </c>
      <c r="P50" s="342">
        <f t="shared" si="39"/>
        <v>1061.762735029972</v>
      </c>
      <c r="Q50" s="342">
        <f t="shared" si="39"/>
        <v>1393.6386675492972</v>
      </c>
      <c r="R50" s="342">
        <f t="shared" si="39"/>
        <v>1782.9291363944658</v>
      </c>
      <c r="S50" s="342">
        <f t="shared" si="39"/>
        <v>2369.9114607227457</v>
      </c>
      <c r="T50" s="342">
        <f t="shared" si="39"/>
        <v>3127.1186591062269</v>
      </c>
      <c r="U50" s="342">
        <f t="shared" si="39"/>
        <v>4204.8182065729488</v>
      </c>
      <c r="V50" s="342">
        <f t="shared" si="39"/>
        <v>5450.6388834444797</v>
      </c>
      <c r="W50" s="342">
        <f t="shared" si="39"/>
        <v>6870.8744550780248</v>
      </c>
      <c r="X50" s="342">
        <f t="shared" si="39"/>
        <v>8472.0031889933161</v>
      </c>
      <c r="Y50" s="342">
        <f t="shared" si="39"/>
        <v>10260.69271745297</v>
      </c>
      <c r="Z50" s="342">
        <f t="shared" si="39"/>
        <v>12243.805020745196</v>
      </c>
      <c r="AA50" s="343">
        <f t="shared" si="39"/>
        <v>14266.579570103266</v>
      </c>
    </row>
    <row r="51" spans="2:27" x14ac:dyDescent="0.25">
      <c r="B51" s="480"/>
      <c r="C51" s="477"/>
      <c r="D51" s="333" t="s">
        <v>168</v>
      </c>
      <c r="E51" s="47" t="s">
        <v>269</v>
      </c>
      <c r="F51" s="334">
        <f>E3*0.6</f>
        <v>1708.2</v>
      </c>
      <c r="G51" s="334">
        <f t="shared" ref="G51:AA51" si="40">F51</f>
        <v>1708.2</v>
      </c>
      <c r="H51" s="334">
        <f t="shared" si="40"/>
        <v>1708.2</v>
      </c>
      <c r="I51" s="334">
        <f t="shared" si="40"/>
        <v>1708.2</v>
      </c>
      <c r="J51" s="334">
        <f t="shared" si="40"/>
        <v>1708.2</v>
      </c>
      <c r="K51" s="334">
        <f t="shared" si="40"/>
        <v>1708.2</v>
      </c>
      <c r="L51" s="334">
        <f t="shared" si="40"/>
        <v>1708.2</v>
      </c>
      <c r="M51" s="334">
        <f t="shared" si="40"/>
        <v>1708.2</v>
      </c>
      <c r="N51" s="334">
        <f t="shared" si="40"/>
        <v>1708.2</v>
      </c>
      <c r="O51" s="334">
        <f t="shared" si="40"/>
        <v>1708.2</v>
      </c>
      <c r="P51" s="334">
        <f t="shared" si="40"/>
        <v>1708.2</v>
      </c>
      <c r="Q51" s="334">
        <f t="shared" si="40"/>
        <v>1708.2</v>
      </c>
      <c r="R51" s="334">
        <f t="shared" si="40"/>
        <v>1708.2</v>
      </c>
      <c r="S51" s="334">
        <f t="shared" si="40"/>
        <v>1708.2</v>
      </c>
      <c r="T51" s="334">
        <f t="shared" si="40"/>
        <v>1708.2</v>
      </c>
      <c r="U51" s="334">
        <f t="shared" si="40"/>
        <v>1708.2</v>
      </c>
      <c r="V51" s="334">
        <f t="shared" si="40"/>
        <v>1708.2</v>
      </c>
      <c r="W51" s="334">
        <f t="shared" si="40"/>
        <v>1708.2</v>
      </c>
      <c r="X51" s="334">
        <f t="shared" si="40"/>
        <v>1708.2</v>
      </c>
      <c r="Y51" s="334">
        <f t="shared" si="40"/>
        <v>1708.2</v>
      </c>
      <c r="Z51" s="334">
        <f t="shared" si="40"/>
        <v>1708.2</v>
      </c>
      <c r="AA51" s="344">
        <f t="shared" si="40"/>
        <v>1708.2</v>
      </c>
    </row>
    <row r="52" spans="2:27" x14ac:dyDescent="0.25">
      <c r="B52" s="480"/>
      <c r="C52" s="477"/>
      <c r="D52" s="333" t="s">
        <v>168</v>
      </c>
      <c r="E52" s="47" t="s">
        <v>270</v>
      </c>
      <c r="F52" s="334">
        <f>F49*F51</f>
        <v>54542.526315789481</v>
      </c>
      <c r="G52" s="334">
        <f t="shared" ref="G52:W52" si="41">G49*G51</f>
        <v>114994.60849719102</v>
      </c>
      <c r="H52" s="334">
        <f t="shared" si="41"/>
        <v>44795.823992502344</v>
      </c>
      <c r="I52" s="334">
        <f t="shared" si="41"/>
        <v>27376.133559609672</v>
      </c>
      <c r="J52" s="334">
        <f t="shared" si="41"/>
        <v>51567.059277108434</v>
      </c>
      <c r="K52" s="334">
        <f t="shared" si="41"/>
        <v>73197.779214152077</v>
      </c>
      <c r="L52" s="334">
        <f t="shared" si="41"/>
        <v>177768.98790988958</v>
      </c>
      <c r="M52" s="334">
        <f t="shared" si="41"/>
        <v>208463.53957412616</v>
      </c>
      <c r="N52" s="334">
        <f t="shared" si="41"/>
        <v>271057.39802663145</v>
      </c>
      <c r="O52" s="334">
        <f t="shared" si="41"/>
        <v>346640.26028710237</v>
      </c>
      <c r="P52" s="334">
        <f t="shared" si="41"/>
        <v>443298.98732409568</v>
      </c>
      <c r="Q52" s="334">
        <f t="shared" si="41"/>
        <v>566910.46792951121</v>
      </c>
      <c r="R52" s="334">
        <f t="shared" si="41"/>
        <v>664985.97888131684</v>
      </c>
      <c r="S52" s="334">
        <f t="shared" si="41"/>
        <v>1002683.2064175679</v>
      </c>
      <c r="T52" s="334">
        <f t="shared" si="41"/>
        <v>1293461.3362786628</v>
      </c>
      <c r="U52" s="334">
        <f t="shared" si="41"/>
        <v>1840926.3669826551</v>
      </c>
      <c r="V52" s="334">
        <f t="shared" si="41"/>
        <v>2128110.880231949</v>
      </c>
      <c r="W52" s="334">
        <f t="shared" si="41"/>
        <v>2426046.4034644216</v>
      </c>
      <c r="X52" s="334">
        <f>X49*X51</f>
        <v>2735048.1032741009</v>
      </c>
      <c r="Y52" s="334">
        <f>Y49*Y51</f>
        <v>3055439.4525147812</v>
      </c>
      <c r="Z52" s="334">
        <f>Z49*Z51</f>
        <v>3387552.4364837799</v>
      </c>
      <c r="AA52" s="344">
        <f>AA49*AA51</f>
        <v>3455303.4852134553</v>
      </c>
    </row>
    <row r="53" spans="2:27" x14ac:dyDescent="0.25">
      <c r="B53" s="480"/>
      <c r="C53" s="478"/>
      <c r="D53" s="345" t="s">
        <v>168</v>
      </c>
      <c r="E53" s="110" t="s">
        <v>271</v>
      </c>
      <c r="F53" s="346">
        <f>F50*F51-F49*F51/2</f>
        <v>27271.26315789474</v>
      </c>
      <c r="G53" s="346">
        <f>G50*G51-G49*G51/2</f>
        <v>112039.83056438497</v>
      </c>
      <c r="H53" s="346">
        <f>H50*H51-H49*H51/2</f>
        <v>191935.04680923166</v>
      </c>
      <c r="I53" s="346">
        <f>I50*I51-I49*I51/2</f>
        <v>228021.02558528772</v>
      </c>
      <c r="J53" s="346">
        <f>J50*J51-J49*J51/2</f>
        <v>267492.6220036468</v>
      </c>
      <c r="K53" s="346">
        <f t="shared" ref="K53:W53" si="42">K50*K51-K49*K51/2</f>
        <v>329875.04124927695</v>
      </c>
      <c r="L53" s="346">
        <f t="shared" si="42"/>
        <v>455358.42481129779</v>
      </c>
      <c r="M53" s="346">
        <f t="shared" si="42"/>
        <v>648474.68855330569</v>
      </c>
      <c r="N53" s="346">
        <f t="shared" si="42"/>
        <v>888235.15735368442</v>
      </c>
      <c r="O53" s="346">
        <f t="shared" si="42"/>
        <v>1197083.9865105513</v>
      </c>
      <c r="P53" s="346">
        <f t="shared" si="42"/>
        <v>1592053.6103161504</v>
      </c>
      <c r="Q53" s="346">
        <f t="shared" si="42"/>
        <v>2097158.3379429537</v>
      </c>
      <c r="R53" s="346">
        <f t="shared" si="42"/>
        <v>2713106.5613483679</v>
      </c>
      <c r="S53" s="346">
        <f t="shared" si="42"/>
        <v>3546941.1539978101</v>
      </c>
      <c r="T53" s="346">
        <f t="shared" si="42"/>
        <v>4695013.4253459256</v>
      </c>
      <c r="U53" s="346">
        <f t="shared" si="42"/>
        <v>6262207.2769765835</v>
      </c>
      <c r="V53" s="346">
        <f t="shared" si="42"/>
        <v>8246725.9005838865</v>
      </c>
      <c r="W53" s="346">
        <f t="shared" si="42"/>
        <v>10523804.542432072</v>
      </c>
      <c r="X53" s="346">
        <f>X50*X51-X49*X51/2</f>
        <v>13104351.795801334</v>
      </c>
      <c r="Y53" s="346">
        <f>Y50*Y51-Y49*Y51/2</f>
        <v>15999595.573695771</v>
      </c>
      <c r="Z53" s="346">
        <f>Z50*Z51-Z49*Z51/2</f>
        <v>19221091.518195055</v>
      </c>
      <c r="AA53" s="347">
        <f>AA50*AA51-AA49*AA51/2</f>
        <v>22642519.47904367</v>
      </c>
    </row>
    <row r="54" spans="2:27" x14ac:dyDescent="0.25">
      <c r="B54" s="480"/>
      <c r="C54" s="477" t="s">
        <v>272</v>
      </c>
      <c r="D54" s="338" t="s">
        <v>168</v>
      </c>
      <c r="E54" s="47" t="s">
        <v>267</v>
      </c>
      <c r="F54" s="348">
        <f t="shared" ref="F54:M54" si="43">F46*F77</f>
        <v>4.0701754385964914</v>
      </c>
      <c r="G54" s="348">
        <f t="shared" si="43"/>
        <v>7.6808286516853927</v>
      </c>
      <c r="H54" s="348">
        <f t="shared" si="43"/>
        <v>0.77600749765698218</v>
      </c>
      <c r="I54" s="348">
        <f t="shared" si="43"/>
        <v>0.97369537547730167</v>
      </c>
      <c r="J54" s="348">
        <f t="shared" si="43"/>
        <v>1.8120481927710843</v>
      </c>
      <c r="K54" s="348">
        <f t="shared" si="43"/>
        <v>4.1491750297669672</v>
      </c>
      <c r="L54" s="348">
        <f t="shared" si="43"/>
        <v>5.931982256240758</v>
      </c>
      <c r="M54" s="348">
        <f t="shared" si="43"/>
        <v>2.963037364403375</v>
      </c>
      <c r="N54" s="340">
        <f t="shared" ref="N54:W54" si="44">N66*N83*N77*N65</f>
        <v>6.4080126717516324</v>
      </c>
      <c r="O54" s="340">
        <f t="shared" si="44"/>
        <v>8.1948517053232965</v>
      </c>
      <c r="P54" s="340">
        <f t="shared" si="44"/>
        <v>10.479940960210854</v>
      </c>
      <c r="Q54" s="340">
        <f t="shared" si="44"/>
        <v>13.402214765907386</v>
      </c>
      <c r="R54" s="340">
        <f t="shared" si="44"/>
        <v>15.720797920409368</v>
      </c>
      <c r="S54" s="340">
        <f t="shared" si="44"/>
        <v>23.704229212165075</v>
      </c>
      <c r="T54" s="340">
        <f t="shared" si="44"/>
        <v>30.578455683692951</v>
      </c>
      <c r="U54" s="340">
        <f t="shared" si="44"/>
        <v>43.520964833535082</v>
      </c>
      <c r="V54" s="340">
        <f t="shared" si="44"/>
        <v>50.310235347566554</v>
      </c>
      <c r="W54" s="340">
        <f t="shared" si="44"/>
        <v>57.353668296225877</v>
      </c>
      <c r="X54" s="340">
        <f>X66*X83*X77*X65</f>
        <v>64.658714468692537</v>
      </c>
      <c r="Y54" s="340">
        <f>Y66*Y83*Y77*Y65</f>
        <v>72.233021020739372</v>
      </c>
      <c r="Z54" s="340">
        <f>Z66*Z83*Z77*Z65</f>
        <v>80.084436349080619</v>
      </c>
      <c r="AA54" s="341">
        <f>AA66*AA83*AA77*AA65</f>
        <v>81.686125076062226</v>
      </c>
    </row>
    <row r="55" spans="2:27" x14ac:dyDescent="0.25">
      <c r="B55" s="480"/>
      <c r="C55" s="477"/>
      <c r="D55" s="333" t="s">
        <v>168</v>
      </c>
      <c r="E55" s="47" t="s">
        <v>206</v>
      </c>
      <c r="F55" s="348">
        <f>F54</f>
        <v>4.0701754385964914</v>
      </c>
      <c r="G55" s="348">
        <f t="shared" ref="G55:AA55" si="45">F55+G54</f>
        <v>11.751004090281885</v>
      </c>
      <c r="H55" s="348">
        <f t="shared" si="45"/>
        <v>12.527011587938867</v>
      </c>
      <c r="I55" s="348">
        <f t="shared" si="45"/>
        <v>13.500706963416169</v>
      </c>
      <c r="J55" s="348">
        <f t="shared" si="45"/>
        <v>15.312755156187254</v>
      </c>
      <c r="K55" s="348">
        <f t="shared" si="45"/>
        <v>19.461930185954223</v>
      </c>
      <c r="L55" s="348">
        <f t="shared" si="45"/>
        <v>25.393912442194981</v>
      </c>
      <c r="M55" s="348">
        <f t="shared" si="45"/>
        <v>28.356949806598358</v>
      </c>
      <c r="N55" s="348">
        <f t="shared" si="45"/>
        <v>34.764962478349993</v>
      </c>
      <c r="O55" s="348">
        <f t="shared" si="45"/>
        <v>42.959814183673288</v>
      </c>
      <c r="P55" s="348">
        <f t="shared" si="45"/>
        <v>53.439755143884142</v>
      </c>
      <c r="Q55" s="348">
        <f t="shared" si="45"/>
        <v>66.84196990979153</v>
      </c>
      <c r="R55" s="348">
        <f t="shared" si="45"/>
        <v>82.562767830200897</v>
      </c>
      <c r="S55" s="348">
        <f t="shared" si="45"/>
        <v>106.26699704236597</v>
      </c>
      <c r="T55" s="348">
        <f t="shared" si="45"/>
        <v>136.84545272605891</v>
      </c>
      <c r="U55" s="348">
        <f t="shared" si="45"/>
        <v>180.366417559594</v>
      </c>
      <c r="V55" s="348">
        <f t="shared" si="45"/>
        <v>230.67665290716056</v>
      </c>
      <c r="W55" s="348">
        <f t="shared" si="45"/>
        <v>288.03032120338645</v>
      </c>
      <c r="X55" s="348">
        <f t="shared" si="45"/>
        <v>352.689035672079</v>
      </c>
      <c r="Y55" s="348">
        <f t="shared" si="45"/>
        <v>424.92205669281839</v>
      </c>
      <c r="Z55" s="348">
        <f t="shared" si="45"/>
        <v>505.00649304189903</v>
      </c>
      <c r="AA55" s="349">
        <f t="shared" si="45"/>
        <v>586.69261811796127</v>
      </c>
    </row>
    <row r="56" spans="2:27" x14ac:dyDescent="0.25">
      <c r="B56" s="480"/>
      <c r="C56" s="477"/>
      <c r="D56" s="333" t="s">
        <v>168</v>
      </c>
      <c r="E56" s="47" t="s">
        <v>269</v>
      </c>
      <c r="F56" s="334">
        <f>E5*0.6</f>
        <v>3000</v>
      </c>
      <c r="G56" s="334">
        <f t="shared" ref="G56:AA56" si="46">F56</f>
        <v>3000</v>
      </c>
      <c r="H56" s="334">
        <f t="shared" si="46"/>
        <v>3000</v>
      </c>
      <c r="I56" s="334">
        <f t="shared" si="46"/>
        <v>3000</v>
      </c>
      <c r="J56" s="334">
        <f t="shared" si="46"/>
        <v>3000</v>
      </c>
      <c r="K56" s="334">
        <f t="shared" si="46"/>
        <v>3000</v>
      </c>
      <c r="L56" s="334">
        <f t="shared" si="46"/>
        <v>3000</v>
      </c>
      <c r="M56" s="334">
        <f t="shared" si="46"/>
        <v>3000</v>
      </c>
      <c r="N56" s="334">
        <f t="shared" si="46"/>
        <v>3000</v>
      </c>
      <c r="O56" s="334">
        <f t="shared" si="46"/>
        <v>3000</v>
      </c>
      <c r="P56" s="334">
        <f t="shared" si="46"/>
        <v>3000</v>
      </c>
      <c r="Q56" s="334">
        <f t="shared" si="46"/>
        <v>3000</v>
      </c>
      <c r="R56" s="334">
        <f t="shared" si="46"/>
        <v>3000</v>
      </c>
      <c r="S56" s="334">
        <f t="shared" si="46"/>
        <v>3000</v>
      </c>
      <c r="T56" s="334">
        <f t="shared" si="46"/>
        <v>3000</v>
      </c>
      <c r="U56" s="334">
        <f t="shared" si="46"/>
        <v>3000</v>
      </c>
      <c r="V56" s="334">
        <f t="shared" si="46"/>
        <v>3000</v>
      </c>
      <c r="W56" s="334">
        <f t="shared" si="46"/>
        <v>3000</v>
      </c>
      <c r="X56" s="334">
        <f t="shared" si="46"/>
        <v>3000</v>
      </c>
      <c r="Y56" s="334">
        <f t="shared" si="46"/>
        <v>3000</v>
      </c>
      <c r="Z56" s="334">
        <f t="shared" si="46"/>
        <v>3000</v>
      </c>
      <c r="AA56" s="344">
        <f t="shared" si="46"/>
        <v>3000</v>
      </c>
    </row>
    <row r="57" spans="2:27" x14ac:dyDescent="0.25">
      <c r="B57" s="480"/>
      <c r="C57" s="477"/>
      <c r="D57" s="333" t="s">
        <v>168</v>
      </c>
      <c r="E57" s="47" t="s">
        <v>270</v>
      </c>
      <c r="F57" s="334">
        <f>F54*F56</f>
        <v>12210.526315789475</v>
      </c>
      <c r="G57" s="334">
        <f t="shared" ref="G57:W57" si="47">G54*G56</f>
        <v>23042.485955056178</v>
      </c>
      <c r="H57" s="334">
        <f t="shared" si="47"/>
        <v>2328.0224929709466</v>
      </c>
      <c r="I57" s="334">
        <f t="shared" si="47"/>
        <v>2921.0861264319051</v>
      </c>
      <c r="J57" s="334">
        <f t="shared" si="47"/>
        <v>5436.1445783132531</v>
      </c>
      <c r="K57" s="334">
        <f t="shared" si="47"/>
        <v>12447.525089300902</v>
      </c>
      <c r="L57" s="334">
        <f t="shared" si="47"/>
        <v>17795.946768722275</v>
      </c>
      <c r="M57" s="334">
        <f t="shared" si="47"/>
        <v>8889.1120932101257</v>
      </c>
      <c r="N57" s="334">
        <f t="shared" si="47"/>
        <v>19224.038015254897</v>
      </c>
      <c r="O57" s="334">
        <f t="shared" si="47"/>
        <v>24584.555115969888</v>
      </c>
      <c r="P57" s="334">
        <f t="shared" si="47"/>
        <v>31439.822880632561</v>
      </c>
      <c r="Q57" s="334">
        <f t="shared" si="47"/>
        <v>40206.64429772216</v>
      </c>
      <c r="R57" s="334">
        <f t="shared" si="47"/>
        <v>47162.393761228101</v>
      </c>
      <c r="S57" s="334">
        <f t="shared" si="47"/>
        <v>71112.687636495219</v>
      </c>
      <c r="T57" s="334">
        <f t="shared" si="47"/>
        <v>91735.367051078851</v>
      </c>
      <c r="U57" s="334">
        <f t="shared" si="47"/>
        <v>130562.89450060525</v>
      </c>
      <c r="V57" s="334">
        <f t="shared" si="47"/>
        <v>150930.70604269966</v>
      </c>
      <c r="W57" s="334">
        <f t="shared" si="47"/>
        <v>172061.00488867762</v>
      </c>
      <c r="X57" s="334">
        <f>X54*X56</f>
        <v>193976.14340607761</v>
      </c>
      <c r="Y57" s="334">
        <f>Y54*Y56</f>
        <v>216699.06306221811</v>
      </c>
      <c r="Z57" s="334">
        <f>Z54*Z56</f>
        <v>240253.30904724187</v>
      </c>
      <c r="AA57" s="344">
        <f>AA54*AA56</f>
        <v>245058.37522818669</v>
      </c>
    </row>
    <row r="58" spans="2:27" x14ac:dyDescent="0.25">
      <c r="B58" s="480"/>
      <c r="C58" s="477"/>
      <c r="D58" s="345" t="s">
        <v>168</v>
      </c>
      <c r="E58" s="47" t="s">
        <v>271</v>
      </c>
      <c r="F58" s="346">
        <f>F55*F56-F54*F56/2</f>
        <v>6105.2631578947376</v>
      </c>
      <c r="G58" s="346">
        <f>G55*G56-G54*G56/2</f>
        <v>23731.769293317564</v>
      </c>
      <c r="H58" s="346">
        <f>H55*H56-H54*H56/2</f>
        <v>36417.023517331123</v>
      </c>
      <c r="I58" s="346">
        <f>I55*I56-I54*I56/2</f>
        <v>39041.577827032554</v>
      </c>
      <c r="J58" s="346">
        <f>J55*J56-J54*J56/2</f>
        <v>43220.193179405134</v>
      </c>
      <c r="K58" s="346">
        <f t="shared" ref="K58:W58" si="48">K55*K56-K54*K56/2</f>
        <v>52162.028013212213</v>
      </c>
      <c r="L58" s="346">
        <f t="shared" si="48"/>
        <v>67283.763942223814</v>
      </c>
      <c r="M58" s="346">
        <f t="shared" si="48"/>
        <v>80626.293373190012</v>
      </c>
      <c r="N58" s="346">
        <f t="shared" si="48"/>
        <v>94682.868427422538</v>
      </c>
      <c r="O58" s="346">
        <f t="shared" si="48"/>
        <v>116587.16499303492</v>
      </c>
      <c r="P58" s="346">
        <f t="shared" si="48"/>
        <v>144599.35399133616</v>
      </c>
      <c r="Q58" s="346">
        <f t="shared" si="48"/>
        <v>180422.58758051353</v>
      </c>
      <c r="R58" s="346">
        <f t="shared" si="48"/>
        <v>224107.10660998867</v>
      </c>
      <c r="S58" s="346">
        <f t="shared" si="48"/>
        <v>283244.64730885031</v>
      </c>
      <c r="T58" s="346">
        <f t="shared" si="48"/>
        <v>364668.67465263733</v>
      </c>
      <c r="U58" s="346">
        <f t="shared" si="48"/>
        <v>475817.80542847933</v>
      </c>
      <c r="V58" s="346">
        <f t="shared" si="48"/>
        <v>616564.60570013185</v>
      </c>
      <c r="W58" s="346">
        <f t="shared" si="48"/>
        <v>778060.46116582048</v>
      </c>
      <c r="X58" s="346">
        <f>X55*X56-X54*X56/2</f>
        <v>961079.03531319823</v>
      </c>
      <c r="Y58" s="346">
        <f>Y55*Y56-Y54*Y56/2</f>
        <v>1166416.6385473462</v>
      </c>
      <c r="Z58" s="346">
        <f>Z55*Z56-Z54*Z56/2</f>
        <v>1394892.8246020763</v>
      </c>
      <c r="AA58" s="347">
        <f>AA55*AA56-AA54*AA56/2</f>
        <v>1637548.6667397905</v>
      </c>
    </row>
    <row r="59" spans="2:27" x14ac:dyDescent="0.25">
      <c r="B59" s="480"/>
      <c r="C59" s="474" t="s">
        <v>273</v>
      </c>
      <c r="D59" s="338" t="s">
        <v>168</v>
      </c>
      <c r="E59" s="64" t="s">
        <v>267</v>
      </c>
      <c r="F59" s="350">
        <f t="shared" ref="F59:M59" si="49">F46*F78</f>
        <v>0</v>
      </c>
      <c r="G59" s="350">
        <f t="shared" si="49"/>
        <v>0</v>
      </c>
      <c r="H59" s="350">
        <f t="shared" si="49"/>
        <v>0</v>
      </c>
      <c r="I59" s="350">
        <f t="shared" si="49"/>
        <v>0</v>
      </c>
      <c r="J59" s="350">
        <f t="shared" si="49"/>
        <v>0</v>
      </c>
      <c r="K59" s="351">
        <f t="shared" si="49"/>
        <v>0</v>
      </c>
      <c r="L59" s="351">
        <f t="shared" si="49"/>
        <v>0</v>
      </c>
      <c r="M59" s="351">
        <f t="shared" si="49"/>
        <v>0</v>
      </c>
      <c r="N59" s="340">
        <f t="shared" ref="N59:W59" si="50">N66*N83*N78*N65</f>
        <v>0</v>
      </c>
      <c r="O59" s="340">
        <f t="shared" si="50"/>
        <v>0</v>
      </c>
      <c r="P59" s="340">
        <f t="shared" si="50"/>
        <v>0</v>
      </c>
      <c r="Q59" s="340">
        <f t="shared" si="50"/>
        <v>0</v>
      </c>
      <c r="R59" s="340">
        <f t="shared" si="50"/>
        <v>0</v>
      </c>
      <c r="S59" s="340">
        <f t="shared" si="50"/>
        <v>0</v>
      </c>
      <c r="T59" s="340">
        <f t="shared" si="50"/>
        <v>0</v>
      </c>
      <c r="U59" s="340">
        <f t="shared" si="50"/>
        <v>0</v>
      </c>
      <c r="V59" s="340">
        <f t="shared" si="50"/>
        <v>0</v>
      </c>
      <c r="W59" s="340">
        <f t="shared" si="50"/>
        <v>0</v>
      </c>
      <c r="X59" s="340">
        <f>X66*X83*X78*X65</f>
        <v>0</v>
      </c>
      <c r="Y59" s="340">
        <f>Y66*Y83*Y78*Y65</f>
        <v>0</v>
      </c>
      <c r="Z59" s="340">
        <f>Z66*Z83*Z78*Z65</f>
        <v>0</v>
      </c>
      <c r="AA59" s="341">
        <f>AA66*AA83*AA78*AA65</f>
        <v>0</v>
      </c>
    </row>
    <row r="60" spans="2:27" x14ac:dyDescent="0.25">
      <c r="B60" s="480"/>
      <c r="C60" s="477"/>
      <c r="D60" s="333" t="s">
        <v>168</v>
      </c>
      <c r="E60" s="47" t="s">
        <v>206</v>
      </c>
      <c r="F60" s="348">
        <f>F59</f>
        <v>0</v>
      </c>
      <c r="G60" s="348">
        <f t="shared" ref="G60:AA60" si="51">F60+G59</f>
        <v>0</v>
      </c>
      <c r="H60" s="348">
        <f t="shared" si="51"/>
        <v>0</v>
      </c>
      <c r="I60" s="348">
        <f t="shared" si="51"/>
        <v>0</v>
      </c>
      <c r="J60" s="348">
        <f t="shared" si="51"/>
        <v>0</v>
      </c>
      <c r="K60" s="348">
        <f t="shared" si="51"/>
        <v>0</v>
      </c>
      <c r="L60" s="348">
        <f t="shared" si="51"/>
        <v>0</v>
      </c>
      <c r="M60" s="348">
        <f t="shared" si="51"/>
        <v>0</v>
      </c>
      <c r="N60" s="348">
        <f t="shared" si="51"/>
        <v>0</v>
      </c>
      <c r="O60" s="348">
        <f t="shared" si="51"/>
        <v>0</v>
      </c>
      <c r="P60" s="348">
        <f t="shared" si="51"/>
        <v>0</v>
      </c>
      <c r="Q60" s="348">
        <f t="shared" si="51"/>
        <v>0</v>
      </c>
      <c r="R60" s="348">
        <f t="shared" si="51"/>
        <v>0</v>
      </c>
      <c r="S60" s="348">
        <f t="shared" si="51"/>
        <v>0</v>
      </c>
      <c r="T60" s="348">
        <f t="shared" si="51"/>
        <v>0</v>
      </c>
      <c r="U60" s="348">
        <f t="shared" si="51"/>
        <v>0</v>
      </c>
      <c r="V60" s="348">
        <f t="shared" si="51"/>
        <v>0</v>
      </c>
      <c r="W60" s="348">
        <f t="shared" si="51"/>
        <v>0</v>
      </c>
      <c r="X60" s="348">
        <f t="shared" si="51"/>
        <v>0</v>
      </c>
      <c r="Y60" s="348">
        <f t="shared" si="51"/>
        <v>0</v>
      </c>
      <c r="Z60" s="348">
        <f t="shared" si="51"/>
        <v>0</v>
      </c>
      <c r="AA60" s="349">
        <f t="shared" si="51"/>
        <v>0</v>
      </c>
    </row>
    <row r="61" spans="2:27" x14ac:dyDescent="0.25">
      <c r="B61" s="480"/>
      <c r="C61" s="477"/>
      <c r="D61" s="333" t="s">
        <v>168</v>
      </c>
      <c r="E61" s="47" t="s">
        <v>269</v>
      </c>
      <c r="F61" s="334"/>
      <c r="G61" s="334"/>
      <c r="H61" s="334"/>
      <c r="I61" s="334"/>
      <c r="J61" s="334"/>
      <c r="K61" s="334">
        <f>E6*0.6</f>
        <v>3600</v>
      </c>
      <c r="L61" s="334">
        <f t="shared" ref="L61:AA61" si="52">K61</f>
        <v>3600</v>
      </c>
      <c r="M61" s="334">
        <f t="shared" si="52"/>
        <v>3600</v>
      </c>
      <c r="N61" s="334">
        <f t="shared" si="52"/>
        <v>3600</v>
      </c>
      <c r="O61" s="334">
        <f t="shared" si="52"/>
        <v>3600</v>
      </c>
      <c r="P61" s="334">
        <f t="shared" si="52"/>
        <v>3600</v>
      </c>
      <c r="Q61" s="334">
        <f t="shared" si="52"/>
        <v>3600</v>
      </c>
      <c r="R61" s="334">
        <f t="shared" si="52"/>
        <v>3600</v>
      </c>
      <c r="S61" s="334">
        <f t="shared" si="52"/>
        <v>3600</v>
      </c>
      <c r="T61" s="334">
        <f t="shared" si="52"/>
        <v>3600</v>
      </c>
      <c r="U61" s="334">
        <f t="shared" si="52"/>
        <v>3600</v>
      </c>
      <c r="V61" s="334">
        <f t="shared" si="52"/>
        <v>3600</v>
      </c>
      <c r="W61" s="334">
        <f t="shared" si="52"/>
        <v>3600</v>
      </c>
      <c r="X61" s="334">
        <f t="shared" si="52"/>
        <v>3600</v>
      </c>
      <c r="Y61" s="334">
        <f t="shared" si="52"/>
        <v>3600</v>
      </c>
      <c r="Z61" s="334">
        <f t="shared" si="52"/>
        <v>3600</v>
      </c>
      <c r="AA61" s="344">
        <f t="shared" si="52"/>
        <v>3600</v>
      </c>
    </row>
    <row r="62" spans="2:27" x14ac:dyDescent="0.25">
      <c r="B62" s="480"/>
      <c r="C62" s="477"/>
      <c r="D62" s="333" t="s">
        <v>168</v>
      </c>
      <c r="E62" s="47" t="s">
        <v>270</v>
      </c>
      <c r="F62" s="334">
        <f>F59*F61</f>
        <v>0</v>
      </c>
      <c r="G62" s="334">
        <f t="shared" ref="G62:W62" si="53">G59*G61</f>
        <v>0</v>
      </c>
      <c r="H62" s="334">
        <f t="shared" si="53"/>
        <v>0</v>
      </c>
      <c r="I62" s="334">
        <f t="shared" si="53"/>
        <v>0</v>
      </c>
      <c r="J62" s="334">
        <f t="shared" si="53"/>
        <v>0</v>
      </c>
      <c r="K62" s="334">
        <f t="shared" si="53"/>
        <v>0</v>
      </c>
      <c r="L62" s="334">
        <f t="shared" si="53"/>
        <v>0</v>
      </c>
      <c r="M62" s="334">
        <f t="shared" si="53"/>
        <v>0</v>
      </c>
      <c r="N62" s="334">
        <f t="shared" si="53"/>
        <v>0</v>
      </c>
      <c r="O62" s="334">
        <f t="shared" si="53"/>
        <v>0</v>
      </c>
      <c r="P62" s="334">
        <f t="shared" si="53"/>
        <v>0</v>
      </c>
      <c r="Q62" s="334">
        <f t="shared" si="53"/>
        <v>0</v>
      </c>
      <c r="R62" s="334">
        <f t="shared" si="53"/>
        <v>0</v>
      </c>
      <c r="S62" s="334">
        <f t="shared" si="53"/>
        <v>0</v>
      </c>
      <c r="T62" s="334">
        <f t="shared" si="53"/>
        <v>0</v>
      </c>
      <c r="U62" s="334">
        <f t="shared" si="53"/>
        <v>0</v>
      </c>
      <c r="V62" s="334">
        <f t="shared" si="53"/>
        <v>0</v>
      </c>
      <c r="W62" s="334">
        <f t="shared" si="53"/>
        <v>0</v>
      </c>
      <c r="X62" s="334">
        <f>X59*X61</f>
        <v>0</v>
      </c>
      <c r="Y62" s="334">
        <f>Y59*Y61</f>
        <v>0</v>
      </c>
      <c r="Z62" s="334">
        <f>Z59*Z61</f>
        <v>0</v>
      </c>
      <c r="AA62" s="344">
        <f>AA59*AA61</f>
        <v>0</v>
      </c>
    </row>
    <row r="63" spans="2:27" x14ac:dyDescent="0.25">
      <c r="B63" s="480"/>
      <c r="C63" s="478"/>
      <c r="D63" s="345" t="s">
        <v>168</v>
      </c>
      <c r="E63" s="110" t="s">
        <v>271</v>
      </c>
      <c r="F63" s="346">
        <f>F60*F61-F59*F61/2</f>
        <v>0</v>
      </c>
      <c r="G63" s="346">
        <f>G60*G61-G59*G61/2</f>
        <v>0</v>
      </c>
      <c r="H63" s="346">
        <f>H60*H61-H59*H61/2</f>
        <v>0</v>
      </c>
      <c r="I63" s="346">
        <f>I60*I61-I59*I61/2</f>
        <v>0</v>
      </c>
      <c r="J63" s="346">
        <f>J60*J61-J59*J61/2</f>
        <v>0</v>
      </c>
      <c r="K63" s="346">
        <f t="shared" ref="K63:W63" si="54">K60*K61-K59*K61/2</f>
        <v>0</v>
      </c>
      <c r="L63" s="346">
        <f t="shared" si="54"/>
        <v>0</v>
      </c>
      <c r="M63" s="346">
        <f t="shared" si="54"/>
        <v>0</v>
      </c>
      <c r="N63" s="346">
        <f t="shared" si="54"/>
        <v>0</v>
      </c>
      <c r="O63" s="346">
        <f t="shared" si="54"/>
        <v>0</v>
      </c>
      <c r="P63" s="346">
        <f t="shared" si="54"/>
        <v>0</v>
      </c>
      <c r="Q63" s="346">
        <f t="shared" si="54"/>
        <v>0</v>
      </c>
      <c r="R63" s="346">
        <f t="shared" si="54"/>
        <v>0</v>
      </c>
      <c r="S63" s="346">
        <f t="shared" si="54"/>
        <v>0</v>
      </c>
      <c r="T63" s="346">
        <f t="shared" si="54"/>
        <v>0</v>
      </c>
      <c r="U63" s="346">
        <f t="shared" si="54"/>
        <v>0</v>
      </c>
      <c r="V63" s="346">
        <f t="shared" si="54"/>
        <v>0</v>
      </c>
      <c r="W63" s="346">
        <f t="shared" si="54"/>
        <v>0</v>
      </c>
      <c r="X63" s="346">
        <f>X60*X61-X59*X61/2</f>
        <v>0</v>
      </c>
      <c r="Y63" s="346">
        <f>Y60*Y61-Y59*Y61/2</f>
        <v>0</v>
      </c>
      <c r="Z63" s="346">
        <f>Z60*Z61-Z59*Z61/2</f>
        <v>0</v>
      </c>
      <c r="AA63" s="347">
        <f>AA60*AA61-AA59*AA61/2</f>
        <v>0</v>
      </c>
    </row>
    <row r="64" spans="2:27" x14ac:dyDescent="0.25">
      <c r="B64" s="480"/>
      <c r="C64" s="352"/>
      <c r="D64" s="333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44"/>
    </row>
    <row r="65" spans="2:27" x14ac:dyDescent="0.25">
      <c r="B65" s="480"/>
      <c r="C65" s="67"/>
      <c r="D65" s="47" t="s">
        <v>274</v>
      </c>
      <c r="F65" s="353">
        <f t="shared" ref="F65:L65" si="55">F68/F69</f>
        <v>7.7972709551656916E-3</v>
      </c>
      <c r="G65" s="353">
        <f t="shared" si="55"/>
        <v>8.7780898876404501E-3</v>
      </c>
      <c r="H65" s="353">
        <f t="shared" si="55"/>
        <v>8.4348641049671984E-3</v>
      </c>
      <c r="I65" s="353">
        <f t="shared" si="55"/>
        <v>7.2125583368689008E-3</v>
      </c>
      <c r="J65" s="353">
        <f t="shared" si="55"/>
        <v>6.4257028112449802E-3</v>
      </c>
      <c r="K65" s="353">
        <f>K68/K69</f>
        <v>7.9945568974315352E-3</v>
      </c>
      <c r="L65" s="353">
        <f t="shared" si="55"/>
        <v>9.5677133165173525E-3</v>
      </c>
      <c r="M65" s="353">
        <f>M68/M69</f>
        <v>8.3701620463372175E-3</v>
      </c>
      <c r="N65" s="353">
        <f>AVERAGE(K65:M65)</f>
        <v>8.6441440867620345E-3</v>
      </c>
      <c r="O65" s="353">
        <f t="shared" ref="O65:W65" si="56">N65</f>
        <v>8.6441440867620345E-3</v>
      </c>
      <c r="P65" s="353">
        <f t="shared" si="56"/>
        <v>8.6441440867620345E-3</v>
      </c>
      <c r="Q65" s="353">
        <f t="shared" si="56"/>
        <v>8.6441440867620345E-3</v>
      </c>
      <c r="R65" s="353">
        <f t="shared" si="56"/>
        <v>8.6441440867620345E-3</v>
      </c>
      <c r="S65" s="353">
        <f t="shared" si="56"/>
        <v>8.6441440867620345E-3</v>
      </c>
      <c r="T65" s="353">
        <f t="shared" si="56"/>
        <v>8.6441440867620345E-3</v>
      </c>
      <c r="U65" s="353">
        <f t="shared" si="56"/>
        <v>8.6441440867620345E-3</v>
      </c>
      <c r="V65" s="353">
        <f t="shared" si="56"/>
        <v>8.6441440867620345E-3</v>
      </c>
      <c r="W65" s="353">
        <f t="shared" si="56"/>
        <v>8.6441440867620345E-3</v>
      </c>
      <c r="X65" s="353">
        <f>W65</f>
        <v>8.6441440867620345E-3</v>
      </c>
      <c r="Y65" s="353">
        <f>X65</f>
        <v>8.6441440867620345E-3</v>
      </c>
      <c r="Z65" s="353">
        <f>Y65</f>
        <v>8.6441440867620345E-3</v>
      </c>
      <c r="AA65" s="355">
        <f>Z65</f>
        <v>8.6441440867620345E-3</v>
      </c>
    </row>
    <row r="66" spans="2:27" x14ac:dyDescent="0.25">
      <c r="B66" s="480"/>
      <c r="C66" s="67"/>
      <c r="D66" s="316" t="s">
        <v>275</v>
      </c>
      <c r="F66" s="356">
        <f t="shared" ref="F66:M66" si="57">F69/F83</f>
        <v>5.760937921121193E-3</v>
      </c>
      <c r="G66" s="356">
        <f t="shared" si="57"/>
        <v>1.0699178277061632E-2</v>
      </c>
      <c r="H66" s="356">
        <f t="shared" si="57"/>
        <v>4.0209577190203488E-3</v>
      </c>
      <c r="I66" s="356">
        <f t="shared" si="57"/>
        <v>3.9242390439308324E-3</v>
      </c>
      <c r="J66" s="356">
        <f t="shared" si="57"/>
        <v>7.9405700946649886E-3</v>
      </c>
      <c r="K66" s="356">
        <f t="shared" si="57"/>
        <v>9.8890156064444287E-3</v>
      </c>
      <c r="L66" s="356">
        <f t="shared" si="57"/>
        <v>1.6982174403696284E-2</v>
      </c>
      <c r="M66" s="356">
        <f t="shared" si="57"/>
        <v>2.1355977285499986E-2</v>
      </c>
      <c r="N66" s="357">
        <f>N82*($M$66/($M$29+$M$66))</f>
        <v>2.6775464615163481E-2</v>
      </c>
      <c r="O66" s="357">
        <f>O82*($M$66/($M$29+$M$66))</f>
        <v>3.3570250416244861E-2</v>
      </c>
      <c r="P66" s="357">
        <f>P82*($M$66/($M$29+$M$66))</f>
        <v>4.2089342956579998E-2</v>
      </c>
      <c r="Q66" s="357">
        <f>Q82*($M$66/($M$29+$M$66))</f>
        <v>5.2770318021201412E-2</v>
      </c>
      <c r="R66" s="357">
        <f t="shared" ref="R66:W66" si="58">R82*($M$66/($M$29+$M$66))</f>
        <v>6.068586572438163E-2</v>
      </c>
      <c r="S66" s="357">
        <f t="shared" si="58"/>
        <v>8.9709540636042404E-2</v>
      </c>
      <c r="T66" s="357">
        <f t="shared" si="58"/>
        <v>0.11345618374558303</v>
      </c>
      <c r="U66" s="357">
        <f>U82*($M$66/($M$29+$M$66))</f>
        <v>0.15831095406360424</v>
      </c>
      <c r="V66" s="357">
        <f t="shared" si="58"/>
        <v>0.17941908127208478</v>
      </c>
      <c r="W66" s="357">
        <f t="shared" si="58"/>
        <v>0.20052720848056535</v>
      </c>
      <c r="X66" s="357">
        <f>X82*($M$66/($M$29+$M$66))</f>
        <v>0.22163533568904589</v>
      </c>
      <c r="Y66" s="357">
        <f>Y82*($M$66/($M$29+$M$66))</f>
        <v>0.24274346289752644</v>
      </c>
      <c r="Z66" s="357">
        <f>Z82*($M$66/($M$29+$M$66))</f>
        <v>0.26385159010600706</v>
      </c>
      <c r="AA66" s="358">
        <f>AA82*($M$66/($M$29+$M$66))</f>
        <v>0.26385159010600706</v>
      </c>
    </row>
    <row r="67" spans="2:27" x14ac:dyDescent="0.25">
      <c r="B67" s="480"/>
      <c r="C67" s="67"/>
      <c r="F67" s="356"/>
      <c r="G67" s="356"/>
      <c r="H67" s="356"/>
      <c r="I67" s="356"/>
      <c r="J67" s="356"/>
      <c r="K67" s="356"/>
      <c r="L67" s="356"/>
      <c r="M67" s="322"/>
      <c r="N67" s="322"/>
      <c r="O67" s="322"/>
      <c r="AA67" s="86"/>
    </row>
    <row r="68" spans="2:27" x14ac:dyDescent="0.25">
      <c r="B68" s="480"/>
      <c r="C68" s="67"/>
      <c r="D68" s="333" t="s">
        <v>168</v>
      </c>
      <c r="E68" s="47" t="s">
        <v>276</v>
      </c>
      <c r="F68" s="92">
        <f t="shared" ref="F68:N68" si="59">F46</f>
        <v>36</v>
      </c>
      <c r="G68" s="92">
        <f t="shared" si="59"/>
        <v>75</v>
      </c>
      <c r="H68" s="92">
        <f t="shared" si="59"/>
        <v>27</v>
      </c>
      <c r="I68" s="92">
        <f t="shared" si="59"/>
        <v>17</v>
      </c>
      <c r="J68" s="92">
        <f t="shared" si="59"/>
        <v>32</v>
      </c>
      <c r="K68" s="92">
        <f t="shared" si="59"/>
        <v>47</v>
      </c>
      <c r="L68" s="92">
        <f t="shared" si="59"/>
        <v>110</v>
      </c>
      <c r="M68" s="92">
        <f t="shared" si="59"/>
        <v>125</v>
      </c>
      <c r="N68" s="92">
        <f t="shared" si="59"/>
        <v>165.08814264870483</v>
      </c>
      <c r="O68" s="92">
        <f t="shared" ref="O68:W68" si="60">O46</f>
        <v>211.12206180197612</v>
      </c>
      <c r="P68" s="92">
        <f t="shared" si="60"/>
        <v>269.9922857231752</v>
      </c>
      <c r="Q68" s="92">
        <f t="shared" si="60"/>
        <v>345.27814728523254</v>
      </c>
      <c r="R68" s="92">
        <f t="shared" si="60"/>
        <v>405.01126676557789</v>
      </c>
      <c r="S68" s="92">
        <f t="shared" si="60"/>
        <v>610.68655354044506</v>
      </c>
      <c r="T68" s="92">
        <f t="shared" si="60"/>
        <v>787.78565406717428</v>
      </c>
      <c r="U68" s="92">
        <f t="shared" si="60"/>
        <v>1121.2205123002575</v>
      </c>
      <c r="V68" s="92">
        <f t="shared" si="60"/>
        <v>1296.1309122190974</v>
      </c>
      <c r="W68" s="92">
        <f t="shared" si="60"/>
        <v>1477.5892399297709</v>
      </c>
      <c r="X68" s="92">
        <f>X46</f>
        <v>1665.7874483839839</v>
      </c>
      <c r="Y68" s="92">
        <f>Y46</f>
        <v>1860.9225494803934</v>
      </c>
      <c r="Z68" s="92">
        <f>Z46</f>
        <v>2063.1967396413061</v>
      </c>
      <c r="AA68" s="93">
        <f>AA46</f>
        <v>2104.4606744341322</v>
      </c>
    </row>
    <row r="69" spans="2:27" x14ac:dyDescent="0.25">
      <c r="B69" s="480"/>
      <c r="C69" s="67"/>
      <c r="D69" s="316" t="s">
        <v>209</v>
      </c>
      <c r="E69" s="47" t="s">
        <v>276</v>
      </c>
      <c r="F69" s="334">
        <f>SUMIFS('EV Data'!$AU:$AU,'EV Data'!$AE:$AE,'EV Forecast'!F44)</f>
        <v>4617</v>
      </c>
      <c r="G69" s="334">
        <f>SUMIFS('EV Data'!$AU:$AU,'EV Data'!$AE:$AE,'EV Forecast'!G44)</f>
        <v>8544</v>
      </c>
      <c r="H69" s="334">
        <f>SUMIFS('EV Data'!$AU:$AU,'EV Data'!$AE:$AE,'EV Forecast'!H44)</f>
        <v>3201</v>
      </c>
      <c r="I69" s="334">
        <f>SUMIFS('EV Data'!$AU:$AU,'EV Data'!$AE:$AE,'EV Forecast'!I44)</f>
        <v>2357</v>
      </c>
      <c r="J69" s="334">
        <f>SUMIFS('EV Data'!$AU:$AU,'EV Data'!$AE:$AE,'EV Forecast'!J44)</f>
        <v>4980</v>
      </c>
      <c r="K69" s="334">
        <f>SUMIFS('EV Data'!$AU:$AU,'EV Data'!$AE:$AE,'EV Forecast'!K44)</f>
        <v>5879</v>
      </c>
      <c r="L69" s="334">
        <f>SUMIFS('EV Data'!$AU:$AU,'EV Data'!$AE:$AE,'EV Forecast'!L44)</f>
        <v>11497</v>
      </c>
      <c r="M69" s="334">
        <f>SUMIFS('EV Data'!$AU:$AU,'EV Data'!$AE:$AE,'EV Forecast'!M44)</f>
        <v>14934</v>
      </c>
      <c r="N69" s="92">
        <f>N66*N83</f>
        <v>19098.263632778519</v>
      </c>
      <c r="O69" s="92">
        <f t="shared" ref="O69:W69" si="61">O66*O83</f>
        <v>24423.709239795804</v>
      </c>
      <c r="P69" s="92">
        <f t="shared" si="61"/>
        <v>31234.126017942195</v>
      </c>
      <c r="Q69" s="92">
        <f t="shared" si="61"/>
        <v>39943.589997996962</v>
      </c>
      <c r="R69" s="92">
        <f t="shared" si="61"/>
        <v>46853.831067650448</v>
      </c>
      <c r="S69" s="92">
        <f t="shared" si="61"/>
        <v>70647.428757657268</v>
      </c>
      <c r="T69" s="92">
        <f t="shared" si="61"/>
        <v>91135.183097377885</v>
      </c>
      <c r="U69" s="92">
        <f t="shared" si="61"/>
        <v>129708.67919905877</v>
      </c>
      <c r="V69" s="92">
        <f t="shared" si="61"/>
        <v>149943.23315411192</v>
      </c>
      <c r="W69" s="92">
        <f t="shared" si="61"/>
        <v>170935.28579568758</v>
      </c>
      <c r="X69" s="92">
        <f>X66*X83</f>
        <v>192707.04324966462</v>
      </c>
      <c r="Y69" s="92">
        <f>Y66*Y83</f>
        <v>215281.29688748246</v>
      </c>
      <c r="Z69" s="92">
        <f>Z66*Z83</f>
        <v>238681.43785351323</v>
      </c>
      <c r="AA69" s="93">
        <f>AA66*AA83</f>
        <v>243455.06661058348</v>
      </c>
    </row>
    <row r="70" spans="2:27" x14ac:dyDescent="0.25">
      <c r="B70" s="480"/>
      <c r="C70" s="67"/>
      <c r="D70" s="316" t="s">
        <v>209</v>
      </c>
      <c r="E70" s="47" t="s">
        <v>277</v>
      </c>
      <c r="F70" s="334">
        <f>SUMIFS('EV Data'!$AV$6:$AV$33,'EV Data'!$AE$6:$AE$33,'EV Forecast'!F44)</f>
        <v>3659</v>
      </c>
      <c r="G70" s="334">
        <f>SUMIFS('EV Data'!$AV$6:$AV$33,'EV Data'!$AE$6:$AE$33,'EV Forecast'!G44)</f>
        <v>5517</v>
      </c>
      <c r="H70" s="334">
        <f>SUMIFS('EV Data'!$AV$6:$AV$33,'EV Data'!$AE$6:$AE$33,'EV Forecast'!H44)</f>
        <v>1864</v>
      </c>
      <c r="I70" s="334">
        <f>SUMIFS('EV Data'!$AV$6:$AV$33,'EV Data'!$AE$6:$AE$33,'EV Forecast'!I44)</f>
        <v>1006</v>
      </c>
      <c r="J70" s="334">
        <f>SUMIFS('EV Data'!$AV$6:$AV$33,'EV Data'!$AE$6:$AE$33,'EV Forecast'!J44)</f>
        <v>1030</v>
      </c>
      <c r="K70" s="334">
        <f>SUMIFS('EV Data'!$AV$6:$AV$33,'EV Data'!$AE$6:$AE$33,'EV Forecast'!K44)</f>
        <v>795</v>
      </c>
      <c r="L70" s="334">
        <f>SUMIFS('EV Data'!$AV:$AV,'EV Data'!$AE:$AE,'EV Forecast'!L44)</f>
        <v>827</v>
      </c>
      <c r="M70" s="334">
        <f>SUMIFS('EV Data'!$AV:$AV,'EV Data'!$AE:$AE,'EV Forecast'!M44)</f>
        <v>1360</v>
      </c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44"/>
    </row>
    <row r="71" spans="2:27" x14ac:dyDescent="0.25">
      <c r="B71" s="480"/>
      <c r="C71" s="67"/>
      <c r="D71" s="316" t="s">
        <v>209</v>
      </c>
      <c r="E71" s="47" t="s">
        <v>278</v>
      </c>
      <c r="F71" s="334">
        <f>SUMIFS('EV Data'!$AX$6:$AX$33,'EV Data'!$AE$6:$AE$33,'EV Forecast'!F44)</f>
        <v>436</v>
      </c>
      <c r="G71" s="334">
        <f>SUMIFS('EV Data'!$AX$6:$AX$33,'EV Data'!$AE$6:$AE$33,'EV Forecast'!G44)</f>
        <v>2152</v>
      </c>
      <c r="H71" s="334">
        <f>SUMIFS('EV Data'!$AX$6:$AX$33,'EV Data'!$AE$6:$AE$33,'EV Forecast'!H44)</f>
        <v>1245</v>
      </c>
      <c r="I71" s="334">
        <f>SUMIFS('EV Data'!$AX$6:$AX$33,'EV Data'!$AE$6:$AE$33,'EV Forecast'!I44)</f>
        <v>1216</v>
      </c>
      <c r="J71" s="334">
        <f>SUMIFS('EV Data'!$AX$6:$AX$33,'EV Data'!$AE$6:$AE$33,'EV Forecast'!J44)</f>
        <v>3668</v>
      </c>
      <c r="K71" s="334">
        <f>SUMIFS('EV Data'!$AX$6:$AX$33,'EV Data'!$AE$6:$AE$33,'EV Forecast'!K44)</f>
        <v>4565</v>
      </c>
      <c r="L71" s="334">
        <f>SUMIFS('EV Data'!$AX:$AX,'EV Data'!$AE:$AE,'EV Forecast'!L44)</f>
        <v>10050</v>
      </c>
      <c r="M71" s="334">
        <f>SUMIFS('EV Data'!$AX:$AX,'EV Data'!$AE:$AE,'EV Forecast'!M44)</f>
        <v>13220</v>
      </c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44"/>
    </row>
    <row r="72" spans="2:27" x14ac:dyDescent="0.25">
      <c r="B72" s="480"/>
      <c r="C72" s="67"/>
      <c r="D72" s="316" t="s">
        <v>209</v>
      </c>
      <c r="E72" s="47" t="s">
        <v>279</v>
      </c>
      <c r="F72" s="334">
        <f>SUMIFS('EV Data'!$AY$6:$AY$33,'EV Data'!$AE$6:$AE$33,'EV Forecast'!F44)</f>
        <v>522</v>
      </c>
      <c r="G72" s="334">
        <f>SUMIFS('EV Data'!$AY$6:$AY$33,'EV Data'!$AE$6:$AE$33,'EV Forecast'!G44)</f>
        <v>875</v>
      </c>
      <c r="H72" s="334">
        <f>SUMIFS('EV Data'!$AY$6:$AY$33,'EV Data'!$AE$6:$AE$33,'EV Forecast'!H44)</f>
        <v>92</v>
      </c>
      <c r="I72" s="334">
        <f>SUMIFS('EV Data'!$AY$6:$AY$33,'EV Data'!$AE$6:$AE$33,'EV Forecast'!I44)</f>
        <v>135</v>
      </c>
      <c r="J72" s="334">
        <f>SUMIFS('EV Data'!$AY$6:$AY$33,'EV Data'!$AE$6:$AE$33,'EV Forecast'!J44)</f>
        <v>282</v>
      </c>
      <c r="K72" s="334">
        <f>SUMIFS('EV Data'!$AY$6:$AY$33,'EV Data'!$AE$6:$AE$33,'EV Forecast'!K44)</f>
        <v>519</v>
      </c>
      <c r="L72" s="334">
        <f>SUMIFS('EV Data'!$AY:$AY,'EV Data'!$AE:$AE,'EV Forecast'!L44)</f>
        <v>620</v>
      </c>
      <c r="M72" s="334">
        <f>SUMIFS('EV Data'!$AY:$AY,'EV Data'!$AE:$AE,'EV Forecast'!M44)</f>
        <v>354</v>
      </c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44"/>
    </row>
    <row r="73" spans="2:27" x14ac:dyDescent="0.25">
      <c r="B73" s="480"/>
      <c r="C73" s="67"/>
      <c r="D73" s="316" t="s">
        <v>209</v>
      </c>
      <c r="E73" s="47" t="s">
        <v>280</v>
      </c>
      <c r="F73" s="334">
        <f>SUMIFS('EV Data'!$AW$6:$AW$33,'EV Data'!$AE$6:$AE$33,'EV Forecast'!F44)</f>
        <v>0</v>
      </c>
      <c r="G73" s="334">
        <f>SUMIFS('EV Data'!$AW$6:$AW$33,'EV Data'!$AE$6:$AE$33,'EV Forecast'!G44)</f>
        <v>0</v>
      </c>
      <c r="H73" s="334">
        <f>SUMIFS('EV Data'!$AW$6:$AW$33,'EV Data'!$AE$6:$AE$33,'EV Forecast'!H44)</f>
        <v>0</v>
      </c>
      <c r="I73" s="334">
        <f>SUMIFS('EV Data'!$AW$6:$AW$33,'EV Data'!$AE$6:$AE$33,'EV Forecast'!I44)</f>
        <v>0</v>
      </c>
      <c r="J73" s="334">
        <f>SUMIFS('EV Data'!$AW$6:$AW$33,'EV Data'!$AE$6:$AE$33,'EV Forecast'!J44)</f>
        <v>0</v>
      </c>
      <c r="K73" s="334">
        <f>SUMIFS('EV Data'!$AW$6:$AW$33,'EV Data'!$AE$6:$AE$33,'EV Forecast'!K44)</f>
        <v>0</v>
      </c>
      <c r="L73" s="334">
        <f>SUMIFS('EV Data'!$AW:$AW,'EV Data'!$AE:$AE,'EV Forecast'!L44)</f>
        <v>0</v>
      </c>
      <c r="M73" s="334">
        <f>SUMIFS('EV Data'!$AW:$AW,'EV Data'!$AE:$AE,'EV Forecast'!M44)</f>
        <v>0</v>
      </c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44"/>
    </row>
    <row r="74" spans="2:27" x14ac:dyDescent="0.25">
      <c r="B74" s="480"/>
      <c r="C74" s="67"/>
      <c r="D74" s="316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44"/>
    </row>
    <row r="75" spans="2:27" x14ac:dyDescent="0.25">
      <c r="B75" s="480"/>
      <c r="C75" s="67"/>
      <c r="D75" s="316" t="s">
        <v>209</v>
      </c>
      <c r="E75" s="47" t="s">
        <v>281</v>
      </c>
      <c r="F75" s="356">
        <f>F70/F$69</f>
        <v>0.79250595624864628</v>
      </c>
      <c r="G75" s="356">
        <f t="shared" ref="G75:L75" si="62">G70/G$69</f>
        <v>0.6457162921348315</v>
      </c>
      <c r="H75" s="356">
        <f t="shared" si="62"/>
        <v>0.58231802561699464</v>
      </c>
      <c r="I75" s="356">
        <f t="shared" si="62"/>
        <v>0.42681374628765378</v>
      </c>
      <c r="J75" s="356">
        <f t="shared" si="62"/>
        <v>0.20682730923694778</v>
      </c>
      <c r="K75" s="356">
        <f t="shared" si="62"/>
        <v>0.13522707943527812</v>
      </c>
      <c r="L75" s="356">
        <f t="shared" si="62"/>
        <v>7.1931808297816827E-2</v>
      </c>
      <c r="M75" s="356">
        <f>M70/M$69</f>
        <v>9.1067363064148921E-2</v>
      </c>
      <c r="N75" s="322">
        <f>AVERAGE(L75:M75)</f>
        <v>8.1499585680982867E-2</v>
      </c>
      <c r="O75" s="322">
        <f t="shared" ref="O75:AA75" si="63">N75</f>
        <v>8.1499585680982867E-2</v>
      </c>
      <c r="P75" s="322">
        <f t="shared" si="63"/>
        <v>8.1499585680982867E-2</v>
      </c>
      <c r="Q75" s="322">
        <f t="shared" si="63"/>
        <v>8.1499585680982867E-2</v>
      </c>
      <c r="R75" s="322">
        <f t="shared" si="63"/>
        <v>8.1499585680982867E-2</v>
      </c>
      <c r="S75" s="322">
        <f t="shared" si="63"/>
        <v>8.1499585680982867E-2</v>
      </c>
      <c r="T75" s="322">
        <f t="shared" si="63"/>
        <v>8.1499585680982867E-2</v>
      </c>
      <c r="U75" s="322">
        <f t="shared" si="63"/>
        <v>8.1499585680982867E-2</v>
      </c>
      <c r="V75" s="322">
        <f t="shared" si="63"/>
        <v>8.1499585680982867E-2</v>
      </c>
      <c r="W75" s="322">
        <f t="shared" si="63"/>
        <v>8.1499585680982867E-2</v>
      </c>
      <c r="X75" s="322">
        <f t="shared" si="63"/>
        <v>8.1499585680982867E-2</v>
      </c>
      <c r="Y75" s="322">
        <f t="shared" si="63"/>
        <v>8.1499585680982867E-2</v>
      </c>
      <c r="Z75" s="322">
        <f t="shared" si="63"/>
        <v>8.1499585680982867E-2</v>
      </c>
      <c r="AA75" s="360">
        <f t="shared" si="63"/>
        <v>8.1499585680982867E-2</v>
      </c>
    </row>
    <row r="76" spans="2:27" x14ac:dyDescent="0.25">
      <c r="B76" s="480"/>
      <c r="C76" s="67"/>
      <c r="D76" s="316" t="s">
        <v>209</v>
      </c>
      <c r="E76" s="47" t="s">
        <v>282</v>
      </c>
      <c r="F76" s="356">
        <f>F71/F$69</f>
        <v>9.4433614901451163E-2</v>
      </c>
      <c r="G76" s="356">
        <f t="shared" ref="G76:L76" si="64">G71/G$69</f>
        <v>0.25187265917602997</v>
      </c>
      <c r="H76" s="356">
        <f t="shared" si="64"/>
        <v>0.38894095595126521</v>
      </c>
      <c r="I76" s="356">
        <f t="shared" si="64"/>
        <v>0.51591005515485788</v>
      </c>
      <c r="J76" s="356">
        <f t="shared" si="64"/>
        <v>0.73654618473895583</v>
      </c>
      <c r="K76" s="356">
        <f t="shared" si="64"/>
        <v>0.77649260078244597</v>
      </c>
      <c r="L76" s="356">
        <f t="shared" si="64"/>
        <v>0.8741410802818127</v>
      </c>
      <c r="M76" s="356">
        <f>M71/M$69</f>
        <v>0.88522833802062406</v>
      </c>
      <c r="N76" s="322">
        <f>AVERAGE(L76:M76)</f>
        <v>0.87968470915121832</v>
      </c>
      <c r="O76" s="322">
        <f t="shared" ref="O76:AA76" si="65">N76</f>
        <v>0.87968470915121832</v>
      </c>
      <c r="P76" s="322">
        <f t="shared" si="65"/>
        <v>0.87968470915121832</v>
      </c>
      <c r="Q76" s="322">
        <f t="shared" si="65"/>
        <v>0.87968470915121832</v>
      </c>
      <c r="R76" s="322">
        <f t="shared" si="65"/>
        <v>0.87968470915121832</v>
      </c>
      <c r="S76" s="322">
        <f t="shared" si="65"/>
        <v>0.87968470915121832</v>
      </c>
      <c r="T76" s="322">
        <f t="shared" si="65"/>
        <v>0.87968470915121832</v>
      </c>
      <c r="U76" s="322">
        <f t="shared" si="65"/>
        <v>0.87968470915121832</v>
      </c>
      <c r="V76" s="322">
        <f t="shared" si="65"/>
        <v>0.87968470915121832</v>
      </c>
      <c r="W76" s="322">
        <f t="shared" si="65"/>
        <v>0.87968470915121832</v>
      </c>
      <c r="X76" s="322">
        <f t="shared" si="65"/>
        <v>0.87968470915121832</v>
      </c>
      <c r="Y76" s="322">
        <f t="shared" si="65"/>
        <v>0.87968470915121832</v>
      </c>
      <c r="Z76" s="322">
        <f t="shared" si="65"/>
        <v>0.87968470915121832</v>
      </c>
      <c r="AA76" s="360">
        <f t="shared" si="65"/>
        <v>0.87968470915121832</v>
      </c>
    </row>
    <row r="77" spans="2:27" x14ac:dyDescent="0.25">
      <c r="B77" s="480"/>
      <c r="C77" s="67"/>
      <c r="D77" s="316" t="s">
        <v>209</v>
      </c>
      <c r="E77" s="47" t="s">
        <v>283</v>
      </c>
      <c r="F77" s="356">
        <f>F72/F$69</f>
        <v>0.11306042884990253</v>
      </c>
      <c r="G77" s="356">
        <f t="shared" ref="G77:L77" si="66">G72/G$69</f>
        <v>0.10241104868913857</v>
      </c>
      <c r="H77" s="356">
        <f t="shared" si="66"/>
        <v>2.8741018431740081E-2</v>
      </c>
      <c r="I77" s="356">
        <f t="shared" si="66"/>
        <v>5.7276198557488334E-2</v>
      </c>
      <c r="J77" s="356">
        <f t="shared" si="66"/>
        <v>5.6626506024096385E-2</v>
      </c>
      <c r="K77" s="356">
        <f t="shared" si="66"/>
        <v>8.8280319782275893E-2</v>
      </c>
      <c r="L77" s="356">
        <f t="shared" si="66"/>
        <v>5.392711142037053E-2</v>
      </c>
      <c r="M77" s="356">
        <f>M72/M$69</f>
        <v>2.3704298915227E-2</v>
      </c>
      <c r="N77" s="322">
        <f>AVERAGE(L77:M77)</f>
        <v>3.8815705167798767E-2</v>
      </c>
      <c r="O77" s="322">
        <f t="shared" ref="O77:AA77" si="67">N77</f>
        <v>3.8815705167798767E-2</v>
      </c>
      <c r="P77" s="322">
        <f t="shared" si="67"/>
        <v>3.8815705167798767E-2</v>
      </c>
      <c r="Q77" s="322">
        <f t="shared" si="67"/>
        <v>3.8815705167798767E-2</v>
      </c>
      <c r="R77" s="322">
        <f t="shared" si="67"/>
        <v>3.8815705167798767E-2</v>
      </c>
      <c r="S77" s="322">
        <f t="shared" si="67"/>
        <v>3.8815705167798767E-2</v>
      </c>
      <c r="T77" s="322">
        <f t="shared" si="67"/>
        <v>3.8815705167798767E-2</v>
      </c>
      <c r="U77" s="322">
        <f t="shared" si="67"/>
        <v>3.8815705167798767E-2</v>
      </c>
      <c r="V77" s="322">
        <f t="shared" si="67"/>
        <v>3.8815705167798767E-2</v>
      </c>
      <c r="W77" s="322">
        <f t="shared" si="67"/>
        <v>3.8815705167798767E-2</v>
      </c>
      <c r="X77" s="322">
        <f t="shared" si="67"/>
        <v>3.8815705167798767E-2</v>
      </c>
      <c r="Y77" s="322">
        <f t="shared" si="67"/>
        <v>3.8815705167798767E-2</v>
      </c>
      <c r="Z77" s="322">
        <f t="shared" si="67"/>
        <v>3.8815705167798767E-2</v>
      </c>
      <c r="AA77" s="360">
        <f t="shared" si="67"/>
        <v>3.8815705167798767E-2</v>
      </c>
    </row>
    <row r="78" spans="2:27" x14ac:dyDescent="0.25">
      <c r="B78" s="480"/>
      <c r="C78" s="67"/>
      <c r="D78" s="316" t="s">
        <v>209</v>
      </c>
      <c r="E78" s="47" t="s">
        <v>284</v>
      </c>
      <c r="F78" s="356">
        <f>F73/F$69</f>
        <v>0</v>
      </c>
      <c r="G78" s="356">
        <f t="shared" ref="G78:L78" si="68">G73/G$69</f>
        <v>0</v>
      </c>
      <c r="H78" s="356">
        <f t="shared" si="68"/>
        <v>0</v>
      </c>
      <c r="I78" s="356">
        <f t="shared" si="68"/>
        <v>0</v>
      </c>
      <c r="J78" s="356">
        <f t="shared" si="68"/>
        <v>0</v>
      </c>
      <c r="K78" s="356">
        <f t="shared" si="68"/>
        <v>0</v>
      </c>
      <c r="L78" s="356">
        <f t="shared" si="68"/>
        <v>0</v>
      </c>
      <c r="M78" s="356">
        <f>M73/M$69</f>
        <v>0</v>
      </c>
      <c r="N78" s="322">
        <f>AVERAGE(L78:M78)</f>
        <v>0</v>
      </c>
      <c r="O78" s="322">
        <f t="shared" ref="O78:AA78" si="69">N78</f>
        <v>0</v>
      </c>
      <c r="P78" s="322">
        <f t="shared" si="69"/>
        <v>0</v>
      </c>
      <c r="Q78" s="322">
        <f t="shared" si="69"/>
        <v>0</v>
      </c>
      <c r="R78" s="322">
        <f t="shared" si="69"/>
        <v>0</v>
      </c>
      <c r="S78" s="322">
        <f t="shared" si="69"/>
        <v>0</v>
      </c>
      <c r="T78" s="322">
        <f t="shared" si="69"/>
        <v>0</v>
      </c>
      <c r="U78" s="322">
        <f t="shared" si="69"/>
        <v>0</v>
      </c>
      <c r="V78" s="322">
        <f t="shared" si="69"/>
        <v>0</v>
      </c>
      <c r="W78" s="322">
        <f t="shared" si="69"/>
        <v>0</v>
      </c>
      <c r="X78" s="322">
        <f t="shared" si="69"/>
        <v>0</v>
      </c>
      <c r="Y78" s="322">
        <f t="shared" si="69"/>
        <v>0</v>
      </c>
      <c r="Z78" s="322">
        <f t="shared" si="69"/>
        <v>0</v>
      </c>
      <c r="AA78" s="360">
        <f t="shared" si="69"/>
        <v>0</v>
      </c>
    </row>
    <row r="79" spans="2:27" x14ac:dyDescent="0.25">
      <c r="B79" s="480"/>
      <c r="C79" s="67"/>
      <c r="F79" s="356"/>
      <c r="G79" s="356"/>
      <c r="H79" s="356"/>
      <c r="I79" s="356"/>
      <c r="J79" s="356"/>
      <c r="K79" s="356"/>
      <c r="L79" s="356"/>
      <c r="AA79" s="86"/>
    </row>
    <row r="80" spans="2:27" x14ac:dyDescent="0.25">
      <c r="B80" s="481"/>
      <c r="C80" s="96"/>
      <c r="D80" s="110"/>
      <c r="E80" s="110"/>
      <c r="F80" s="361"/>
      <c r="G80" s="361"/>
      <c r="H80" s="361"/>
      <c r="I80" s="361"/>
      <c r="J80" s="361"/>
      <c r="K80" s="361"/>
      <c r="L80" s="361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1"/>
    </row>
    <row r="81" spans="2:27" x14ac:dyDescent="0.25">
      <c r="B81" s="362"/>
      <c r="C81" s="63"/>
      <c r="D81" s="64"/>
      <c r="E81" s="363" t="s">
        <v>286</v>
      </c>
      <c r="F81" s="364"/>
      <c r="G81" s="364"/>
      <c r="H81" s="364"/>
      <c r="I81" s="364"/>
      <c r="J81" s="364"/>
      <c r="K81" s="364"/>
      <c r="L81" s="364"/>
      <c r="M81" s="365"/>
      <c r="N81" s="365"/>
      <c r="O81" s="365">
        <v>0.2</v>
      </c>
      <c r="P81" s="365">
        <v>0.23</v>
      </c>
      <c r="Q81" s="365">
        <v>0.34</v>
      </c>
      <c r="R81" s="365">
        <v>0.43</v>
      </c>
      <c r="S81" s="365">
        <v>0.6</v>
      </c>
      <c r="T81" s="365">
        <v>0.67999999999999994</v>
      </c>
      <c r="U81" s="365">
        <v>0.7599999999999999</v>
      </c>
      <c r="V81" s="365">
        <v>0.83999999999999986</v>
      </c>
      <c r="W81" s="365">
        <v>0.91999999999999982</v>
      </c>
      <c r="X81" s="365">
        <v>1</v>
      </c>
      <c r="Y81" s="365">
        <f>X81</f>
        <v>1</v>
      </c>
      <c r="Z81" s="365">
        <f>Y81</f>
        <v>1</v>
      </c>
      <c r="AA81" s="366">
        <f>Z81</f>
        <v>1</v>
      </c>
    </row>
    <row r="82" spans="2:27" x14ac:dyDescent="0.25">
      <c r="B82" s="367"/>
      <c r="C82" s="67"/>
      <c r="E82" s="368" t="s">
        <v>287</v>
      </c>
      <c r="F82" s="354">
        <f t="shared" ref="F82:M82" si="70">(F69+F32)/F83</f>
        <v>1.0206729953383443E-2</v>
      </c>
      <c r="G82" s="354">
        <f t="shared" si="70"/>
        <v>2.0985115820107543E-2</v>
      </c>
      <c r="H82" s="354">
        <f t="shared" si="70"/>
        <v>1.2262602078436938E-2</v>
      </c>
      <c r="I82" s="354">
        <f t="shared" si="70"/>
        <v>1.7506734640192066E-2</v>
      </c>
      <c r="J82" s="354">
        <f t="shared" si="70"/>
        <v>3.143700401333633E-2</v>
      </c>
      <c r="K82" s="354">
        <f t="shared" si="70"/>
        <v>6.503301945506966E-2</v>
      </c>
      <c r="L82" s="354">
        <f t="shared" si="70"/>
        <v>7.4049784048543288E-2</v>
      </c>
      <c r="M82" s="354">
        <f t="shared" si="70"/>
        <v>8.0939354115394352E-2</v>
      </c>
      <c r="N82" s="354">
        <f>M82*(($Q$82/$M$82)^(1/4))</f>
        <v>0.10147926190024462</v>
      </c>
      <c r="O82" s="354">
        <f>N82*(($Q$82/$M$82)^(1/4))</f>
        <v>0.12723156378461625</v>
      </c>
      <c r="P82" s="354">
        <f>O82*(($Q$82/$M$82)^(1/4))</f>
        <v>0.15951900437541369</v>
      </c>
      <c r="Q82" s="354">
        <f>O81</f>
        <v>0.2</v>
      </c>
      <c r="R82" s="354">
        <f>P81</f>
        <v>0.23</v>
      </c>
      <c r="S82" s="354">
        <f t="shared" ref="S82:AA82" si="71">Q81</f>
        <v>0.34</v>
      </c>
      <c r="T82" s="354">
        <f t="shared" si="71"/>
        <v>0.43</v>
      </c>
      <c r="U82" s="354">
        <f t="shared" si="71"/>
        <v>0.6</v>
      </c>
      <c r="V82" s="354">
        <f t="shared" si="71"/>
        <v>0.67999999999999994</v>
      </c>
      <c r="W82" s="354">
        <f t="shared" si="71"/>
        <v>0.7599999999999999</v>
      </c>
      <c r="X82" s="354">
        <f t="shared" si="71"/>
        <v>0.83999999999999986</v>
      </c>
      <c r="Y82" s="354">
        <f t="shared" si="71"/>
        <v>0.91999999999999982</v>
      </c>
      <c r="Z82" s="354">
        <f t="shared" si="71"/>
        <v>1</v>
      </c>
      <c r="AA82" s="354">
        <f t="shared" si="71"/>
        <v>1</v>
      </c>
    </row>
    <row r="83" spans="2:27" x14ac:dyDescent="0.25">
      <c r="B83" s="67"/>
      <c r="C83" s="67"/>
      <c r="D83" s="316" t="s">
        <v>209</v>
      </c>
      <c r="E83" s="47" t="s">
        <v>288</v>
      </c>
      <c r="F83" s="334">
        <f>SUMIFS('EV Data'!$AF:$AF,'EV Data'!$AE:$AE,'EV Forecast'!F44)</f>
        <v>801432</v>
      </c>
      <c r="G83" s="334">
        <f>SUMIFS('EV Data'!$AF:$AF,'EV Data'!$AE:$AE,'EV Forecast'!G44)</f>
        <v>798566</v>
      </c>
      <c r="H83" s="334">
        <f>SUMIFS('EV Data'!$AF:$AF,'EV Data'!$AE:$AE,'EV Forecast'!H44)</f>
        <v>796079</v>
      </c>
      <c r="I83" s="334">
        <f>SUMIFS('EV Data'!$AF:$AF,'EV Data'!$AE:$AE,'EV Forecast'!I44)</f>
        <v>600626</v>
      </c>
      <c r="J83" s="334">
        <f>SUMIFS('EV Data'!$AF:$AF,'EV Data'!$AE:$AE,'EV Forecast'!J44)</f>
        <v>627159</v>
      </c>
      <c r="K83" s="334">
        <f>SUMIFS('EV Data'!$AF:$AF,'EV Data'!$AE:$AE,'EV Forecast'!K44)</f>
        <v>594498</v>
      </c>
      <c r="L83" s="334">
        <f>SUMIFS('EV Data'!$AF:$AF,'EV Data'!$AE:$AE,'EV Forecast'!L44)</f>
        <v>677004</v>
      </c>
      <c r="M83" s="334">
        <f>SUMIFS('EV Data'!$AF:$AF,'EV Data'!$AE:$AE,'EV Forecast'!M44)</f>
        <v>699289</v>
      </c>
      <c r="N83" s="92">
        <f>M83*1.02</f>
        <v>713274.78</v>
      </c>
      <c r="O83" s="92">
        <f t="shared" ref="O83:W83" si="72">N83*1.02</f>
        <v>727540.27560000005</v>
      </c>
      <c r="P83" s="92">
        <f t="shared" si="72"/>
        <v>742091.08111200004</v>
      </c>
      <c r="Q83" s="92">
        <f t="shared" si="72"/>
        <v>756932.90273424005</v>
      </c>
      <c r="R83" s="92">
        <f t="shared" si="72"/>
        <v>772071.56078892492</v>
      </c>
      <c r="S83" s="92">
        <f t="shared" si="72"/>
        <v>787512.99200470338</v>
      </c>
      <c r="T83" s="92">
        <f t="shared" si="72"/>
        <v>803263.25184479752</v>
      </c>
      <c r="U83" s="92">
        <f>T83*1.02</f>
        <v>819328.5168816935</v>
      </c>
      <c r="V83" s="92">
        <f t="shared" si="72"/>
        <v>835715.08721932734</v>
      </c>
      <c r="W83" s="92">
        <f t="shared" si="72"/>
        <v>852429.38896371389</v>
      </c>
      <c r="X83" s="92">
        <f>W83*1.02</f>
        <v>869477.97674298822</v>
      </c>
      <c r="Y83" s="92">
        <f>X83*1.02</f>
        <v>886867.53627784795</v>
      </c>
      <c r="Z83" s="92">
        <f>Y83*1.02</f>
        <v>904604.8870034049</v>
      </c>
      <c r="AA83" s="93">
        <f>Z83*1.02</f>
        <v>922696.984743473</v>
      </c>
    </row>
    <row r="84" spans="2:27" x14ac:dyDescent="0.25">
      <c r="B84" s="67"/>
      <c r="C84" s="67"/>
      <c r="D84" s="316" t="s">
        <v>209</v>
      </c>
      <c r="E84" s="47" t="s">
        <v>289</v>
      </c>
      <c r="F84" s="334">
        <f>SUMIFS('EV Data'!$AG:$AG,'EV Data'!$AE:$AE,'EV Forecast'!F44)</f>
        <v>253252</v>
      </c>
      <c r="G84" s="334">
        <f>SUMIFS('EV Data'!$AG:$AG,'EV Data'!$AE:$AE,'EV Forecast'!G44)</f>
        <v>240525</v>
      </c>
      <c r="H84" s="334">
        <f>SUMIFS('EV Data'!$AG:$AG,'EV Data'!$AE:$AE,'EV Forecast'!H44)</f>
        <v>205764</v>
      </c>
      <c r="I84" s="334">
        <f>SUMIFS('EV Data'!$AG:$AG,'EV Data'!$AE:$AE,'EV Forecast'!I44)</f>
        <v>124652</v>
      </c>
      <c r="J84" s="334">
        <f>SUMIFS('EV Data'!$AG:$AG,'EV Data'!$AE:$AE,'EV Forecast'!J44)</f>
        <v>128831</v>
      </c>
      <c r="K84" s="334">
        <f>SUMIFS('EV Data'!$AG:$AG,'EV Data'!$AE:$AE,'EV Forecast'!K44)</f>
        <v>109955</v>
      </c>
      <c r="L84" s="334">
        <f>SUMIFS('EV Data'!$AG:$AG,'EV Data'!$AE:$AE,'EV Forecast'!L44)</f>
        <v>110539</v>
      </c>
      <c r="M84" s="334">
        <f>SUMIFS('EV Data'!$AG:$AG,'EV Data'!$AE:$AE,'EV Forecast'!M44)</f>
        <v>107568</v>
      </c>
      <c r="N84" s="369"/>
      <c r="O84" s="369"/>
      <c r="P84" s="369"/>
      <c r="Q84" s="369"/>
      <c r="R84" s="369"/>
      <c r="AA84" s="86"/>
    </row>
    <row r="85" spans="2:27" x14ac:dyDescent="0.25">
      <c r="B85" s="67"/>
      <c r="C85" s="67"/>
      <c r="D85" s="316" t="s">
        <v>209</v>
      </c>
      <c r="E85" s="47" t="s">
        <v>290</v>
      </c>
      <c r="F85" s="334">
        <f>SUMIFS('EV Data'!$AI:$AI,'EV Data'!$AE:$AE,'EV Forecast'!F44)</f>
        <v>345265</v>
      </c>
      <c r="G85" s="334">
        <f>SUMIFS('EV Data'!$AI:$AI,'EV Data'!$AE:$AE,'EV Forecast'!G44)</f>
        <v>368224</v>
      </c>
      <c r="H85" s="334">
        <f>SUMIFS('EV Data'!$AI:$AI,'EV Data'!$AE:$AE,'EV Forecast'!H44)</f>
        <v>395962</v>
      </c>
      <c r="I85" s="334">
        <f>SUMIFS('EV Data'!$AI:$AI,'EV Data'!$AE:$AE,'EV Forecast'!I44)</f>
        <v>312969</v>
      </c>
      <c r="J85" s="334">
        <f>SUMIFS('EV Data'!$AI:$AI,'EV Data'!$AE:$AE,'EV Forecast'!J44)</f>
        <v>352434</v>
      </c>
      <c r="K85" s="334">
        <f>SUMIFS('EV Data'!$AI:$AI,'EV Data'!$AE:$AE,'EV Forecast'!K44)</f>
        <v>341594</v>
      </c>
      <c r="L85" s="334">
        <f>SUMIFS('EV Data'!$AI:$AI,'EV Data'!$AE:$AE,'EV Forecast'!L44)</f>
        <v>412086</v>
      </c>
      <c r="M85" s="334">
        <f>SUMIFS('EV Data'!$AI:$AI,'EV Data'!$AE:$AE,'EV Forecast'!M44)</f>
        <v>437005</v>
      </c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44"/>
    </row>
    <row r="86" spans="2:27" x14ac:dyDescent="0.25">
      <c r="B86" s="67"/>
      <c r="C86" s="67"/>
      <c r="D86" s="316" t="s">
        <v>209</v>
      </c>
      <c r="E86" s="47" t="s">
        <v>291</v>
      </c>
      <c r="F86" s="334">
        <f>SUMIFS('EV Data'!$AJ:$AJ,'EV Data'!$AE:$AE,'EV Forecast'!F44)</f>
        <v>58851</v>
      </c>
      <c r="G86" s="334">
        <f>SUMIFS('EV Data'!$AJ:$AJ,'EV Data'!$AE:$AE,'EV Forecast'!G44)</f>
        <v>54456</v>
      </c>
      <c r="H86" s="334">
        <f>SUMIFS('EV Data'!$AJ:$AJ,'EV Data'!$AE:$AE,'EV Forecast'!H44)</f>
        <v>49692</v>
      </c>
      <c r="I86" s="334">
        <f>SUMIFS('EV Data'!$AJ:$AJ,'EV Data'!$AE:$AE,'EV Forecast'!I44)</f>
        <v>35235</v>
      </c>
      <c r="J86" s="334">
        <f>SUMIFS('EV Data'!$AJ:$AJ,'EV Data'!$AE:$AE,'EV Forecast'!J44)</f>
        <v>27989</v>
      </c>
      <c r="K86" s="334">
        <f>SUMIFS('EV Data'!$AJ:$AJ,'EV Data'!$AE:$AE,'EV Forecast'!K44)</f>
        <v>20185</v>
      </c>
      <c r="L86" s="334">
        <f>SUMIFS('EV Data'!$AJ:$AJ,'EV Data'!$AE:$AE,'EV Forecast'!L44)</f>
        <v>26725</v>
      </c>
      <c r="M86" s="334">
        <f>SUMIFS('EV Data'!$AJ:$AJ,'EV Data'!$AE:$AE,'EV Forecast'!M44)</f>
        <v>29792</v>
      </c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44"/>
    </row>
    <row r="87" spans="2:27" x14ac:dyDescent="0.25">
      <c r="B87" s="96"/>
      <c r="C87" s="96"/>
      <c r="D87" s="370" t="s">
        <v>209</v>
      </c>
      <c r="E87" s="110" t="s">
        <v>292</v>
      </c>
      <c r="F87" s="346">
        <f>SUMIFS('EV Data'!$AH:$AH,'EV Data'!$AE:$AE,'EV Forecast'!F44)</f>
        <v>144064</v>
      </c>
      <c r="G87" s="346">
        <f>SUMIFS('EV Data'!$AH:$AH,'EV Data'!$AE:$AE,'EV Forecast'!G44)</f>
        <v>135361</v>
      </c>
      <c r="H87" s="346">
        <f>SUMIFS('EV Data'!$AH:$AH,'EV Data'!$AE:$AE,'EV Forecast'!H44)</f>
        <v>144661</v>
      </c>
      <c r="I87" s="346">
        <f>SUMIFS('EV Data'!$AH:$AH,'EV Data'!$AE:$AE,'EV Forecast'!I44)</f>
        <v>127770</v>
      </c>
      <c r="J87" s="346">
        <f>SUMIFS('EV Data'!$AH:$AH,'EV Data'!$AE:$AE,'EV Forecast'!J44)</f>
        <v>117905</v>
      </c>
      <c r="K87" s="346">
        <f>SUMIFS('EV Data'!$AH:$AH,'EV Data'!$AE:$AE,'EV Forecast'!K44)</f>
        <v>122764</v>
      </c>
      <c r="L87" s="346">
        <f>SUMIFS('EV Data'!$AH:$AH,'EV Data'!$AE:$AE,'EV Forecast'!L44)</f>
        <v>127654</v>
      </c>
      <c r="M87" s="346">
        <f>SUMIFS('EV Data'!$AH:$AH,'EV Data'!$AE:$AE,'EV Forecast'!M44)</f>
        <v>124924</v>
      </c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1"/>
    </row>
    <row r="89" spans="2:27" x14ac:dyDescent="0.25">
      <c r="C89" s="47" t="s">
        <v>293</v>
      </c>
      <c r="X89" s="371" t="s">
        <v>294</v>
      </c>
      <c r="Y89" s="189" t="s">
        <v>263</v>
      </c>
      <c r="Z89" s="189" t="s">
        <v>295</v>
      </c>
    </row>
    <row r="90" spans="2:27" ht="14.4" customHeight="1" x14ac:dyDescent="0.25">
      <c r="C90" s="486" t="s">
        <v>296</v>
      </c>
      <c r="D90" s="47" t="s">
        <v>189</v>
      </c>
      <c r="F90" s="92">
        <f>(F$16+F$53)*$X90+(F$21+F$58)*$Y90+(F$26+F$63)*$Z90</f>
        <v>57507.326315789491</v>
      </c>
      <c r="G90" s="92">
        <f>(G$16-F$16+G$53-F$53)*$X90+(G$21-F$21+G$58-F$58)*$Y90+(G$26-F$26+G$63-F$63)*$Z90</f>
        <v>192934.28045904791</v>
      </c>
      <c r="H90" s="92">
        <f t="shared" ref="H90:O90" si="73">(H$16-G$16+H$53-G$53)*$X90+(H$21-G$21+H$58-G$58)*$Y90+(H$26-G$26+H$63-G$63)*$Z90</f>
        <v>225380.6865518807</v>
      </c>
      <c r="I90" s="92">
        <f t="shared" si="73"/>
        <v>170736.12159827023</v>
      </c>
      <c r="J90" s="92">
        <f t="shared" si="73"/>
        <v>269492.33097278042</v>
      </c>
      <c r="K90" s="92">
        <f t="shared" si="73"/>
        <v>535866.65039022581</v>
      </c>
      <c r="L90" s="92">
        <f t="shared" si="73"/>
        <v>879396.14295381599</v>
      </c>
      <c r="M90" s="92">
        <f t="shared" si="73"/>
        <v>1276213.2689941013</v>
      </c>
      <c r="N90" s="92">
        <f>(N$16-M$16+N$53-M$53)*$X90+(N$21-M$21+N$58-M$58)*$Y90+(N$26-M$26+N$63-M$63)*$Z90</f>
        <v>1704529.8120427257</v>
      </c>
      <c r="O90" s="92">
        <f t="shared" si="73"/>
        <v>2188957.6976536559</v>
      </c>
      <c r="P90" s="92"/>
      <c r="Q90" s="92"/>
      <c r="V90" s="92"/>
      <c r="W90" s="372" t="s">
        <v>189</v>
      </c>
      <c r="X90" s="309">
        <v>0.8</v>
      </c>
      <c r="Y90" s="309">
        <v>0.25</v>
      </c>
      <c r="Z90" s="309">
        <v>0.25</v>
      </c>
    </row>
    <row r="91" spans="2:27" x14ac:dyDescent="0.25">
      <c r="C91" s="486"/>
      <c r="D91" s="47" t="s">
        <v>297</v>
      </c>
      <c r="F91" s="92">
        <f>(F$16+F$53)*$X91+(F$21+F$58)*$Y91+(F$26+F$63)*$Z91</f>
        <v>9439.7315789473705</v>
      </c>
      <c r="G91" s="92">
        <f>(G$16-F$16+G$53-F$53)*$X91+(G$21-F$21+G$58-F$58)*$Y91+(G$26-F$26+G$63-F$63)*$Z91</f>
        <v>30616.559194818154</v>
      </c>
      <c r="H91" s="92">
        <f t="shared" ref="H91:M91" si="74">(H$16-G$16+H$53-G$53)*$X91+(H$21-G$21+H$58-G$58)*$Y91+(H$26-G$26+H$63-G$63)*$Z91</f>
        <v>32850.273314090089</v>
      </c>
      <c r="I91" s="92">
        <f t="shared" si="74"/>
        <v>22309.819601486182</v>
      </c>
      <c r="J91" s="92">
        <f t="shared" si="74"/>
        <v>35227.405782784939</v>
      </c>
      <c r="K91" s="92">
        <f t="shared" si="74"/>
        <v>77697.565450252529</v>
      </c>
      <c r="L91" s="92">
        <f t="shared" si="74"/>
        <v>143455.17337601067</v>
      </c>
      <c r="M91" s="92">
        <f t="shared" si="74"/>
        <v>236129.46625105731</v>
      </c>
      <c r="N91" s="92">
        <f>(N$16-M$16+N$53-M$53)*$X91+(N$21-M$21+N$58-M$58)*$Y91+(N$26-M$26+N$63-M$63)*$Z91</f>
        <v>321254.53211026837</v>
      </c>
      <c r="O91" s="92">
        <f>(O$16-N$16+O$53-N$53)*$X91+(O$21-N$21+O$58-N$58)*$Y91+(O$26-N$26+O$63-N$63)*$Z91</f>
        <v>399877.28751804004</v>
      </c>
      <c r="P91" s="92"/>
      <c r="Q91" s="92"/>
      <c r="V91" s="92"/>
      <c r="W91" s="372" t="s">
        <v>297</v>
      </c>
      <c r="X91" s="309">
        <v>0.1</v>
      </c>
      <c r="Y91" s="309">
        <v>0.4</v>
      </c>
      <c r="Z91" s="309">
        <v>0.3</v>
      </c>
    </row>
    <row r="92" spans="2:27" x14ac:dyDescent="0.25">
      <c r="C92" s="486"/>
      <c r="D92" s="47" t="str">
        <f>W92</f>
        <v>GS 50-999</v>
      </c>
      <c r="F92" s="92">
        <f>(F$16+F$53)*$X92+(F$21+F$58)*$Y92+(F$26+F$63)*$Z92</f>
        <v>5025.1289473684219</v>
      </c>
      <c r="G92" s="92">
        <f>(G$16-F$16+G$53-F$53)*$X92+(G$21-F$21+G$58-F$58)*$Y92+(G$26-F$26+G$63-F$63)*$Z92</f>
        <v>16189.604904180218</v>
      </c>
      <c r="H92" s="92">
        <f t="shared" ref="H92:M92" si="75">(H$16-G$16+H$53-G$53)*$X92+(H$21-G$21+H$58-G$58)*$Y92+(H$26-G$26+H$63-G$63)*$Z92</f>
        <v>17059.399368245722</v>
      </c>
      <c r="I92" s="92">
        <f t="shared" si="75"/>
        <v>11286.137516228162</v>
      </c>
      <c r="J92" s="92">
        <f t="shared" si="75"/>
        <v>17822.633659011099</v>
      </c>
      <c r="K92" s="92">
        <f t="shared" si="75"/>
        <v>42847.910583096404</v>
      </c>
      <c r="L92" s="92">
        <f t="shared" si="75"/>
        <v>85392.487134060415</v>
      </c>
      <c r="M92" s="92">
        <f t="shared" si="75"/>
        <v>155072.76687647763</v>
      </c>
      <c r="N92" s="92">
        <f>(N$16-M$16+N$53-M$53)*$X92+(N$21-M$21+N$58-M$58)*$Y92+(N$26-M$26+N$63-M$63)*$Z92</f>
        <v>214296.00640515657</v>
      </c>
      <c r="O92" s="92">
        <f>(O$16-N$16+O$53-N$53)*$X92+(O$21-N$21+O$58-N$58)*$Y92+(O$26-N$26+O$63-N$63)*$Z92</f>
        <v>260242.29903263104</v>
      </c>
      <c r="P92" s="92"/>
      <c r="Q92" s="92"/>
      <c r="V92" s="92"/>
      <c r="W92" s="372" t="s">
        <v>298</v>
      </c>
      <c r="X92" s="309">
        <v>0.05</v>
      </c>
      <c r="Y92" s="309">
        <v>0.25</v>
      </c>
      <c r="Z92" s="309">
        <v>0.3</v>
      </c>
    </row>
    <row r="93" spans="2:27" x14ac:dyDescent="0.25">
      <c r="C93" s="486"/>
      <c r="D93" s="47" t="str">
        <f>W93</f>
        <v>GS 1,000-4,999</v>
      </c>
      <c r="F93" s="92">
        <f>(F$16+F$53)*$X93+(F$21+F$58)*$Y93+(F$26+F$63)*$Z93</f>
        <v>4109.339473684211</v>
      </c>
      <c r="G93" s="92">
        <f>(G$16-F$16+G$53-F$53)*$X93+(G$21-F$21+G$58-F$58)*$Y93+(G$26-F$26+G$63-F$63)*$Z93</f>
        <v>13545.628983866794</v>
      </c>
      <c r="H93" s="92">
        <f t="shared" ref="H93:M94" si="76">(H$16-G$16+H$53-G$53)*$X93+(H$21-G$21+H$58-G$58)*$Y93+(H$26-G$26+H$63-G$63)*$Z93</f>
        <v>15156.611234643689</v>
      </c>
      <c r="I93" s="92">
        <f t="shared" si="76"/>
        <v>10892.454369772948</v>
      </c>
      <c r="J93" s="92">
        <f t="shared" si="76"/>
        <v>17195.841356155212</v>
      </c>
      <c r="K93" s="92">
        <f t="shared" si="76"/>
        <v>36456.298293083142</v>
      </c>
      <c r="L93" s="92">
        <f t="shared" si="76"/>
        <v>64471.811253469066</v>
      </c>
      <c r="M93" s="92">
        <f t="shared" si="76"/>
        <v>102655.06600764683</v>
      </c>
      <c r="N93" s="92">
        <f>(N$16-M$16+N$53-M$53)*$X93+(N$21-M$21+N$58-M$58)*$Y93+(N$26-M$26+N$63-M$63)*$Z93</f>
        <v>139146.10012419015</v>
      </c>
      <c r="O93" s="92">
        <f>(O$16-N$16+O$53-N$53)*$X93+(O$21-N$21+O$58-N$58)*$Y93+(O$26-N$26+O$63-N$63)*$Z93</f>
        <v>174400.55181823028</v>
      </c>
      <c r="P93" s="92"/>
      <c r="Q93" s="92"/>
      <c r="V93" s="92"/>
      <c r="W93" s="372" t="s">
        <v>299</v>
      </c>
      <c r="X93" s="309">
        <v>0.05</v>
      </c>
      <c r="Y93" s="309">
        <v>0.1</v>
      </c>
      <c r="Z93" s="309">
        <v>0.1</v>
      </c>
    </row>
    <row r="94" spans="2:27" x14ac:dyDescent="0.25">
      <c r="C94" s="486"/>
      <c r="D94" s="47" t="str">
        <f>W94</f>
        <v>Large Use</v>
      </c>
      <c r="F94" s="92">
        <f>(F$16+F$53)*$X94+(F$21+F$58)*$Y94+(F$26+F$63)*$Z94</f>
        <v>0</v>
      </c>
      <c r="G94" s="92">
        <f>(G$16-F$16+G$53-F$53)*$X94+(G$21-F$21+G$58-F$58)*$Y94+(G$26-F$26+G$63-F$63)*$Z94</f>
        <v>0</v>
      </c>
      <c r="H94" s="92">
        <f t="shared" si="76"/>
        <v>0</v>
      </c>
      <c r="I94" s="92">
        <f t="shared" si="76"/>
        <v>0</v>
      </c>
      <c r="J94" s="92">
        <f t="shared" si="76"/>
        <v>0</v>
      </c>
      <c r="K94" s="92">
        <f t="shared" si="76"/>
        <v>1121.1542567794284</v>
      </c>
      <c r="L94" s="92">
        <f t="shared" si="76"/>
        <v>4014.8050915147724</v>
      </c>
      <c r="M94" s="92">
        <f t="shared" si="76"/>
        <v>11721.280076803218</v>
      </c>
      <c r="N94" s="92">
        <f>(N$16-M$16+N$53-M$53)*$X94+(N$21-M$21+N$58-M$58)*$Y94+(N$26-M$26+N$63-M$63)*$Z94</f>
        <v>17171.262953820151</v>
      </c>
      <c r="O94" s="92">
        <f>(O$16-N$16+O$53-N$53)*$X94+(O$21-N$21+O$58-N$58)*$Y94+(O$26-N$26+O$63-N$63)*$Z94</f>
        <v>19013.843721286452</v>
      </c>
      <c r="P94" s="92"/>
      <c r="Q94" s="92"/>
      <c r="V94" s="92"/>
      <c r="W94" s="372" t="s">
        <v>115</v>
      </c>
      <c r="Z94" s="109">
        <v>0.05</v>
      </c>
    </row>
    <row r="95" spans="2:27" x14ac:dyDescent="0.25">
      <c r="F95" s="326">
        <f>SUM(F90:F94)</f>
        <v>76081.526315789495</v>
      </c>
      <c r="G95" s="326">
        <f t="shared" ref="G95:M95" si="77">SUM(G90:G94)</f>
        <v>253286.07354191309</v>
      </c>
      <c r="H95" s="326">
        <f t="shared" si="77"/>
        <v>290446.97046886018</v>
      </c>
      <c r="I95" s="326">
        <f t="shared" si="77"/>
        <v>215224.53308575752</v>
      </c>
      <c r="J95" s="326">
        <f t="shared" si="77"/>
        <v>339738.21177073166</v>
      </c>
      <c r="K95" s="326">
        <f t="shared" si="77"/>
        <v>693989.57897343731</v>
      </c>
      <c r="L95" s="326">
        <f t="shared" si="77"/>
        <v>1176730.4198088706</v>
      </c>
      <c r="M95" s="326">
        <f t="shared" si="77"/>
        <v>1781791.8482060861</v>
      </c>
      <c r="N95" s="326">
        <f>SUM(N90:N94)</f>
        <v>2396397.7136361608</v>
      </c>
      <c r="O95" s="326">
        <f>SUM(O90:O94)</f>
        <v>3042491.6797438436</v>
      </c>
      <c r="P95" s="326"/>
      <c r="Q95" s="326"/>
      <c r="X95" s="322">
        <f>SUM(X90:X94)</f>
        <v>1</v>
      </c>
      <c r="Y95" s="322">
        <f>SUM(Y90:Y94)</f>
        <v>1</v>
      </c>
      <c r="Z95" s="322">
        <f>SUM(Z90:Z94)</f>
        <v>1</v>
      </c>
    </row>
    <row r="97" spans="3:17" x14ac:dyDescent="0.25">
      <c r="C97" s="47" t="s">
        <v>300</v>
      </c>
    </row>
    <row r="98" spans="3:17" x14ac:dyDescent="0.25">
      <c r="D98" s="47" t="s">
        <v>301</v>
      </c>
      <c r="F98" s="319">
        <v>0.2</v>
      </c>
      <c r="G98" s="319">
        <f>F98</f>
        <v>0.2</v>
      </c>
      <c r="H98" s="319">
        <f t="shared" ref="H98:O98" si="78">G98</f>
        <v>0.2</v>
      </c>
      <c r="I98" s="319">
        <f t="shared" si="78"/>
        <v>0.2</v>
      </c>
      <c r="J98" s="319">
        <f t="shared" si="78"/>
        <v>0.2</v>
      </c>
      <c r="K98" s="319">
        <f t="shared" si="78"/>
        <v>0.2</v>
      </c>
      <c r="L98" s="319">
        <f t="shared" si="78"/>
        <v>0.2</v>
      </c>
      <c r="M98" s="319">
        <f t="shared" si="78"/>
        <v>0.2</v>
      </c>
      <c r="N98" s="319">
        <f>M98</f>
        <v>0.2</v>
      </c>
      <c r="O98" s="319">
        <f t="shared" si="78"/>
        <v>0.2</v>
      </c>
      <c r="P98" s="319"/>
      <c r="Q98" s="319"/>
    </row>
    <row r="99" spans="3:17" x14ac:dyDescent="0.25">
      <c r="D99" s="47" t="str">
        <f>W92</f>
        <v>GS 50-999</v>
      </c>
      <c r="F99" s="92">
        <f>((F92/F98)/8760)*12</f>
        <v>34.418691420331655</v>
      </c>
      <c r="G99" s="92">
        <f t="shared" ref="G99:O99" si="79">((G92/G98)/8760)*12</f>
        <v>110.88770482315218</v>
      </c>
      <c r="H99" s="92">
        <f t="shared" si="79"/>
        <v>116.84520115236796</v>
      </c>
      <c r="I99" s="92">
        <f t="shared" si="79"/>
        <v>77.302311754987414</v>
      </c>
      <c r="J99" s="92">
        <f t="shared" si="79"/>
        <v>122.07283328089791</v>
      </c>
      <c r="K99" s="92">
        <f t="shared" si="79"/>
        <v>293.47883961024928</v>
      </c>
      <c r="L99" s="92">
        <f t="shared" si="79"/>
        <v>584.88004886342753</v>
      </c>
      <c r="M99" s="92">
        <f t="shared" si="79"/>
        <v>1062.1422388799838</v>
      </c>
      <c r="N99" s="92">
        <f t="shared" si="79"/>
        <v>1467.7808657887438</v>
      </c>
      <c r="O99" s="92">
        <f t="shared" si="79"/>
        <v>1782.4815002235</v>
      </c>
      <c r="P99" s="373"/>
      <c r="Q99" s="373"/>
    </row>
    <row r="100" spans="3:17" x14ac:dyDescent="0.25">
      <c r="D100" s="47" t="str">
        <f>W93</f>
        <v>GS 1,000-4,999</v>
      </c>
      <c r="F100" s="92">
        <f>((F93/F98)/8760)*12</f>
        <v>28.146160778658977</v>
      </c>
      <c r="G100" s="92">
        <f t="shared" ref="G100:O100" si="80">((G93/G98)/8760)*12</f>
        <v>92.778280711416386</v>
      </c>
      <c r="H100" s="92">
        <f t="shared" si="80"/>
        <v>103.8124057167376</v>
      </c>
      <c r="I100" s="92">
        <f t="shared" si="80"/>
        <v>74.605851847759908</v>
      </c>
      <c r="J100" s="92">
        <f t="shared" si="80"/>
        <v>117.77973531613156</v>
      </c>
      <c r="K100" s="92">
        <f t="shared" si="80"/>
        <v>249.70067324029549</v>
      </c>
      <c r="L100" s="92">
        <f t="shared" si="80"/>
        <v>441.58774831143194</v>
      </c>
      <c r="M100" s="92">
        <f t="shared" si="80"/>
        <v>703.11689046333436</v>
      </c>
      <c r="N100" s="92">
        <f t="shared" si="80"/>
        <v>953.05548030267232</v>
      </c>
      <c r="O100" s="92">
        <f t="shared" si="80"/>
        <v>1194.5243275221251</v>
      </c>
    </row>
    <row r="101" spans="3:17" x14ac:dyDescent="0.25">
      <c r="D101" s="47" t="str">
        <f>W94</f>
        <v>Large Use</v>
      </c>
      <c r="F101" s="92">
        <f>((F94/F98)/8760)*12</f>
        <v>0</v>
      </c>
      <c r="G101" s="92">
        <f t="shared" ref="G101:O101" si="81">((G94/G98)/8760)*12</f>
        <v>0</v>
      </c>
      <c r="H101" s="92">
        <f t="shared" si="81"/>
        <v>0</v>
      </c>
      <c r="I101" s="92">
        <f t="shared" si="81"/>
        <v>0</v>
      </c>
      <c r="J101" s="92">
        <f t="shared" si="81"/>
        <v>0</v>
      </c>
      <c r="K101" s="92">
        <f t="shared" si="81"/>
        <v>7.6791387450645763</v>
      </c>
      <c r="L101" s="92">
        <f t="shared" si="81"/>
        <v>27.498665010375152</v>
      </c>
      <c r="M101" s="92">
        <f t="shared" si="81"/>
        <v>80.28274025207682</v>
      </c>
      <c r="N101" s="92">
        <f t="shared" si="81"/>
        <v>117.61139009465856</v>
      </c>
      <c r="O101" s="92">
        <f t="shared" si="81"/>
        <v>130.23180631018118</v>
      </c>
    </row>
    <row r="102" spans="3:17" x14ac:dyDescent="0.25">
      <c r="F102" s="326">
        <f>SUM(F99:F101)</f>
        <v>62.564852198990636</v>
      </c>
      <c r="G102" s="326">
        <f t="shared" ref="G102:O102" si="82">SUM(G99:G101)</f>
        <v>203.66598553456856</v>
      </c>
      <c r="H102" s="326">
        <f t="shared" si="82"/>
        <v>220.65760686910556</v>
      </c>
      <c r="I102" s="326">
        <f t="shared" si="82"/>
        <v>151.90816360274732</v>
      </c>
      <c r="J102" s="326">
        <f t="shared" si="82"/>
        <v>239.85256859702946</v>
      </c>
      <c r="K102" s="326">
        <f t="shared" si="82"/>
        <v>550.85865159560944</v>
      </c>
      <c r="L102" s="326">
        <f t="shared" si="82"/>
        <v>1053.9664621852346</v>
      </c>
      <c r="M102" s="326">
        <f t="shared" si="82"/>
        <v>1845.5418695953949</v>
      </c>
      <c r="N102" s="326">
        <f t="shared" si="82"/>
        <v>2538.4477361860745</v>
      </c>
      <c r="O102" s="326">
        <f t="shared" si="82"/>
        <v>3107.2376340558062</v>
      </c>
    </row>
    <row r="104" spans="3:17" x14ac:dyDescent="0.25">
      <c r="E104" s="197"/>
      <c r="F104" s="332">
        <f t="shared" ref="F104:L104" si="83">F119</f>
        <v>2017</v>
      </c>
      <c r="G104" s="332">
        <f t="shared" si="83"/>
        <v>2018</v>
      </c>
      <c r="H104" s="332">
        <f t="shared" si="83"/>
        <v>2019</v>
      </c>
      <c r="I104" s="332">
        <f t="shared" si="83"/>
        <v>2020</v>
      </c>
      <c r="J104" s="332">
        <f t="shared" si="83"/>
        <v>2021</v>
      </c>
      <c r="K104" s="332">
        <f t="shared" si="83"/>
        <v>2022</v>
      </c>
      <c r="L104" s="332">
        <f t="shared" si="83"/>
        <v>2023</v>
      </c>
      <c r="M104" s="374"/>
    </row>
    <row r="105" spans="3:17" x14ac:dyDescent="0.25">
      <c r="E105" s="67" t="s">
        <v>302</v>
      </c>
      <c r="F105" s="375">
        <f>F31+F68</f>
        <v>66</v>
      </c>
      <c r="G105" s="375">
        <f t="shared" ref="G105:L105" si="84">G31+G68</f>
        <v>151</v>
      </c>
      <c r="H105" s="375">
        <f t="shared" si="84"/>
        <v>90</v>
      </c>
      <c r="I105" s="375">
        <f t="shared" si="84"/>
        <v>78</v>
      </c>
      <c r="J105" s="375">
        <f t="shared" si="84"/>
        <v>179</v>
      </c>
      <c r="K105" s="375">
        <f t="shared" si="84"/>
        <v>328</v>
      </c>
      <c r="L105" s="376">
        <f t="shared" si="84"/>
        <v>522</v>
      </c>
      <c r="M105" s="86" t="s">
        <v>303</v>
      </c>
    </row>
    <row r="106" spans="3:17" x14ac:dyDescent="0.25">
      <c r="E106" s="67" t="s">
        <v>304</v>
      </c>
      <c r="F106" s="375">
        <f>F32+F69</f>
        <v>8180</v>
      </c>
      <c r="G106" s="375">
        <f t="shared" ref="G106:L106" si="85">G32+G69</f>
        <v>16758</v>
      </c>
      <c r="H106" s="375">
        <f t="shared" si="85"/>
        <v>9762</v>
      </c>
      <c r="I106" s="375">
        <f t="shared" si="85"/>
        <v>10515</v>
      </c>
      <c r="J106" s="375">
        <f t="shared" si="85"/>
        <v>19716</v>
      </c>
      <c r="K106" s="375">
        <f t="shared" si="85"/>
        <v>38662</v>
      </c>
      <c r="L106" s="376">
        <f t="shared" si="85"/>
        <v>50132</v>
      </c>
      <c r="M106" s="86" t="s">
        <v>305</v>
      </c>
    </row>
    <row r="107" spans="3:17" x14ac:dyDescent="0.25">
      <c r="E107" s="197" t="s">
        <v>306</v>
      </c>
      <c r="F107" s="377">
        <f t="shared" ref="F107:L107" si="86">F28</f>
        <v>8.4198708953129378E-3</v>
      </c>
      <c r="G107" s="377">
        <f t="shared" si="86"/>
        <v>9.2524957389822256E-3</v>
      </c>
      <c r="H107" s="377">
        <f t="shared" si="86"/>
        <v>9.6021947873799734E-3</v>
      </c>
      <c r="I107" s="377">
        <f t="shared" si="86"/>
        <v>7.4773228732532481E-3</v>
      </c>
      <c r="J107" s="377">
        <f t="shared" si="86"/>
        <v>9.9755700325732891E-3</v>
      </c>
      <c r="K107" s="377">
        <f t="shared" si="86"/>
        <v>8.5715157246133659E-3</v>
      </c>
      <c r="L107" s="377">
        <f t="shared" si="86"/>
        <v>1.0663905784910055E-2</v>
      </c>
      <c r="M107" s="86" t="s">
        <v>307</v>
      </c>
    </row>
    <row r="108" spans="3:17" x14ac:dyDescent="0.25">
      <c r="E108" s="67" t="s">
        <v>308</v>
      </c>
      <c r="F108" s="375">
        <f t="shared" ref="F108:L111" si="87">F33+F70</f>
        <v>6191</v>
      </c>
      <c r="G108" s="375">
        <f t="shared" si="87"/>
        <v>12828</v>
      </c>
      <c r="H108" s="375">
        <f t="shared" si="87"/>
        <v>7124</v>
      </c>
      <c r="I108" s="375">
        <f t="shared" si="87"/>
        <v>5699</v>
      </c>
      <c r="J108" s="375">
        <f t="shared" si="87"/>
        <v>8028</v>
      </c>
      <c r="K108" s="375">
        <f t="shared" si="87"/>
        <v>13157</v>
      </c>
      <c r="L108" s="376">
        <f t="shared" si="87"/>
        <v>11001</v>
      </c>
      <c r="M108" s="86" t="s">
        <v>309</v>
      </c>
    </row>
    <row r="109" spans="3:17" x14ac:dyDescent="0.25">
      <c r="E109" s="67" t="s">
        <v>310</v>
      </c>
      <c r="F109" s="375">
        <f t="shared" si="87"/>
        <v>1467</v>
      </c>
      <c r="G109" s="375">
        <f t="shared" si="87"/>
        <v>3055</v>
      </c>
      <c r="H109" s="375">
        <f t="shared" si="87"/>
        <v>2546</v>
      </c>
      <c r="I109" s="375">
        <f t="shared" si="87"/>
        <v>4681</v>
      </c>
      <c r="J109" s="375">
        <f t="shared" si="87"/>
        <v>11406</v>
      </c>
      <c r="K109" s="375">
        <f t="shared" si="87"/>
        <v>23938</v>
      </c>
      <c r="L109" s="376">
        <f t="shared" si="87"/>
        <v>36195</v>
      </c>
      <c r="M109" s="86" t="s">
        <v>311</v>
      </c>
    </row>
    <row r="110" spans="3:17" x14ac:dyDescent="0.25">
      <c r="E110" s="67" t="s">
        <v>312</v>
      </c>
      <c r="F110" s="375">
        <f t="shared" si="87"/>
        <v>522</v>
      </c>
      <c r="G110" s="375">
        <f t="shared" si="87"/>
        <v>875</v>
      </c>
      <c r="H110" s="375">
        <f t="shared" si="87"/>
        <v>92</v>
      </c>
      <c r="I110" s="375">
        <f t="shared" si="87"/>
        <v>135</v>
      </c>
      <c r="J110" s="375">
        <f t="shared" si="87"/>
        <v>282</v>
      </c>
      <c r="K110" s="375">
        <f t="shared" si="87"/>
        <v>695</v>
      </c>
      <c r="L110" s="376">
        <f t="shared" si="87"/>
        <v>1127</v>
      </c>
      <c r="M110" s="86" t="s">
        <v>313</v>
      </c>
    </row>
    <row r="111" spans="3:17" x14ac:dyDescent="0.25">
      <c r="E111" s="96" t="s">
        <v>314</v>
      </c>
      <c r="F111" s="378">
        <f t="shared" si="87"/>
        <v>0</v>
      </c>
      <c r="G111" s="378">
        <f t="shared" si="87"/>
        <v>0</v>
      </c>
      <c r="H111" s="378">
        <f t="shared" si="87"/>
        <v>0</v>
      </c>
      <c r="I111" s="378">
        <f t="shared" si="87"/>
        <v>0</v>
      </c>
      <c r="J111" s="378">
        <f t="shared" si="87"/>
        <v>0</v>
      </c>
      <c r="K111" s="378">
        <f t="shared" si="87"/>
        <v>872</v>
      </c>
      <c r="L111" s="379">
        <f t="shared" si="87"/>
        <v>1809</v>
      </c>
      <c r="M111" s="86" t="s">
        <v>315</v>
      </c>
    </row>
    <row r="112" spans="3:17" x14ac:dyDescent="0.25">
      <c r="E112" s="63" t="str">
        <f>E38</f>
        <v>Passenger EV as % of EV</v>
      </c>
      <c r="F112" s="380">
        <f>F108/SUM(F$108:F$111)</f>
        <v>0.75684596577017116</v>
      </c>
      <c r="G112" s="380">
        <f t="shared" ref="G112:L112" si="88">G108/SUM(G$108:G$111)</f>
        <v>0.76548514142499102</v>
      </c>
      <c r="H112" s="380">
        <f t="shared" si="88"/>
        <v>0.72976849006351152</v>
      </c>
      <c r="I112" s="380">
        <f t="shared" si="88"/>
        <v>0.54198763670946271</v>
      </c>
      <c r="J112" s="380">
        <f t="shared" si="88"/>
        <v>0.40718198417528911</v>
      </c>
      <c r="K112" s="380">
        <f t="shared" si="88"/>
        <v>0.34030831307226733</v>
      </c>
      <c r="L112" s="381">
        <f t="shared" si="88"/>
        <v>0.21944067661373973</v>
      </c>
      <c r="M112" s="86" t="s">
        <v>316</v>
      </c>
    </row>
    <row r="113" spans="5:15" x14ac:dyDescent="0.25">
      <c r="E113" s="67" t="str">
        <f>E39</f>
        <v>Multi-Purpose EV as % of EV</v>
      </c>
      <c r="F113" s="380">
        <f>F109/SUM(F$108:F$111)</f>
        <v>0.17933985330073349</v>
      </c>
      <c r="G113" s="380">
        <f t="shared" ref="F113:L115" si="89">G109/SUM(G$108:G$111)</f>
        <v>0.18230099057166727</v>
      </c>
      <c r="H113" s="380">
        <f t="shared" si="89"/>
        <v>0.26080721163695963</v>
      </c>
      <c r="I113" s="380">
        <f t="shared" si="89"/>
        <v>0.44517356157869709</v>
      </c>
      <c r="J113" s="380">
        <f t="shared" si="89"/>
        <v>0.57851491174680458</v>
      </c>
      <c r="K113" s="380">
        <f t="shared" si="89"/>
        <v>0.61916093321607779</v>
      </c>
      <c r="L113" s="381">
        <f t="shared" si="89"/>
        <v>0.72199393600893635</v>
      </c>
      <c r="M113" s="86" t="s">
        <v>317</v>
      </c>
    </row>
    <row r="114" spans="5:15" x14ac:dyDescent="0.25">
      <c r="E114" s="67" t="str">
        <f>E40</f>
        <v>Van EV as % of EV</v>
      </c>
      <c r="F114" s="380">
        <f t="shared" si="89"/>
        <v>6.3814180929095354E-2</v>
      </c>
      <c r="G114" s="380">
        <f t="shared" si="89"/>
        <v>5.2213868003341685E-2</v>
      </c>
      <c r="H114" s="380">
        <f t="shared" si="89"/>
        <v>9.4242982995287848E-3</v>
      </c>
      <c r="I114" s="380">
        <f t="shared" si="89"/>
        <v>1.2838801711840228E-2</v>
      </c>
      <c r="J114" s="380">
        <f t="shared" si="89"/>
        <v>1.4303104077906269E-2</v>
      </c>
      <c r="K114" s="380">
        <f t="shared" si="89"/>
        <v>1.7976307485386166E-2</v>
      </c>
      <c r="L114" s="381">
        <f t="shared" si="89"/>
        <v>2.2480651081145775E-2</v>
      </c>
      <c r="M114" s="86" t="s">
        <v>318</v>
      </c>
    </row>
    <row r="115" spans="5:15" x14ac:dyDescent="0.25">
      <c r="E115" s="96" t="str">
        <f>E41</f>
        <v>Pickup Truck EV as % of EV</v>
      </c>
      <c r="F115" s="382">
        <f t="shared" si="89"/>
        <v>0</v>
      </c>
      <c r="G115" s="382">
        <f t="shared" si="89"/>
        <v>0</v>
      </c>
      <c r="H115" s="382">
        <f t="shared" si="89"/>
        <v>0</v>
      </c>
      <c r="I115" s="382">
        <f t="shared" si="89"/>
        <v>0</v>
      </c>
      <c r="J115" s="382">
        <f t="shared" si="89"/>
        <v>0</v>
      </c>
      <c r="K115" s="382">
        <f t="shared" si="89"/>
        <v>2.2554446226268687E-2</v>
      </c>
      <c r="L115" s="383">
        <f t="shared" si="89"/>
        <v>3.6084736296178088E-2</v>
      </c>
      <c r="M115" s="111" t="s">
        <v>319</v>
      </c>
    </row>
    <row r="119" spans="5:15" x14ac:dyDescent="0.25">
      <c r="E119" s="384"/>
      <c r="F119" s="332">
        <f t="shared" ref="F119:M119" si="90">F7</f>
        <v>2017</v>
      </c>
      <c r="G119" s="332">
        <f t="shared" si="90"/>
        <v>2018</v>
      </c>
      <c r="H119" s="332">
        <f t="shared" si="90"/>
        <v>2019</v>
      </c>
      <c r="I119" s="332">
        <f t="shared" si="90"/>
        <v>2020</v>
      </c>
      <c r="J119" s="332">
        <f t="shared" si="90"/>
        <v>2021</v>
      </c>
      <c r="K119" s="332">
        <f t="shared" si="90"/>
        <v>2022</v>
      </c>
      <c r="L119" s="332">
        <f t="shared" si="90"/>
        <v>2023</v>
      </c>
      <c r="M119" s="332">
        <f t="shared" si="90"/>
        <v>2024</v>
      </c>
    </row>
    <row r="120" spans="5:15" x14ac:dyDescent="0.25">
      <c r="E120" s="483" t="s">
        <v>320</v>
      </c>
      <c r="F120" s="484"/>
      <c r="G120" s="484"/>
      <c r="H120" s="484"/>
      <c r="I120" s="484"/>
      <c r="J120" s="484"/>
      <c r="K120" s="484"/>
      <c r="L120" s="484"/>
      <c r="M120" s="484"/>
    </row>
    <row r="121" spans="5:15" x14ac:dyDescent="0.25">
      <c r="E121" s="385" t="s">
        <v>321</v>
      </c>
      <c r="F121" s="386">
        <f>F9+F46</f>
        <v>66</v>
      </c>
      <c r="G121" s="386">
        <f t="shared" ref="G121:L121" si="91">G9+G46</f>
        <v>151</v>
      </c>
      <c r="H121" s="386">
        <f t="shared" si="91"/>
        <v>90</v>
      </c>
      <c r="I121" s="386">
        <f t="shared" si="91"/>
        <v>78</v>
      </c>
      <c r="J121" s="386">
        <f t="shared" si="91"/>
        <v>179</v>
      </c>
      <c r="K121" s="386">
        <f t="shared" si="91"/>
        <v>328</v>
      </c>
      <c r="L121" s="386">
        <f t="shared" si="91"/>
        <v>522</v>
      </c>
      <c r="M121" s="386">
        <f>M9+M46</f>
        <v>726</v>
      </c>
      <c r="N121" s="47" t="s">
        <v>322</v>
      </c>
    </row>
    <row r="122" spans="5:15" x14ac:dyDescent="0.25">
      <c r="E122" s="332" t="s">
        <v>323</v>
      </c>
      <c r="F122" s="384">
        <f>F12+F49</f>
        <v>61.929824561403507</v>
      </c>
      <c r="G122" s="384">
        <f t="shared" ref="G122:L122" si="92">G12+G49</f>
        <v>143.31917134831463</v>
      </c>
      <c r="H122" s="384">
        <f t="shared" si="92"/>
        <v>89.223992502343009</v>
      </c>
      <c r="I122" s="384">
        <f t="shared" si="92"/>
        <v>77.026304624522695</v>
      </c>
      <c r="J122" s="384">
        <f t="shared" si="92"/>
        <v>177.18795180722893</v>
      </c>
      <c r="K122" s="384">
        <f t="shared" si="92"/>
        <v>314.86787649083823</v>
      </c>
      <c r="L122" s="384">
        <f t="shared" si="92"/>
        <v>491.37041194590751</v>
      </c>
      <c r="M122" s="384">
        <f>M12+M49</f>
        <v>660.17616486283225</v>
      </c>
      <c r="N122" s="47" t="s">
        <v>324</v>
      </c>
    </row>
    <row r="123" spans="5:15" x14ac:dyDescent="0.25">
      <c r="E123" s="332" t="s">
        <v>272</v>
      </c>
      <c r="F123" s="384">
        <f>F17+F54</f>
        <v>4.0701754385964914</v>
      </c>
      <c r="G123" s="384">
        <f t="shared" ref="G123:L123" si="93">G17+G54</f>
        <v>7.6808286516853927</v>
      </c>
      <c r="H123" s="384">
        <f t="shared" si="93"/>
        <v>0.77600749765698218</v>
      </c>
      <c r="I123" s="384">
        <f t="shared" si="93"/>
        <v>0.97369537547730167</v>
      </c>
      <c r="J123" s="384">
        <f t="shared" si="93"/>
        <v>1.8120481927710843</v>
      </c>
      <c r="K123" s="384">
        <f t="shared" si="93"/>
        <v>5.65776179729892</v>
      </c>
      <c r="L123" s="384">
        <f t="shared" si="93"/>
        <v>11.338582489190156</v>
      </c>
      <c r="M123" s="384">
        <f>M17+M54</f>
        <v>6.9729735233819188</v>
      </c>
      <c r="N123" s="47" t="s">
        <v>325</v>
      </c>
    </row>
    <row r="124" spans="5:15" x14ac:dyDescent="0.25">
      <c r="E124" s="332" t="s">
        <v>326</v>
      </c>
      <c r="F124" s="387">
        <f>F22+F59</f>
        <v>0</v>
      </c>
      <c r="G124" s="387">
        <f t="shared" ref="G124:L124" si="94">G22+G59</f>
        <v>0</v>
      </c>
      <c r="H124" s="387">
        <f t="shared" si="94"/>
        <v>0</v>
      </c>
      <c r="I124" s="387">
        <f t="shared" si="94"/>
        <v>0</v>
      </c>
      <c r="J124" s="387">
        <f t="shared" si="94"/>
        <v>0</v>
      </c>
      <c r="K124" s="387">
        <f t="shared" si="94"/>
        <v>7.4743617118628558</v>
      </c>
      <c r="L124" s="387">
        <f t="shared" si="94"/>
        <v>19.291005564902292</v>
      </c>
      <c r="M124" s="387">
        <f>M22+M59</f>
        <v>58.850861613785824</v>
      </c>
      <c r="N124" s="47" t="s">
        <v>327</v>
      </c>
    </row>
    <row r="126" spans="5:15" ht="14.4" x14ac:dyDescent="0.3">
      <c r="E126" s="384"/>
      <c r="F126" s="388">
        <f t="shared" ref="F126:L126" si="95">L7</f>
        <v>2023</v>
      </c>
      <c r="G126" s="332">
        <f t="shared" si="95"/>
        <v>2024</v>
      </c>
      <c r="H126" s="332">
        <f t="shared" si="95"/>
        <v>2025</v>
      </c>
      <c r="I126" s="388">
        <f t="shared" si="95"/>
        <v>2026</v>
      </c>
      <c r="J126" s="332">
        <f t="shared" si="95"/>
        <v>2027</v>
      </c>
      <c r="K126" s="388">
        <f t="shared" si="95"/>
        <v>2028</v>
      </c>
      <c r="L126" s="332">
        <f t="shared" si="95"/>
        <v>2029</v>
      </c>
      <c r="O126" s="47" t="s">
        <v>328</v>
      </c>
    </row>
    <row r="127" spans="5:15" ht="14.4" x14ac:dyDescent="0.3">
      <c r="E127" s="384" t="s">
        <v>329</v>
      </c>
      <c r="F127" s="389">
        <f>L83</f>
        <v>677004</v>
      </c>
      <c r="G127" s="389">
        <f t="shared" ref="G127:L127" si="96">M83</f>
        <v>699289</v>
      </c>
      <c r="H127" s="389">
        <f t="shared" si="96"/>
        <v>713274.78</v>
      </c>
      <c r="I127" s="389">
        <f t="shared" si="96"/>
        <v>727540.27560000005</v>
      </c>
      <c r="J127" s="389">
        <f t="shared" si="96"/>
        <v>742091.08111200004</v>
      </c>
      <c r="K127" s="389">
        <f t="shared" si="96"/>
        <v>756932.90273424005</v>
      </c>
      <c r="L127" s="389">
        <f t="shared" si="96"/>
        <v>772071.56078892492</v>
      </c>
      <c r="N127" s="47" t="s">
        <v>330</v>
      </c>
      <c r="O127" s="47" t="s">
        <v>331</v>
      </c>
    </row>
    <row r="128" spans="5:15" ht="14.4" x14ac:dyDescent="0.3">
      <c r="E128" s="384" t="s">
        <v>332</v>
      </c>
      <c r="F128" s="390">
        <f t="shared" ref="F128:L128" si="97">L82</f>
        <v>7.4049784048543288E-2</v>
      </c>
      <c r="G128" s="390">
        <f t="shared" si="97"/>
        <v>8.0939354115394352E-2</v>
      </c>
      <c r="H128" s="390">
        <f t="shared" si="97"/>
        <v>0.10147926190024462</v>
      </c>
      <c r="I128" s="390">
        <f t="shared" si="97"/>
        <v>0.12723156378461625</v>
      </c>
      <c r="J128" s="390">
        <f t="shared" si="97"/>
        <v>0.15951900437541369</v>
      </c>
      <c r="K128" s="390">
        <f t="shared" si="97"/>
        <v>0.2</v>
      </c>
      <c r="L128" s="390">
        <f t="shared" si="97"/>
        <v>0.23</v>
      </c>
      <c r="N128" s="47" t="s">
        <v>333</v>
      </c>
      <c r="O128" s="47" t="s">
        <v>334</v>
      </c>
    </row>
    <row r="129" spans="5:15" ht="14.4" x14ac:dyDescent="0.3">
      <c r="E129" s="384" t="str">
        <f>D28</f>
        <v>Oshawa % of ON New EVs</v>
      </c>
      <c r="F129" s="391">
        <f t="shared" ref="F129:L129" si="98">(L31+L68)/(L32+L69)</f>
        <v>1.0412510971036465E-2</v>
      </c>
      <c r="G129" s="391">
        <f t="shared" si="98"/>
        <v>1.2826855123674912E-2</v>
      </c>
      <c r="H129" s="391">
        <f t="shared" si="98"/>
        <v>1.2899145720701489E-2</v>
      </c>
      <c r="I129" s="391">
        <f t="shared" si="98"/>
        <v>1.2899145720701489E-2</v>
      </c>
      <c r="J129" s="391">
        <f t="shared" si="98"/>
        <v>1.2899145720701491E-2</v>
      </c>
      <c r="K129" s="391">
        <f t="shared" si="98"/>
        <v>1.2899145720701485E-2</v>
      </c>
      <c r="L129" s="391">
        <f t="shared" si="98"/>
        <v>1.2899145720701487E-2</v>
      </c>
      <c r="N129" s="47" t="s">
        <v>335</v>
      </c>
      <c r="O129" s="47" t="s">
        <v>336</v>
      </c>
    </row>
    <row r="130" spans="5:15" x14ac:dyDescent="0.25">
      <c r="E130" s="332" t="s">
        <v>337</v>
      </c>
      <c r="F130" s="392">
        <f t="shared" ref="F130:L130" si="99">SUM(F131:F133)</f>
        <v>522</v>
      </c>
      <c r="G130" s="386">
        <f t="shared" si="99"/>
        <v>726</v>
      </c>
      <c r="H130" s="386">
        <f t="shared" si="99"/>
        <v>933.67368190810544</v>
      </c>
      <c r="I130" s="392">
        <f t="shared" si="99"/>
        <v>1194.023444761483</v>
      </c>
      <c r="J130" s="386">
        <f t="shared" si="99"/>
        <v>1526.9703047926316</v>
      </c>
      <c r="K130" s="392">
        <f t="shared" si="99"/>
        <v>1952.7575626325056</v>
      </c>
      <c r="L130" s="386">
        <f t="shared" si="99"/>
        <v>2290.5846209679294</v>
      </c>
      <c r="N130" s="47" t="s">
        <v>338</v>
      </c>
      <c r="O130" s="47" t="s">
        <v>339</v>
      </c>
    </row>
    <row r="131" spans="5:15" ht="14.4" x14ac:dyDescent="0.3">
      <c r="E131" s="332" t="s">
        <v>323</v>
      </c>
      <c r="F131" s="389">
        <f>L12+L49</f>
        <v>491.37041194590751</v>
      </c>
      <c r="G131" s="389">
        <f t="shared" ref="G131:L131" si="100">M12+M49</f>
        <v>660.17616486283225</v>
      </c>
      <c r="H131" s="389">
        <f t="shared" si="100"/>
        <v>864.03439876351467</v>
      </c>
      <c r="I131" s="389">
        <f t="shared" si="100"/>
        <v>1104.965631135321</v>
      </c>
      <c r="J131" s="389">
        <f t="shared" si="100"/>
        <v>1413.0792104313555</v>
      </c>
      <c r="K131" s="389">
        <f t="shared" si="100"/>
        <v>1807.108564002714</v>
      </c>
      <c r="L131" s="389">
        <f t="shared" si="100"/>
        <v>2119.7383455751838</v>
      </c>
      <c r="N131" s="47" t="s">
        <v>340</v>
      </c>
      <c r="O131" s="47" t="s">
        <v>341</v>
      </c>
    </row>
    <row r="132" spans="5:15" ht="14.4" x14ac:dyDescent="0.3">
      <c r="E132" s="332" t="s">
        <v>272</v>
      </c>
      <c r="F132" s="389">
        <f>L17+L54</f>
        <v>11.338582489190156</v>
      </c>
      <c r="G132" s="389">
        <f t="shared" ref="G132:L132" si="101">M17+M54</f>
        <v>6.9729735233819188</v>
      </c>
      <c r="H132" s="389">
        <f t="shared" si="101"/>
        <v>14.015058399575604</v>
      </c>
      <c r="I132" s="389">
        <f t="shared" si="101"/>
        <v>17.923080229267569</v>
      </c>
      <c r="J132" s="389">
        <f t="shared" si="101"/>
        <v>22.920832417971901</v>
      </c>
      <c r="K132" s="389">
        <f t="shared" si="101"/>
        <v>29.31218027328001</v>
      </c>
      <c r="L132" s="389">
        <f t="shared" si="101"/>
        <v>34.383187460557451</v>
      </c>
      <c r="N132" s="47" t="s">
        <v>342</v>
      </c>
      <c r="O132" s="47" t="s">
        <v>341</v>
      </c>
    </row>
    <row r="133" spans="5:15" ht="14.4" x14ac:dyDescent="0.3">
      <c r="E133" s="332" t="s">
        <v>343</v>
      </c>
      <c r="F133" s="389">
        <f>L22+L59</f>
        <v>19.291005564902292</v>
      </c>
      <c r="G133" s="389">
        <f t="shared" ref="G133:L133" si="102">M22+M59</f>
        <v>58.850861613785824</v>
      </c>
      <c r="H133" s="389">
        <f t="shared" si="102"/>
        <v>55.624224745015169</v>
      </c>
      <c r="I133" s="389">
        <f t="shared" si="102"/>
        <v>71.134733396894489</v>
      </c>
      <c r="J133" s="389">
        <f t="shared" si="102"/>
        <v>90.970261943304209</v>
      </c>
      <c r="K133" s="389">
        <f t="shared" si="102"/>
        <v>116.33681835651147</v>
      </c>
      <c r="L133" s="389">
        <f t="shared" si="102"/>
        <v>136.46308793218796</v>
      </c>
      <c r="N133" s="47" t="s">
        <v>344</v>
      </c>
      <c r="O133" s="47" t="s">
        <v>341</v>
      </c>
    </row>
    <row r="136" spans="5:15" x14ac:dyDescent="0.25">
      <c r="F136" s="47">
        <v>2023</v>
      </c>
      <c r="G136" s="47">
        <v>2024</v>
      </c>
      <c r="H136" s="47">
        <v>2025</v>
      </c>
      <c r="I136" s="47">
        <v>2026</v>
      </c>
    </row>
    <row r="137" spans="5:15" x14ac:dyDescent="0.25">
      <c r="E137" s="47" t="str">
        <f>E131</f>
        <v>Passenger &amp; Multi-Purpose EVs</v>
      </c>
      <c r="F137" s="92">
        <f>F131</f>
        <v>491.37041194590751</v>
      </c>
      <c r="G137" s="92">
        <f>G131</f>
        <v>660.17616486283225</v>
      </c>
      <c r="H137" s="92">
        <f>H131</f>
        <v>864.03439876351467</v>
      </c>
      <c r="I137" s="92">
        <f>I131</f>
        <v>1104.965631135321</v>
      </c>
      <c r="J137" s="47" t="s">
        <v>303</v>
      </c>
    </row>
    <row r="138" spans="5:15" x14ac:dyDescent="0.25">
      <c r="E138" s="47" t="s">
        <v>345</v>
      </c>
      <c r="F138" s="92">
        <f>L13+L50</f>
        <v>1354.9255332805585</v>
      </c>
      <c r="G138" s="92">
        <f>M13+M50</f>
        <v>2015.1016981433906</v>
      </c>
      <c r="H138" s="92">
        <f>N13+N50</f>
        <v>2879.1360969069055</v>
      </c>
      <c r="I138" s="92">
        <f>O13+O50</f>
        <v>3984.1017280422266</v>
      </c>
      <c r="J138" s="47" t="s">
        <v>305</v>
      </c>
      <c r="K138" s="337"/>
    </row>
    <row r="139" spans="5:15" x14ac:dyDescent="0.25">
      <c r="E139" s="47" t="s">
        <v>346</v>
      </c>
      <c r="F139" s="92">
        <f>L16+L53</f>
        <v>2854434.9286372187</v>
      </c>
      <c r="G139" s="92">
        <f>M16+M53</f>
        <v>4364917.3048964543</v>
      </c>
      <c r="H139" s="92">
        <f>N16+N53</f>
        <v>6374790.7296849741</v>
      </c>
      <c r="I139" s="92">
        <f>O16+O53</f>
        <v>8971763.0528080557</v>
      </c>
      <c r="J139" s="337" t="s">
        <v>347</v>
      </c>
      <c r="K139" s="337"/>
      <c r="L139" s="200"/>
    </row>
    <row r="140" spans="5:15" x14ac:dyDescent="0.25">
      <c r="E140" s="47" t="s">
        <v>348</v>
      </c>
      <c r="G140" s="92"/>
      <c r="H140" s="92">
        <f>H139-G139</f>
        <v>2009873.4247885197</v>
      </c>
      <c r="I140" s="92">
        <f>I139-H139</f>
        <v>2596972.3231230816</v>
      </c>
      <c r="J140" s="47" t="s">
        <v>349</v>
      </c>
      <c r="L140" s="200"/>
    </row>
    <row r="141" spans="5:15" x14ac:dyDescent="0.25">
      <c r="E141" s="47" t="str">
        <f>E132</f>
        <v>Van EVs</v>
      </c>
      <c r="F141" s="92">
        <f>F132</f>
        <v>11.338582489190156</v>
      </c>
      <c r="G141" s="92">
        <f>G132</f>
        <v>6.9729735233819188</v>
      </c>
      <c r="H141" s="92">
        <f>H132</f>
        <v>14.015058399575604</v>
      </c>
      <c r="I141" s="92">
        <f>I132</f>
        <v>17.923080229267569</v>
      </c>
      <c r="J141" s="47" t="s">
        <v>311</v>
      </c>
      <c r="L141" s="200"/>
    </row>
    <row r="142" spans="5:15" x14ac:dyDescent="0.25">
      <c r="E142" s="47" t="s">
        <v>345</v>
      </c>
      <c r="F142" s="348">
        <f>L18+L55</f>
        <v>32.309099442676334</v>
      </c>
      <c r="G142" s="348">
        <f>M18+M55</f>
        <v>39.282072966058251</v>
      </c>
      <c r="H142" s="348">
        <f>N18+N55</f>
        <v>53.297131365633859</v>
      </c>
      <c r="I142" s="348">
        <f>O18+O55</f>
        <v>71.220211594901428</v>
      </c>
      <c r="J142" s="47" t="s">
        <v>313</v>
      </c>
      <c r="L142" s="200"/>
    </row>
    <row r="143" spans="5:15" x14ac:dyDescent="0.25">
      <c r="E143" s="47" t="s">
        <v>346</v>
      </c>
      <c r="F143" s="92">
        <f>L21+L58</f>
        <v>88343.19836225707</v>
      </c>
      <c r="G143" s="92">
        <f>M21+M58</f>
        <v>125227.06877304314</v>
      </c>
      <c r="H143" s="92">
        <f>N21+N58</f>
        <v>168326.09854428194</v>
      </c>
      <c r="I143" s="92">
        <f>O21+O58</f>
        <v>233568.58073931496</v>
      </c>
      <c r="J143" s="337" t="s">
        <v>350</v>
      </c>
      <c r="L143" s="200"/>
    </row>
    <row r="144" spans="5:15" x14ac:dyDescent="0.25">
      <c r="E144" s="47" t="s">
        <v>348</v>
      </c>
      <c r="F144" s="92"/>
      <c r="G144" s="92"/>
      <c r="H144" s="92">
        <f>H143-G143</f>
        <v>43099.029771238798</v>
      </c>
      <c r="I144" s="92">
        <f>I143-H143</f>
        <v>65242.482195033022</v>
      </c>
      <c r="J144" s="47" t="s">
        <v>351</v>
      </c>
      <c r="L144" s="200"/>
    </row>
    <row r="145" spans="5:23" x14ac:dyDescent="0.25">
      <c r="E145" s="47" t="str">
        <f>E133</f>
        <v>Pickup Truck EVs</v>
      </c>
      <c r="F145" s="92">
        <f>F133</f>
        <v>19.291005564902292</v>
      </c>
      <c r="G145" s="92">
        <f>G133</f>
        <v>58.850861613785824</v>
      </c>
      <c r="H145" s="92">
        <f>H133</f>
        <v>55.624224745015169</v>
      </c>
      <c r="I145" s="92">
        <f>I133</f>
        <v>71.134733396894489</v>
      </c>
      <c r="J145" s="47" t="s">
        <v>352</v>
      </c>
      <c r="L145" s="200"/>
    </row>
    <row r="146" spans="5:23" x14ac:dyDescent="0.25">
      <c r="E146" s="47" t="s">
        <v>345</v>
      </c>
      <c r="F146" s="92">
        <f>L23+L55</f>
        <v>52.159279718960128</v>
      </c>
      <c r="G146" s="92">
        <f>M23+M55</f>
        <v>113.97317869714934</v>
      </c>
      <c r="H146" s="92">
        <f>N23+N55</f>
        <v>176.00541611391614</v>
      </c>
      <c r="I146" s="92">
        <f>O23+O55</f>
        <v>255.33500121613395</v>
      </c>
      <c r="J146" s="47" t="s">
        <v>353</v>
      </c>
      <c r="L146" s="200"/>
    </row>
    <row r="147" spans="5:23" x14ac:dyDescent="0.25">
      <c r="E147" s="47" t="s">
        <v>346</v>
      </c>
      <c r="F147" s="92">
        <f>L26+L63</f>
        <v>102719.18696588402</v>
      </c>
      <c r="G147" s="92">
        <f>M26+M63</f>
        <v>337144.78850194835</v>
      </c>
      <c r="H147" s="92">
        <f>N26+N63</f>
        <v>680570.04757835134</v>
      </c>
      <c r="I147" s="92">
        <f>O26+O63</f>
        <v>1060846.9220040804</v>
      </c>
      <c r="J147" s="47" t="s">
        <v>354</v>
      </c>
      <c r="L147" s="200"/>
    </row>
    <row r="148" spans="5:23" x14ac:dyDescent="0.25">
      <c r="E148" s="47" t="s">
        <v>348</v>
      </c>
      <c r="G148" s="92"/>
      <c r="H148" s="92">
        <f>H147-G147</f>
        <v>343425.25907640299</v>
      </c>
      <c r="I148" s="92">
        <f>I147-H147</f>
        <v>380276.87442572904</v>
      </c>
      <c r="J148" s="47" t="s">
        <v>355</v>
      </c>
    </row>
    <row r="149" spans="5:23" x14ac:dyDescent="0.25">
      <c r="L149" s="328"/>
    </row>
    <row r="150" spans="5:23" x14ac:dyDescent="0.25">
      <c r="I150" s="482">
        <v>2025</v>
      </c>
      <c r="J150" s="482"/>
      <c r="K150" s="482"/>
      <c r="L150" s="482">
        <v>2026</v>
      </c>
      <c r="M150" s="482"/>
      <c r="N150" s="482"/>
    </row>
    <row r="151" spans="5:23" x14ac:dyDescent="0.25">
      <c r="F151" s="189" t="str">
        <f t="shared" ref="F151:H156" si="103">X89</f>
        <v>Passenger/SUV</v>
      </c>
      <c r="G151" s="189" t="str">
        <f t="shared" si="103"/>
        <v>Van</v>
      </c>
      <c r="H151" s="189" t="str">
        <f t="shared" si="103"/>
        <v>Pick-up Truck</v>
      </c>
      <c r="I151" s="332" t="str">
        <f t="shared" ref="I151:N151" si="104">F151</f>
        <v>Passenger/SUV</v>
      </c>
      <c r="J151" s="332" t="str">
        <f t="shared" si="104"/>
        <v>Van</v>
      </c>
      <c r="K151" s="332" t="str">
        <f t="shared" si="104"/>
        <v>Pick-up Truck</v>
      </c>
      <c r="L151" s="332" t="str">
        <f t="shared" si="104"/>
        <v>Passenger/SUV</v>
      </c>
      <c r="M151" s="332" t="str">
        <f t="shared" si="104"/>
        <v>Van</v>
      </c>
      <c r="N151" s="332" t="str">
        <f t="shared" si="104"/>
        <v>Pick-up Truck</v>
      </c>
    </row>
    <row r="152" spans="5:23" x14ac:dyDescent="0.25">
      <c r="E152" s="47" t="str">
        <f>W90</f>
        <v>Residential</v>
      </c>
      <c r="F152" s="393">
        <f t="shared" si="103"/>
        <v>0.8</v>
      </c>
      <c r="G152" s="393">
        <f t="shared" si="103"/>
        <v>0.25</v>
      </c>
      <c r="H152" s="393">
        <f t="shared" si="103"/>
        <v>0.25</v>
      </c>
      <c r="I152" s="394">
        <f>$F152*I$157</f>
        <v>1607898.7398308159</v>
      </c>
      <c r="J152" s="394">
        <f>$G152*J$157</f>
        <v>10774.7574428097</v>
      </c>
      <c r="K152" s="394">
        <f>$H152*K$157</f>
        <v>85856.314769100747</v>
      </c>
      <c r="L152" s="394">
        <f>$F152*L$157</f>
        <v>2077577.8584984653</v>
      </c>
      <c r="M152" s="394">
        <f>$G152*M$157</f>
        <v>16310.620548758256</v>
      </c>
      <c r="N152" s="394">
        <f>$H152*N$157</f>
        <v>95069.21860643226</v>
      </c>
      <c r="R152" s="200"/>
      <c r="S152" s="200"/>
      <c r="T152" s="200"/>
      <c r="U152" s="200"/>
      <c r="V152" s="200"/>
      <c r="W152" s="200"/>
    </row>
    <row r="153" spans="5:23" x14ac:dyDescent="0.25">
      <c r="E153" s="47" t="str">
        <f>W91</f>
        <v>GS&lt;50</v>
      </c>
      <c r="F153" s="393">
        <f t="shared" si="103"/>
        <v>0.1</v>
      </c>
      <c r="G153" s="393">
        <f t="shared" si="103"/>
        <v>0.4</v>
      </c>
      <c r="H153" s="393">
        <f t="shared" si="103"/>
        <v>0.3</v>
      </c>
      <c r="I153" s="394">
        <f>$F153*I$157</f>
        <v>200987.34247885199</v>
      </c>
      <c r="J153" s="394">
        <f>$G153*J$157</f>
        <v>17239.611908495521</v>
      </c>
      <c r="K153" s="394">
        <f>$H153*K$157</f>
        <v>103027.57772292089</v>
      </c>
      <c r="L153" s="394">
        <f>$F153*L$157</f>
        <v>259697.23231230816</v>
      </c>
      <c r="M153" s="394">
        <f>$G153*M$157</f>
        <v>26096.99287801321</v>
      </c>
      <c r="N153" s="394">
        <f>$H153*N$157</f>
        <v>114083.06232771871</v>
      </c>
      <c r="R153" s="200"/>
      <c r="S153" s="200"/>
      <c r="T153" s="200"/>
      <c r="U153" s="200"/>
      <c r="V153" s="200"/>
      <c r="W153" s="200"/>
    </row>
    <row r="154" spans="5:23" x14ac:dyDescent="0.25">
      <c r="E154" s="47" t="str">
        <f>W92</f>
        <v>GS 50-999</v>
      </c>
      <c r="F154" s="393">
        <f t="shared" si="103"/>
        <v>0.05</v>
      </c>
      <c r="G154" s="393">
        <f t="shared" si="103"/>
        <v>0.25</v>
      </c>
      <c r="H154" s="393">
        <f t="shared" si="103"/>
        <v>0.3</v>
      </c>
      <c r="I154" s="394">
        <f>$F154*I$157</f>
        <v>100493.671239426</v>
      </c>
      <c r="J154" s="394">
        <f>$G154*J$157</f>
        <v>10774.7574428097</v>
      </c>
      <c r="K154" s="394">
        <f>$H154*K$157</f>
        <v>103027.57772292089</v>
      </c>
      <c r="L154" s="394">
        <f>$F154*L$157</f>
        <v>129848.61615615408</v>
      </c>
      <c r="M154" s="394">
        <f>$G154*M$157</f>
        <v>16310.620548758256</v>
      </c>
      <c r="N154" s="394">
        <f>$H154*N$157</f>
        <v>114083.06232771871</v>
      </c>
      <c r="R154" s="200"/>
      <c r="S154" s="200"/>
      <c r="T154" s="200"/>
      <c r="U154" s="200"/>
      <c r="V154" s="200"/>
      <c r="W154" s="200"/>
    </row>
    <row r="155" spans="5:23" x14ac:dyDescent="0.25">
      <c r="E155" s="47" t="str">
        <f>W93</f>
        <v>GS 1,000-4,999</v>
      </c>
      <c r="F155" s="393">
        <f t="shared" si="103"/>
        <v>0.05</v>
      </c>
      <c r="G155" s="393">
        <f t="shared" si="103"/>
        <v>0.1</v>
      </c>
      <c r="H155" s="393">
        <f t="shared" si="103"/>
        <v>0.1</v>
      </c>
      <c r="I155" s="394">
        <f>$F155*I$157</f>
        <v>100493.671239426</v>
      </c>
      <c r="J155" s="394">
        <f>$G155*J$157</f>
        <v>4309.9029771238802</v>
      </c>
      <c r="K155" s="394">
        <f>$H155*K$157</f>
        <v>34342.525907640302</v>
      </c>
      <c r="L155" s="394">
        <f>$F155*L$157</f>
        <v>129848.61615615408</v>
      </c>
      <c r="M155" s="394">
        <f>$G155*M$157</f>
        <v>6524.2482195033026</v>
      </c>
      <c r="N155" s="394">
        <f>$H155*N$157</f>
        <v>38027.687442572904</v>
      </c>
      <c r="R155" s="200"/>
      <c r="S155" s="200"/>
      <c r="T155" s="200"/>
      <c r="U155" s="200"/>
      <c r="V155" s="200"/>
      <c r="W155" s="200"/>
    </row>
    <row r="156" spans="5:23" x14ac:dyDescent="0.25">
      <c r="E156" s="47" t="str">
        <f>W94</f>
        <v>Large Use</v>
      </c>
      <c r="F156" s="393">
        <f t="shared" si="103"/>
        <v>0</v>
      </c>
      <c r="G156" s="393">
        <f t="shared" si="103"/>
        <v>0</v>
      </c>
      <c r="H156" s="393">
        <f t="shared" si="103"/>
        <v>0.05</v>
      </c>
      <c r="I156" s="394">
        <f>$F156*I$157</f>
        <v>0</v>
      </c>
      <c r="J156" s="394">
        <f>$G156*J$157</f>
        <v>0</v>
      </c>
      <c r="K156" s="394">
        <f>$H156*K$157</f>
        <v>17171.262953820151</v>
      </c>
      <c r="L156" s="394">
        <f>$F156*L$157</f>
        <v>0</v>
      </c>
      <c r="M156" s="394">
        <f>$G156*M$157</f>
        <v>0</v>
      </c>
      <c r="N156" s="394">
        <f>$H156*N$157</f>
        <v>19013.843721286452</v>
      </c>
      <c r="R156" s="200"/>
      <c r="S156" s="200"/>
      <c r="T156" s="200"/>
      <c r="U156" s="200"/>
      <c r="V156" s="200"/>
      <c r="W156" s="200"/>
    </row>
    <row r="157" spans="5:23" x14ac:dyDescent="0.25">
      <c r="I157" s="386">
        <f>H140</f>
        <v>2009873.4247885197</v>
      </c>
      <c r="J157" s="386">
        <f>H144</f>
        <v>43099.029771238798</v>
      </c>
      <c r="K157" s="386">
        <f>H148</f>
        <v>343425.25907640299</v>
      </c>
      <c r="L157" s="386">
        <f>I140</f>
        <v>2596972.3231230816</v>
      </c>
      <c r="M157" s="386">
        <f>I144</f>
        <v>65242.482195033022</v>
      </c>
      <c r="N157" s="386">
        <f>I148</f>
        <v>380276.87442572904</v>
      </c>
      <c r="R157" s="92"/>
      <c r="S157" s="92"/>
      <c r="T157" s="92"/>
      <c r="U157" s="92"/>
      <c r="V157" s="92"/>
      <c r="W157" s="92"/>
    </row>
    <row r="160" spans="5:23" x14ac:dyDescent="0.25">
      <c r="F160" s="47" t="s">
        <v>356</v>
      </c>
      <c r="G160" s="47" t="s">
        <v>357</v>
      </c>
    </row>
    <row r="161" spans="5:10" x14ac:dyDescent="0.25">
      <c r="E161" s="47" t="str">
        <f>E152</f>
        <v>Residential</v>
      </c>
      <c r="F161" s="200">
        <f>SUM(I152:K152)</f>
        <v>1704529.8120427262</v>
      </c>
      <c r="G161" s="200">
        <f>SUM(L152:N152)</f>
        <v>2188957.6976536559</v>
      </c>
      <c r="I161" s="200"/>
      <c r="J161" s="200"/>
    </row>
    <row r="162" spans="5:10" x14ac:dyDescent="0.25">
      <c r="E162" s="47" t="str">
        <f>E153</f>
        <v>GS&lt;50</v>
      </c>
      <c r="F162" s="200">
        <f>SUM(I153:K153)</f>
        <v>321254.53211026837</v>
      </c>
      <c r="G162" s="200">
        <f>SUM(L153:N153)</f>
        <v>399877.2875180401</v>
      </c>
      <c r="I162" s="200"/>
      <c r="J162" s="200"/>
    </row>
    <row r="163" spans="5:10" x14ac:dyDescent="0.25">
      <c r="E163" s="47" t="str">
        <f>E154</f>
        <v>GS 50-999</v>
      </c>
      <c r="F163" s="200">
        <f>SUM(I154:K154)</f>
        <v>214296.00640515657</v>
      </c>
      <c r="G163" s="200">
        <f>SUM(L154:N154)</f>
        <v>260242.29903263104</v>
      </c>
      <c r="I163" s="200"/>
      <c r="J163" s="200"/>
    </row>
    <row r="164" spans="5:10" x14ac:dyDescent="0.25">
      <c r="E164" s="47" t="str">
        <f>E155</f>
        <v>GS 1,000-4,999</v>
      </c>
      <c r="F164" s="200">
        <f>SUM(I155:K155)</f>
        <v>139146.10012419018</v>
      </c>
      <c r="G164" s="200">
        <f>SUM(L155:N155)</f>
        <v>174400.55181823028</v>
      </c>
      <c r="I164" s="200"/>
      <c r="J164" s="200"/>
    </row>
    <row r="165" spans="5:10" x14ac:dyDescent="0.25">
      <c r="E165" s="47" t="str">
        <f>E156</f>
        <v>Large Use</v>
      </c>
      <c r="F165" s="200">
        <f>SUM(I156:K156)</f>
        <v>17171.262953820151</v>
      </c>
      <c r="G165" s="200">
        <f>SUM(L156:N156)</f>
        <v>19013.843721286452</v>
      </c>
      <c r="H165" s="47" t="s">
        <v>358</v>
      </c>
      <c r="I165" s="200"/>
      <c r="J165" s="200"/>
    </row>
    <row r="166" spans="5:10" x14ac:dyDescent="0.25">
      <c r="E166" s="47" t="s">
        <v>321</v>
      </c>
      <c r="F166" s="327">
        <f>SUM(F161:F165)</f>
        <v>2396397.7136361613</v>
      </c>
      <c r="G166" s="327">
        <f>SUM(G161:G165)</f>
        <v>3042491.6797438436</v>
      </c>
      <c r="I166" s="327"/>
      <c r="J166" s="327"/>
    </row>
    <row r="168" spans="5:10" x14ac:dyDescent="0.25">
      <c r="F168" s="47" t="s">
        <v>359</v>
      </c>
      <c r="G168" s="47" t="s">
        <v>360</v>
      </c>
    </row>
    <row r="169" spans="5:10" x14ac:dyDescent="0.25">
      <c r="E169" s="47" t="str">
        <f t="shared" ref="E169:F174" si="105">E161</f>
        <v>Residential</v>
      </c>
      <c r="F169" s="200">
        <f>F161</f>
        <v>1704529.8120427262</v>
      </c>
      <c r="G169" s="200">
        <f>F161+G161</f>
        <v>3893487.5096963821</v>
      </c>
      <c r="I169" s="200"/>
      <c r="J169" s="200"/>
    </row>
    <row r="170" spans="5:10" x14ac:dyDescent="0.25">
      <c r="E170" s="47" t="str">
        <f t="shared" si="105"/>
        <v>GS&lt;50</v>
      </c>
      <c r="F170" s="200">
        <f>F162</f>
        <v>321254.53211026837</v>
      </c>
      <c r="G170" s="200">
        <f t="shared" ref="G170:G173" si="106">F162+G162</f>
        <v>721131.81962830853</v>
      </c>
      <c r="I170" s="200"/>
      <c r="J170" s="200"/>
    </row>
    <row r="171" spans="5:10" x14ac:dyDescent="0.25">
      <c r="E171" s="47" t="str">
        <f t="shared" si="105"/>
        <v>GS 50-999</v>
      </c>
      <c r="F171" s="200">
        <f t="shared" si="105"/>
        <v>214296.00640515657</v>
      </c>
      <c r="G171" s="200">
        <f t="shared" si="106"/>
        <v>474538.30543778761</v>
      </c>
      <c r="I171" s="200"/>
      <c r="J171" s="200"/>
    </row>
    <row r="172" spans="5:10" x14ac:dyDescent="0.25">
      <c r="E172" s="47" t="str">
        <f t="shared" si="105"/>
        <v>GS 1,000-4,999</v>
      </c>
      <c r="F172" s="200">
        <f t="shared" si="105"/>
        <v>139146.10012419018</v>
      </c>
      <c r="G172" s="200">
        <f t="shared" si="106"/>
        <v>313546.65194242046</v>
      </c>
      <c r="I172" s="200"/>
      <c r="J172" s="200"/>
    </row>
    <row r="173" spans="5:10" x14ac:dyDescent="0.25">
      <c r="E173" s="47" t="str">
        <f t="shared" si="105"/>
        <v>Large Use</v>
      </c>
      <c r="F173" s="200">
        <f t="shared" si="105"/>
        <v>17171.262953820151</v>
      </c>
      <c r="G173" s="200">
        <f t="shared" si="106"/>
        <v>36185.106675106603</v>
      </c>
      <c r="I173" s="200"/>
      <c r="J173" s="200"/>
    </row>
    <row r="174" spans="5:10" x14ac:dyDescent="0.25">
      <c r="E174" s="47" t="str">
        <f t="shared" si="105"/>
        <v>Total</v>
      </c>
      <c r="F174" s="327">
        <f>SUM(F169:F173)</f>
        <v>2396397.7136361613</v>
      </c>
      <c r="G174" s="327">
        <f>SUM(G169:G173)</f>
        <v>5438889.3933800058</v>
      </c>
      <c r="I174" s="327"/>
      <c r="J174" s="327"/>
    </row>
  </sheetData>
  <mergeCells count="14">
    <mergeCell ref="C59:C63"/>
    <mergeCell ref="B7:B43"/>
    <mergeCell ref="B44:B80"/>
    <mergeCell ref="L150:N150"/>
    <mergeCell ref="C22:C26"/>
    <mergeCell ref="E120:M120"/>
    <mergeCell ref="C9:C10"/>
    <mergeCell ref="C12:C16"/>
    <mergeCell ref="C17:C21"/>
    <mergeCell ref="I150:K150"/>
    <mergeCell ref="C46:C47"/>
    <mergeCell ref="C49:C53"/>
    <mergeCell ref="C54:C58"/>
    <mergeCell ref="C90:C94"/>
  </mergeCells>
  <phoneticPr fontId="34" type="noConversion"/>
  <hyperlinks>
    <hyperlink ref="F3" r:id="rId1" display="https://council.cleanairpartnership.org/wp-content/uploads/2021/11/2-21-050-EV-Charging-Performance-Requirements-in-GTHA.pdf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tabColor theme="3" tint="0.499984740745262"/>
  </sheetPr>
  <dimension ref="B1:W62"/>
  <sheetViews>
    <sheetView workbookViewId="0">
      <selection activeCell="G45" sqref="G45"/>
    </sheetView>
  </sheetViews>
  <sheetFormatPr defaultColWidth="8.77734375" defaultRowHeight="13.8" x14ac:dyDescent="0.25"/>
  <cols>
    <col min="1" max="1" width="8.77734375" style="47"/>
    <col min="2" max="3" width="27" style="47" customWidth="1"/>
    <col min="4" max="4" width="13.77734375" style="47" bestFit="1" customWidth="1"/>
    <col min="5" max="5" width="19.109375" style="47" customWidth="1"/>
    <col min="6" max="6" width="13.33203125" style="47" customWidth="1"/>
    <col min="7" max="7" width="14.77734375" style="47" bestFit="1" customWidth="1"/>
    <col min="8" max="8" width="13.6640625" style="47" customWidth="1"/>
    <col min="9" max="9" width="14.77734375" style="47" customWidth="1"/>
    <col min="10" max="10" width="14.6640625" style="47" bestFit="1" customWidth="1"/>
    <col min="11" max="11" width="13.109375" style="47" customWidth="1"/>
    <col min="12" max="14" width="8.77734375" style="47"/>
    <col min="15" max="15" width="15.109375" style="47" customWidth="1"/>
    <col min="16" max="17" width="11.6640625" style="47" customWidth="1"/>
    <col min="18" max="18" width="13.6640625" style="47" customWidth="1"/>
    <col min="19" max="20" width="8.77734375" style="47"/>
    <col min="21" max="21" width="13.6640625" style="47" customWidth="1"/>
    <col min="22" max="22" width="10.44140625" style="47" bestFit="1" customWidth="1"/>
    <col min="23" max="16384" width="8.77734375" style="47"/>
  </cols>
  <sheetData>
    <row r="1" spans="2:23" x14ac:dyDescent="0.25">
      <c r="F1" s="189" t="s">
        <v>189</v>
      </c>
      <c r="G1" s="189" t="s">
        <v>297</v>
      </c>
      <c r="T1" s="47" t="s">
        <v>189</v>
      </c>
      <c r="V1" s="47" t="s">
        <v>361</v>
      </c>
    </row>
    <row r="2" spans="2:23" x14ac:dyDescent="0.25">
      <c r="E2" s="47" t="s">
        <v>362</v>
      </c>
      <c r="F2" s="306">
        <f>U15</f>
        <v>1788</v>
      </c>
      <c r="G2" s="92">
        <f>W15</f>
        <v>6955</v>
      </c>
      <c r="H2" s="47" t="s">
        <v>363</v>
      </c>
      <c r="I2" s="47" t="s">
        <v>364</v>
      </c>
      <c r="O2" s="470" t="s">
        <v>365</v>
      </c>
      <c r="P2" s="470"/>
      <c r="Q2" s="470"/>
      <c r="T2" s="307" t="s">
        <v>366</v>
      </c>
      <c r="U2" s="47" t="s">
        <v>367</v>
      </c>
      <c r="V2" s="307" t="s">
        <v>366</v>
      </c>
      <c r="W2" s="47" t="s">
        <v>367</v>
      </c>
    </row>
    <row r="3" spans="2:23" x14ac:dyDescent="0.25">
      <c r="E3" s="47" t="s">
        <v>368</v>
      </c>
      <c r="F3" s="47">
        <v>3.4299999999999997E-2</v>
      </c>
      <c r="G3" s="47">
        <f>F3</f>
        <v>3.4299999999999997E-2</v>
      </c>
      <c r="H3" s="47" t="s">
        <v>369</v>
      </c>
      <c r="I3" s="47" t="s">
        <v>370</v>
      </c>
      <c r="O3" s="47" t="s">
        <v>169</v>
      </c>
      <c r="P3" s="308">
        <f ca="1">Weather!AP34</f>
        <v>697.33418478260876</v>
      </c>
      <c r="Q3" s="309">
        <f t="shared" ref="Q3:Q14" ca="1" si="0">P3/$P$15</f>
        <v>0.18808865274214304</v>
      </c>
      <c r="R3" s="487">
        <f ca="1">SUM(Q3:Q9)</f>
        <v>0.64853066116518754</v>
      </c>
      <c r="T3" s="310">
        <v>419</v>
      </c>
      <c r="U3" s="92">
        <f t="shared" ref="U3:U14" si="1">MAX(T3-$T$9,0)</f>
        <v>368</v>
      </c>
      <c r="V3" s="306">
        <v>1640</v>
      </c>
      <c r="W3" s="92">
        <f t="shared" ref="W3:W14" si="2">MAX(V3-$V$9,0)</f>
        <v>1491</v>
      </c>
    </row>
    <row r="4" spans="2:23" x14ac:dyDescent="0.25">
      <c r="E4" s="47" t="s">
        <v>371</v>
      </c>
      <c r="F4" s="47">
        <v>277</v>
      </c>
      <c r="G4" s="47">
        <f>F4</f>
        <v>277</v>
      </c>
      <c r="H4" s="47" t="s">
        <v>372</v>
      </c>
      <c r="I4" s="47" t="s">
        <v>370</v>
      </c>
      <c r="O4" s="47" t="s">
        <v>171</v>
      </c>
      <c r="P4" s="308">
        <f ca="1">Weather!AP35</f>
        <v>624.25501811594188</v>
      </c>
      <c r="Q4" s="309">
        <f t="shared" ca="1" si="0"/>
        <v>0.16837735462739914</v>
      </c>
      <c r="R4" s="487"/>
      <c r="T4" s="310">
        <v>404</v>
      </c>
      <c r="U4" s="92">
        <f t="shared" si="1"/>
        <v>353</v>
      </c>
      <c r="V4" s="306">
        <v>1463</v>
      </c>
      <c r="W4" s="92">
        <f t="shared" si="2"/>
        <v>1314</v>
      </c>
    </row>
    <row r="5" spans="2:23" x14ac:dyDescent="0.25">
      <c r="E5" s="47" t="s">
        <v>373</v>
      </c>
      <c r="F5" s="47">
        <f>F3*F4</f>
        <v>9.5010999999999992</v>
      </c>
      <c r="G5" s="47">
        <f>G3*G4</f>
        <v>9.5010999999999992</v>
      </c>
      <c r="H5" s="47" t="s">
        <v>374</v>
      </c>
      <c r="O5" s="47" t="s">
        <v>172</v>
      </c>
      <c r="P5" s="308">
        <f ca="1">Weather!AP36</f>
        <v>546.13298913043491</v>
      </c>
      <c r="Q5" s="309">
        <f t="shared" ca="1" si="0"/>
        <v>0.14730586910149249</v>
      </c>
      <c r="R5" s="487"/>
      <c r="T5" s="310">
        <v>354</v>
      </c>
      <c r="U5" s="92">
        <f t="shared" si="1"/>
        <v>303</v>
      </c>
      <c r="V5" s="306">
        <v>1262</v>
      </c>
      <c r="W5" s="92">
        <f t="shared" si="2"/>
        <v>1113</v>
      </c>
    </row>
    <row r="6" spans="2:23" x14ac:dyDescent="0.25">
      <c r="E6" s="47" t="s">
        <v>375</v>
      </c>
      <c r="F6" s="114">
        <f>F2*F5</f>
        <v>16987.966799999998</v>
      </c>
      <c r="G6" s="114">
        <f>G2*G5</f>
        <v>66080.150499999989</v>
      </c>
      <c r="H6" s="47" t="s">
        <v>376</v>
      </c>
      <c r="J6" s="92"/>
      <c r="O6" s="47" t="s">
        <v>173</v>
      </c>
      <c r="P6" s="308">
        <f ca="1">Weather!AP37</f>
        <v>352.41399621212122</v>
      </c>
      <c r="Q6" s="309">
        <f t="shared" ca="1" si="0"/>
        <v>9.5054961023711596E-2</v>
      </c>
      <c r="R6" s="487"/>
      <c r="T6" s="310">
        <v>252</v>
      </c>
      <c r="U6" s="92">
        <f t="shared" si="1"/>
        <v>201</v>
      </c>
      <c r="V6" s="306">
        <v>679</v>
      </c>
      <c r="W6" s="92">
        <f t="shared" si="2"/>
        <v>530</v>
      </c>
    </row>
    <row r="7" spans="2:23" x14ac:dyDescent="0.25">
      <c r="E7" s="47" t="s">
        <v>377</v>
      </c>
      <c r="F7" s="47">
        <v>2.5499999999999998</v>
      </c>
      <c r="G7" s="47">
        <v>2.5499999999999998</v>
      </c>
      <c r="H7" s="47" t="s">
        <v>378</v>
      </c>
      <c r="I7" s="311" t="s">
        <v>379</v>
      </c>
      <c r="O7" s="47" t="s">
        <v>69</v>
      </c>
      <c r="P7" s="308">
        <f ca="1">Weather!AP38</f>
        <v>150.136897859768</v>
      </c>
      <c r="Q7" s="309">
        <f t="shared" ca="1" si="0"/>
        <v>4.0495715628987718E-2</v>
      </c>
      <c r="R7" s="487"/>
      <c r="T7" s="310">
        <v>158</v>
      </c>
      <c r="U7" s="92">
        <f t="shared" si="1"/>
        <v>107</v>
      </c>
      <c r="V7" s="306">
        <v>331</v>
      </c>
      <c r="W7" s="92">
        <f t="shared" si="2"/>
        <v>182</v>
      </c>
    </row>
    <row r="8" spans="2:23" x14ac:dyDescent="0.25">
      <c r="E8" s="47" t="s">
        <v>380</v>
      </c>
      <c r="F8" s="200">
        <f>F6/F7</f>
        <v>6661.947764705882</v>
      </c>
      <c r="G8" s="200">
        <f>G6/G7</f>
        <v>25913.784509803918</v>
      </c>
      <c r="H8" s="47" t="s">
        <v>376</v>
      </c>
      <c r="O8" s="47" t="s">
        <v>142</v>
      </c>
      <c r="P8" s="308">
        <f ca="1">Weather!AP39</f>
        <v>32.520923826173821</v>
      </c>
      <c r="Q8" s="309">
        <f t="shared" ca="1" si="0"/>
        <v>8.7717150282855955E-3</v>
      </c>
      <c r="R8" s="487"/>
      <c r="T8" s="310">
        <v>69</v>
      </c>
      <c r="U8" s="92">
        <f t="shared" si="1"/>
        <v>18</v>
      </c>
      <c r="V8" s="306">
        <v>82</v>
      </c>
      <c r="W8" s="92">
        <f t="shared" si="2"/>
        <v>0</v>
      </c>
    </row>
    <row r="9" spans="2:23" x14ac:dyDescent="0.25">
      <c r="O9" s="47" t="s">
        <v>143</v>
      </c>
      <c r="P9" s="308">
        <f ca="1">Weather!AP40</f>
        <v>1.6179166666666653</v>
      </c>
      <c r="Q9" s="309">
        <f t="shared" ca="1" si="0"/>
        <v>4.3639301316808385E-4</v>
      </c>
      <c r="R9" s="487"/>
      <c r="T9" s="310">
        <v>51</v>
      </c>
      <c r="U9" s="92">
        <f t="shared" si="1"/>
        <v>0</v>
      </c>
      <c r="V9" s="306">
        <v>149</v>
      </c>
      <c r="W9" s="92">
        <f t="shared" si="2"/>
        <v>0</v>
      </c>
    </row>
    <row r="10" spans="2:23" x14ac:dyDescent="0.25">
      <c r="O10" s="47" t="s">
        <v>144</v>
      </c>
      <c r="P10" s="308">
        <f ca="1">Weather!AP41</f>
        <v>5.6499999999999977</v>
      </c>
      <c r="Q10" s="309">
        <f t="shared" ca="1" si="0"/>
        <v>1.5239477874218954E-3</v>
      </c>
      <c r="R10" s="487">
        <f ca="1">SUM(Q10:Q14)</f>
        <v>0.35146933883481224</v>
      </c>
      <c r="T10" s="310">
        <v>54</v>
      </c>
      <c r="U10" s="92">
        <f t="shared" si="1"/>
        <v>3</v>
      </c>
      <c r="V10" s="306">
        <v>166</v>
      </c>
      <c r="W10" s="92">
        <f t="shared" si="2"/>
        <v>17</v>
      </c>
    </row>
    <row r="11" spans="2:23" x14ac:dyDescent="0.25">
      <c r="O11" s="47" t="s">
        <v>174</v>
      </c>
      <c r="P11" s="308">
        <f ca="1">Weather!AP42</f>
        <v>54.959440993788824</v>
      </c>
      <c r="Q11" s="309">
        <f t="shared" ca="1" si="0"/>
        <v>1.482395017706703E-2</v>
      </c>
      <c r="R11" s="487"/>
      <c r="T11" s="310">
        <v>58</v>
      </c>
      <c r="U11" s="92">
        <f t="shared" si="1"/>
        <v>7</v>
      </c>
      <c r="V11" s="306">
        <v>193</v>
      </c>
      <c r="W11" s="92">
        <f t="shared" si="2"/>
        <v>44</v>
      </c>
    </row>
    <row r="12" spans="2:23" x14ac:dyDescent="0.25">
      <c r="O12" s="47" t="s">
        <v>175</v>
      </c>
      <c r="P12" s="308">
        <f ca="1">Weather!AP43</f>
        <v>237.89681159420289</v>
      </c>
      <c r="Q12" s="309">
        <f t="shared" ca="1" si="0"/>
        <v>6.4166782241364448E-2</v>
      </c>
      <c r="R12" s="487"/>
      <c r="T12" s="310">
        <v>91</v>
      </c>
      <c r="U12" s="92">
        <f t="shared" si="1"/>
        <v>40</v>
      </c>
      <c r="V12" s="306">
        <v>407</v>
      </c>
      <c r="W12" s="92">
        <f t="shared" si="2"/>
        <v>258</v>
      </c>
    </row>
    <row r="13" spans="2:23" x14ac:dyDescent="0.25">
      <c r="O13" s="47" t="s">
        <v>176</v>
      </c>
      <c r="P13" s="308">
        <f ca="1">Weather!AP44</f>
        <v>426.62991389045737</v>
      </c>
      <c r="Q13" s="309">
        <f t="shared" ca="1" si="0"/>
        <v>0.11507286961439937</v>
      </c>
      <c r="R13" s="487"/>
      <c r="T13" s="310">
        <v>174</v>
      </c>
      <c r="U13" s="92">
        <f t="shared" si="1"/>
        <v>123</v>
      </c>
      <c r="V13" s="306">
        <v>919</v>
      </c>
      <c r="W13" s="92">
        <f t="shared" si="2"/>
        <v>770</v>
      </c>
    </row>
    <row r="14" spans="2:23" x14ac:dyDescent="0.25">
      <c r="O14" s="47" t="s">
        <v>177</v>
      </c>
      <c r="P14" s="308">
        <f ca="1">Weather!AP45</f>
        <v>577.92800724637686</v>
      </c>
      <c r="Q14" s="309">
        <f t="shared" ca="1" si="0"/>
        <v>0.15588178901455954</v>
      </c>
      <c r="R14" s="487"/>
      <c r="T14" s="310">
        <v>316</v>
      </c>
      <c r="U14" s="92">
        <f t="shared" si="1"/>
        <v>265</v>
      </c>
      <c r="V14" s="306">
        <v>1385</v>
      </c>
      <c r="W14" s="92">
        <f t="shared" si="2"/>
        <v>1236</v>
      </c>
    </row>
    <row r="15" spans="2:23" x14ac:dyDescent="0.25">
      <c r="O15" s="47" t="s">
        <v>321</v>
      </c>
      <c r="P15" s="312">
        <f ca="1">SUM(P3:P14)</f>
        <v>3707.4761003185413</v>
      </c>
      <c r="Q15" s="313">
        <f ca="1">SUM(Q3:Q14)</f>
        <v>0.99999999999999978</v>
      </c>
      <c r="R15" s="314"/>
      <c r="T15" s="306">
        <f>SUM(T3:T14)</f>
        <v>2400</v>
      </c>
      <c r="U15" s="306">
        <f>SUM(U3:U14)</f>
        <v>1788</v>
      </c>
      <c r="V15" s="306">
        <f>SUM(V3:V14)</f>
        <v>8676</v>
      </c>
      <c r="W15" s="306">
        <f>SUM(W3:W14)</f>
        <v>6955</v>
      </c>
    </row>
    <row r="16" spans="2:23" ht="17.399999999999999" x14ac:dyDescent="0.3">
      <c r="B16" s="315"/>
      <c r="C16" s="315"/>
      <c r="D16" s="315"/>
      <c r="E16" s="315"/>
      <c r="F16" s="315"/>
      <c r="G16" s="315"/>
      <c r="H16" s="315"/>
      <c r="I16" s="315"/>
      <c r="J16" s="315"/>
      <c r="R16" s="314"/>
    </row>
    <row r="17" spans="2:18" x14ac:dyDescent="0.25">
      <c r="B17" s="316" t="s">
        <v>189</v>
      </c>
      <c r="C17" s="316"/>
      <c r="D17" s="47">
        <v>2022</v>
      </c>
      <c r="E17" s="47">
        <v>2023</v>
      </c>
      <c r="F17" s="47">
        <v>2024</v>
      </c>
      <c r="G17" s="47">
        <v>2025</v>
      </c>
      <c r="H17" s="47">
        <v>2026</v>
      </c>
      <c r="R17" s="314"/>
    </row>
    <row r="18" spans="2:18" x14ac:dyDescent="0.25">
      <c r="B18" s="47" t="s">
        <v>381</v>
      </c>
      <c r="C18" s="113">
        <f>'Customer Count'!C10</f>
        <v>55127.166666666664</v>
      </c>
      <c r="D18" s="306">
        <f>'Customer Count'!C11</f>
        <v>55761.75</v>
      </c>
      <c r="E18" s="306">
        <f>'Customer Count'!C12</f>
        <v>56980.916666666664</v>
      </c>
      <c r="F18" s="306">
        <f>'Customer Count'!C13</f>
        <v>57937</v>
      </c>
      <c r="G18" s="306">
        <f>'Customer Count'!C14</f>
        <v>58387.476500185643</v>
      </c>
      <c r="H18" s="306">
        <f>'Customer Count'!C15</f>
        <v>59177.394403200509</v>
      </c>
      <c r="I18" s="306"/>
      <c r="J18" s="306"/>
    </row>
    <row r="19" spans="2:18" x14ac:dyDescent="0.25">
      <c r="B19" s="47" t="s">
        <v>382</v>
      </c>
      <c r="D19" s="306">
        <f>D18-C18</f>
        <v>634.58333333333576</v>
      </c>
      <c r="E19" s="306">
        <f>E18-D18</f>
        <v>1219.1666666666642</v>
      </c>
      <c r="F19" s="306">
        <f>F18-E18</f>
        <v>956.08333333333576</v>
      </c>
      <c r="G19" s="306">
        <f>G18-F18</f>
        <v>450.47650018564309</v>
      </c>
      <c r="H19" s="306">
        <f>H18-G18</f>
        <v>789.91790301486617</v>
      </c>
      <c r="I19" s="306"/>
      <c r="J19" s="306"/>
    </row>
    <row r="20" spans="2:18" x14ac:dyDescent="0.25">
      <c r="B20" s="47" t="s">
        <v>383</v>
      </c>
      <c r="D20" s="317">
        <v>2E-3</v>
      </c>
      <c r="E20" s="54">
        <f>D20</f>
        <v>2E-3</v>
      </c>
      <c r="F20" s="54">
        <f t="shared" ref="F20:H21" si="3">E20</f>
        <v>2E-3</v>
      </c>
      <c r="G20" s="54">
        <f t="shared" si="3"/>
        <v>2E-3</v>
      </c>
      <c r="H20" s="54">
        <f t="shared" si="3"/>
        <v>2E-3</v>
      </c>
      <c r="I20" s="54"/>
      <c r="J20" s="54"/>
    </row>
    <row r="21" spans="2:18" x14ac:dyDescent="0.25">
      <c r="B21" s="47" t="s">
        <v>384</v>
      </c>
      <c r="D21" s="318">
        <v>0.17499999999999999</v>
      </c>
      <c r="E21" s="309">
        <f>D21</f>
        <v>0.17499999999999999</v>
      </c>
      <c r="F21" s="309">
        <f t="shared" si="3"/>
        <v>0.17499999999999999</v>
      </c>
      <c r="G21" s="309">
        <f t="shared" si="3"/>
        <v>0.17499999999999999</v>
      </c>
      <c r="H21" s="309">
        <f t="shared" si="3"/>
        <v>0.17499999999999999</v>
      </c>
      <c r="I21" s="319"/>
      <c r="J21" s="319"/>
    </row>
    <row r="22" spans="2:18" x14ac:dyDescent="0.25">
      <c r="B22" s="47" t="s">
        <v>385</v>
      </c>
      <c r="D22" s="306">
        <f>D20*(D18-D19)</f>
        <v>110.25433333333334</v>
      </c>
      <c r="E22" s="306">
        <f>E20*(E18-E19)</f>
        <v>111.5235</v>
      </c>
      <c r="F22" s="306">
        <f>F20*(F18-F19)</f>
        <v>113.96183333333333</v>
      </c>
      <c r="G22" s="306">
        <f>G20*(G18-G19)</f>
        <v>115.87400000000001</v>
      </c>
      <c r="H22" s="306">
        <f>H20*(H18-H19)</f>
        <v>116.77495300037128</v>
      </c>
      <c r="I22" s="306"/>
      <c r="J22" s="306"/>
    </row>
    <row r="23" spans="2:18" x14ac:dyDescent="0.25">
      <c r="B23" s="47" t="s">
        <v>386</v>
      </c>
      <c r="D23" s="306">
        <f>D21*D19</f>
        <v>111.05208333333375</v>
      </c>
      <c r="E23" s="306">
        <f>E21*E19</f>
        <v>213.35416666666623</v>
      </c>
      <c r="F23" s="306">
        <f>F21*F19</f>
        <v>167.31458333333376</v>
      </c>
      <c r="G23" s="306">
        <f>G21*G19</f>
        <v>78.833387532487535</v>
      </c>
      <c r="H23" s="306">
        <f>H21*H19</f>
        <v>138.23563302760158</v>
      </c>
      <c r="I23" s="306"/>
      <c r="J23" s="306"/>
    </row>
    <row r="24" spans="2:18" x14ac:dyDescent="0.25">
      <c r="B24" s="47" t="s">
        <v>387</v>
      </c>
      <c r="D24" s="306">
        <f>D22+D23</f>
        <v>221.30641666666708</v>
      </c>
      <c r="E24" s="306">
        <f>E22+E23</f>
        <v>324.87766666666624</v>
      </c>
      <c r="F24" s="306">
        <f>F22+F23</f>
        <v>281.2764166666671</v>
      </c>
      <c r="G24" s="306">
        <f>G22+G23</f>
        <v>194.70738753248753</v>
      </c>
      <c r="H24" s="306">
        <f>H22+H23</f>
        <v>255.01058602797286</v>
      </c>
      <c r="I24" s="306"/>
      <c r="J24" s="306"/>
    </row>
    <row r="25" spans="2:18" x14ac:dyDescent="0.25">
      <c r="B25" s="47" t="s">
        <v>376</v>
      </c>
      <c r="D25" s="306">
        <f>$F$8</f>
        <v>6661.947764705882</v>
      </c>
      <c r="E25" s="306">
        <f>$F$8</f>
        <v>6661.947764705882</v>
      </c>
      <c r="F25" s="306">
        <f>$F$8</f>
        <v>6661.947764705882</v>
      </c>
      <c r="G25" s="306">
        <f>$F$8</f>
        <v>6661.947764705882</v>
      </c>
      <c r="H25" s="306">
        <f>$F$8</f>
        <v>6661.947764705882</v>
      </c>
      <c r="I25" s="306"/>
      <c r="J25" s="306"/>
    </row>
    <row r="26" spans="2:18" x14ac:dyDescent="0.25">
      <c r="B26" s="316" t="s">
        <v>388</v>
      </c>
      <c r="C26" s="316"/>
      <c r="D26" s="320">
        <f>D24*D25</f>
        <v>1474331.7878275714</v>
      </c>
      <c r="E26" s="320">
        <f>E24*E25</f>
        <v>2164318.0452528596</v>
      </c>
      <c r="F26" s="320">
        <f>F24*F25</f>
        <v>1873848.7952769832</v>
      </c>
      <c r="G26" s="320">
        <f>G24*G25</f>
        <v>1297130.4451437772</v>
      </c>
      <c r="H26" s="320">
        <f>H24*H25</f>
        <v>1698867.2035653908</v>
      </c>
      <c r="I26" s="320"/>
      <c r="J26" s="320"/>
      <c r="L26" s="306"/>
      <c r="M26" s="306"/>
    </row>
    <row r="27" spans="2:18" x14ac:dyDescent="0.25">
      <c r="D27" s="306"/>
      <c r="E27" s="306"/>
      <c r="F27" s="306"/>
      <c r="G27" s="306"/>
      <c r="H27" s="306"/>
      <c r="I27" s="306"/>
      <c r="J27" s="306"/>
    </row>
    <row r="28" spans="2:18" x14ac:dyDescent="0.25">
      <c r="B28" s="316" t="s">
        <v>297</v>
      </c>
      <c r="C28" s="316"/>
      <c r="D28" s="306"/>
      <c r="E28" s="306"/>
      <c r="F28" s="306"/>
      <c r="G28" s="306"/>
      <c r="H28" s="306"/>
      <c r="I28" s="306"/>
      <c r="J28" s="306"/>
    </row>
    <row r="29" spans="2:18" x14ac:dyDescent="0.25">
      <c r="B29" s="47" t="s">
        <v>381</v>
      </c>
      <c r="C29" s="306">
        <f>'Customer Count'!G10</f>
        <v>4271.083333333333</v>
      </c>
      <c r="D29" s="306">
        <f>'Customer Count'!G11</f>
        <v>4304.833333333333</v>
      </c>
      <c r="E29" s="306">
        <f>'Customer Count'!G12</f>
        <v>4393.416666666667</v>
      </c>
      <c r="F29" s="306">
        <f>'Customer Count'!G17</f>
        <v>4427.25</v>
      </c>
      <c r="G29" s="306">
        <f>'Customer Count'!G18</f>
        <v>4325.022565784062</v>
      </c>
      <c r="H29" s="306">
        <f>'Customer Count'!G19</f>
        <v>4371.6390399058555</v>
      </c>
      <c r="I29" s="306"/>
      <c r="J29" s="306"/>
    </row>
    <row r="30" spans="2:18" x14ac:dyDescent="0.25">
      <c r="B30" s="47" t="s">
        <v>382</v>
      </c>
      <c r="D30" s="306">
        <f>D29-C29</f>
        <v>33.75</v>
      </c>
      <c r="E30" s="306">
        <f>E29-D29</f>
        <v>88.58333333333394</v>
      </c>
      <c r="F30" s="306">
        <f>F29-E29</f>
        <v>33.83333333333303</v>
      </c>
      <c r="G30" s="306">
        <f>G29-F29</f>
        <v>-102.22743421593805</v>
      </c>
      <c r="H30" s="306">
        <f>H29-G29</f>
        <v>46.616474121793544</v>
      </c>
      <c r="I30" s="306"/>
      <c r="J30" s="306"/>
    </row>
    <row r="31" spans="2:18" x14ac:dyDescent="0.25">
      <c r="B31" s="47" t="s">
        <v>383</v>
      </c>
      <c r="D31" s="317">
        <v>2E-3</v>
      </c>
      <c r="E31" s="54">
        <f>D31</f>
        <v>2E-3</v>
      </c>
      <c r="F31" s="54">
        <f t="shared" ref="F31:H32" si="4">E31</f>
        <v>2E-3</v>
      </c>
      <c r="G31" s="54">
        <f t="shared" si="4"/>
        <v>2E-3</v>
      </c>
      <c r="H31" s="54">
        <f t="shared" si="4"/>
        <v>2E-3</v>
      </c>
      <c r="I31" s="54"/>
      <c r="J31" s="54"/>
    </row>
    <row r="32" spans="2:18" x14ac:dyDescent="0.25">
      <c r="B32" s="47" t="s">
        <v>384</v>
      </c>
      <c r="D32" s="321">
        <v>0.17499999999999999</v>
      </c>
      <c r="E32" s="309">
        <f>D32</f>
        <v>0.17499999999999999</v>
      </c>
      <c r="F32" s="309">
        <f t="shared" si="4"/>
        <v>0.17499999999999999</v>
      </c>
      <c r="G32" s="309">
        <f t="shared" si="4"/>
        <v>0.17499999999999999</v>
      </c>
      <c r="H32" s="309">
        <f t="shared" si="4"/>
        <v>0.17499999999999999</v>
      </c>
      <c r="I32" s="319"/>
      <c r="J32" s="319"/>
    </row>
    <row r="33" spans="2:14" x14ac:dyDescent="0.25">
      <c r="B33" s="47" t="s">
        <v>385</v>
      </c>
      <c r="D33" s="306">
        <f>D31*(D29-D30)</f>
        <v>8.5421666666666667</v>
      </c>
      <c r="E33" s="306">
        <f>E31*(E29-E30)</f>
        <v>8.6096666666666657</v>
      </c>
      <c r="F33" s="306">
        <f>F31*(F29-F30)</f>
        <v>8.7868333333333339</v>
      </c>
      <c r="G33" s="306">
        <f>G31*(G29-G30)</f>
        <v>8.8544999999999998</v>
      </c>
      <c r="H33" s="306">
        <f>H31*(H29-H30)</f>
        <v>8.6500451315681239</v>
      </c>
      <c r="I33" s="306"/>
      <c r="J33" s="306"/>
    </row>
    <row r="34" spans="2:14" x14ac:dyDescent="0.25">
      <c r="B34" s="47" t="s">
        <v>386</v>
      </c>
      <c r="D34" s="306">
        <f>MAX(D32*D30,0)</f>
        <v>5.90625</v>
      </c>
      <c r="E34" s="306">
        <f>MAX(E32*E30,0)</f>
        <v>15.502083333333438</v>
      </c>
      <c r="F34" s="306">
        <f>MAX(F32*F30,0)</f>
        <v>5.9208333333332801</v>
      </c>
      <c r="G34" s="306">
        <f>MAX(G32*G30,0)</f>
        <v>0</v>
      </c>
      <c r="H34" s="306">
        <f>MAX(H32*H30,0)</f>
        <v>8.1578829713138692</v>
      </c>
      <c r="I34" s="306"/>
      <c r="J34" s="306"/>
    </row>
    <row r="35" spans="2:14" x14ac:dyDescent="0.25">
      <c r="B35" s="47" t="s">
        <v>387</v>
      </c>
      <c r="D35" s="306">
        <f>D33+D34</f>
        <v>14.448416666666667</v>
      </c>
      <c r="E35" s="306">
        <f>E33+E34</f>
        <v>24.111750000000104</v>
      </c>
      <c r="F35" s="306">
        <f>F33+F34</f>
        <v>14.707666666666615</v>
      </c>
      <c r="G35" s="306">
        <f>G33+G34</f>
        <v>8.8544999999999998</v>
      </c>
      <c r="H35" s="306">
        <f>H33+H34</f>
        <v>16.807928102881995</v>
      </c>
      <c r="I35" s="306"/>
      <c r="J35" s="306"/>
    </row>
    <row r="36" spans="2:14" x14ac:dyDescent="0.25">
      <c r="B36" s="47" t="s">
        <v>376</v>
      </c>
      <c r="D36" s="306">
        <f>G8</f>
        <v>25913.784509803918</v>
      </c>
      <c r="E36" s="306">
        <f>D36</f>
        <v>25913.784509803918</v>
      </c>
      <c r="F36" s="306">
        <f>E36</f>
        <v>25913.784509803918</v>
      </c>
      <c r="G36" s="306">
        <f>F36</f>
        <v>25913.784509803918</v>
      </c>
      <c r="H36" s="306">
        <f>G36</f>
        <v>25913.784509803918</v>
      </c>
      <c r="I36" s="306"/>
      <c r="J36" s="306"/>
    </row>
    <row r="37" spans="2:14" x14ac:dyDescent="0.25">
      <c r="B37" s="316" t="s">
        <v>388</v>
      </c>
      <c r="C37" s="316"/>
      <c r="D37" s="320">
        <f>D35*D36</f>
        <v>374413.15600785945</v>
      </c>
      <c r="E37" s="320">
        <f>E35*E36</f>
        <v>624826.69365426735</v>
      </c>
      <c r="F37" s="320">
        <f>F35*F36</f>
        <v>381131.30464202474</v>
      </c>
      <c r="G37" s="320">
        <f>G35*G36</f>
        <v>229453.6049420588</v>
      </c>
      <c r="H37" s="320">
        <f>H35*H36</f>
        <v>435557.0269143614</v>
      </c>
      <c r="I37" s="320"/>
      <c r="J37" s="320"/>
      <c r="L37" s="306"/>
      <c r="M37" s="306"/>
    </row>
    <row r="38" spans="2:14" x14ac:dyDescent="0.25">
      <c r="D38" s="306"/>
      <c r="E38" s="319"/>
      <c r="F38" s="319"/>
      <c r="G38" s="319"/>
    </row>
    <row r="39" spans="2:14" x14ac:dyDescent="0.25">
      <c r="D39" s="49"/>
    </row>
    <row r="40" spans="2:14" ht="14.4" x14ac:dyDescent="0.3">
      <c r="L40" s="322"/>
      <c r="M40" s="323"/>
    </row>
    <row r="41" spans="2:14" x14ac:dyDescent="0.25">
      <c r="D41" s="47">
        <v>2022</v>
      </c>
      <c r="E41" s="47">
        <v>2023</v>
      </c>
      <c r="F41" s="47">
        <v>2024</v>
      </c>
      <c r="G41" s="47">
        <v>2025</v>
      </c>
      <c r="H41" s="47">
        <v>2026</v>
      </c>
      <c r="I41" s="47">
        <v>2027</v>
      </c>
      <c r="L41" s="322"/>
      <c r="M41" s="324"/>
      <c r="N41" s="325"/>
    </row>
    <row r="42" spans="2:14" x14ac:dyDescent="0.25">
      <c r="B42" s="47" t="s">
        <v>389</v>
      </c>
      <c r="D42" s="92">
        <f t="shared" ref="D42:I42" si="5">D26</f>
        <v>1474331.7878275714</v>
      </c>
      <c r="E42" s="92">
        <f t="shared" si="5"/>
        <v>2164318.0452528596</v>
      </c>
      <c r="F42" s="92">
        <f t="shared" si="5"/>
        <v>1873848.7952769832</v>
      </c>
      <c r="G42" s="92">
        <f t="shared" si="5"/>
        <v>1297130.4451437772</v>
      </c>
      <c r="H42" s="92">
        <f t="shared" si="5"/>
        <v>1698867.2035653908</v>
      </c>
      <c r="I42" s="92">
        <f t="shared" si="5"/>
        <v>0</v>
      </c>
      <c r="J42" s="92"/>
      <c r="K42" s="92"/>
      <c r="L42" s="322"/>
      <c r="M42" s="324"/>
      <c r="N42" s="325"/>
    </row>
    <row r="43" spans="2:14" x14ac:dyDescent="0.25">
      <c r="B43" s="47" t="s">
        <v>390</v>
      </c>
      <c r="D43" s="306">
        <f t="shared" ref="D43:I43" ca="1" si="6">C42*$R$3</f>
        <v>0</v>
      </c>
      <c r="E43" s="306">
        <f t="shared" ca="1" si="6"/>
        <v>956149.36913666781</v>
      </c>
      <c r="F43" s="306">
        <f t="shared" ca="1" si="6"/>
        <v>1403626.6128595832</v>
      </c>
      <c r="G43" s="306">
        <f t="shared" ca="1" si="6"/>
        <v>1215248.3981245721</v>
      </c>
      <c r="H43" s="306">
        <f t="shared" ca="1" si="6"/>
        <v>841228.86520658783</v>
      </c>
      <c r="I43" s="306">
        <f t="shared" ca="1" si="6"/>
        <v>1101767.4707601161</v>
      </c>
      <c r="J43" s="306"/>
      <c r="K43" s="306"/>
      <c r="L43" s="322"/>
      <c r="M43" s="324"/>
      <c r="N43" s="325"/>
    </row>
    <row r="44" spans="2:14" x14ac:dyDescent="0.25">
      <c r="B44" s="47" t="s">
        <v>391</v>
      </c>
      <c r="D44" s="306">
        <f t="shared" ref="D44:I44" ca="1" si="7">D42*$R$10</f>
        <v>518182.41869090317</v>
      </c>
      <c r="E44" s="306">
        <f t="shared" ca="1" si="7"/>
        <v>760691.43239327578</v>
      </c>
      <c r="F44" s="306">
        <f t="shared" ca="1" si="7"/>
        <v>658600.3971524107</v>
      </c>
      <c r="G44" s="306">
        <f ca="1">G42*$R$10</f>
        <v>455901.57993718906</v>
      </c>
      <c r="H44" s="306">
        <f t="shared" ca="1" si="7"/>
        <v>597099.73280527431</v>
      </c>
      <c r="I44" s="306">
        <f t="shared" ca="1" si="7"/>
        <v>0</v>
      </c>
      <c r="J44" s="306"/>
      <c r="K44" s="306"/>
      <c r="L44" s="322"/>
      <c r="M44" s="324"/>
      <c r="N44" s="325"/>
    </row>
    <row r="45" spans="2:14" x14ac:dyDescent="0.25">
      <c r="B45" s="316" t="s">
        <v>392</v>
      </c>
      <c r="C45" s="316"/>
      <c r="D45" s="326">
        <f t="shared" ref="D45:I45" ca="1" si="8">D43+D44</f>
        <v>518182.41869090317</v>
      </c>
      <c r="E45" s="326">
        <f t="shared" ca="1" si="8"/>
        <v>1716840.8015299435</v>
      </c>
      <c r="F45" s="326">
        <f t="shared" ca="1" si="8"/>
        <v>2062227.0100119938</v>
      </c>
      <c r="G45" s="326">
        <f t="shared" ca="1" si="8"/>
        <v>1671149.9780617612</v>
      </c>
      <c r="H45" s="326">
        <f t="shared" ca="1" si="8"/>
        <v>1438328.598011862</v>
      </c>
      <c r="I45" s="326">
        <f t="shared" ca="1" si="8"/>
        <v>1101767.4707601161</v>
      </c>
      <c r="J45" s="326"/>
      <c r="K45" s="326"/>
      <c r="M45" s="324"/>
    </row>
    <row r="46" spans="2:14" x14ac:dyDescent="0.25">
      <c r="B46" s="47" t="s">
        <v>393</v>
      </c>
      <c r="D46" s="92">
        <f t="shared" ref="D46:I46" si="9">D37</f>
        <v>374413.15600785945</v>
      </c>
      <c r="E46" s="92">
        <f t="shared" si="9"/>
        <v>624826.69365426735</v>
      </c>
      <c r="F46" s="92">
        <f t="shared" si="9"/>
        <v>381131.30464202474</v>
      </c>
      <c r="G46" s="92">
        <f t="shared" si="9"/>
        <v>229453.6049420588</v>
      </c>
      <c r="H46" s="92">
        <f t="shared" si="9"/>
        <v>435557.0269143614</v>
      </c>
      <c r="I46" s="92">
        <f t="shared" si="9"/>
        <v>0</v>
      </c>
      <c r="J46" s="92"/>
      <c r="K46" s="92"/>
    </row>
    <row r="47" spans="2:14" x14ac:dyDescent="0.25">
      <c r="B47" s="47" t="s">
        <v>390</v>
      </c>
      <c r="D47" s="306">
        <f t="shared" ref="D47:I47" ca="1" si="10">C46*$R$3</f>
        <v>0</v>
      </c>
      <c r="E47" s="306">
        <f t="shared" ca="1" si="10"/>
        <v>242818.41161472158</v>
      </c>
      <c r="F47" s="306">
        <f t="shared" ca="1" si="10"/>
        <v>405219.26874926011</v>
      </c>
      <c r="G47" s="306">
        <f t="shared" ca="1" si="10"/>
        <v>247175.33699024282</v>
      </c>
      <c r="H47" s="306">
        <f t="shared" ca="1" si="10"/>
        <v>148807.69811980912</v>
      </c>
      <c r="I47" s="306">
        <f t="shared" ca="1" si="10"/>
        <v>282472.0866399142</v>
      </c>
      <c r="J47" s="306"/>
      <c r="K47" s="306"/>
    </row>
    <row r="48" spans="2:14" x14ac:dyDescent="0.25">
      <c r="B48" s="47" t="s">
        <v>391</v>
      </c>
      <c r="D48" s="306">
        <f t="shared" ref="D48:I48" ca="1" si="11">D46*$R$10</f>
        <v>131594.74439313778</v>
      </c>
      <c r="E48" s="306">
        <f t="shared" ca="1" si="11"/>
        <v>219607.42490500712</v>
      </c>
      <c r="F48" s="306">
        <f t="shared" ca="1" si="11"/>
        <v>133955.96765178183</v>
      </c>
      <c r="G48" s="306">
        <f t="shared" ca="1" si="11"/>
        <v>80645.906822249613</v>
      </c>
      <c r="H48" s="306">
        <f t="shared" ca="1" si="11"/>
        <v>153084.94027444712</v>
      </c>
      <c r="I48" s="306">
        <f t="shared" ca="1" si="11"/>
        <v>0</v>
      </c>
      <c r="J48" s="306"/>
      <c r="K48" s="306"/>
    </row>
    <row r="49" spans="2:11" x14ac:dyDescent="0.25">
      <c r="B49" s="316" t="s">
        <v>392</v>
      </c>
      <c r="C49" s="316"/>
      <c r="D49" s="326">
        <f t="shared" ref="D49:I49" ca="1" si="12">D47+D48</f>
        <v>131594.74439313778</v>
      </c>
      <c r="E49" s="326">
        <f t="shared" ca="1" si="12"/>
        <v>462425.83651972871</v>
      </c>
      <c r="F49" s="326">
        <f t="shared" ca="1" si="12"/>
        <v>539175.23640104197</v>
      </c>
      <c r="G49" s="326">
        <f t="shared" ca="1" si="12"/>
        <v>327821.24381249247</v>
      </c>
      <c r="H49" s="326">
        <f t="shared" ca="1" si="12"/>
        <v>301892.63839425624</v>
      </c>
      <c r="I49" s="326">
        <f t="shared" ca="1" si="12"/>
        <v>282472.0866399142</v>
      </c>
      <c r="J49" s="326"/>
      <c r="K49" s="326"/>
    </row>
    <row r="53" spans="2:11" ht="27.6" x14ac:dyDescent="0.25">
      <c r="D53" s="213"/>
      <c r="E53" s="213" t="s">
        <v>356</v>
      </c>
      <c r="F53" s="213" t="s">
        <v>357</v>
      </c>
      <c r="G53" s="213" t="s">
        <v>394</v>
      </c>
      <c r="H53" s="213"/>
    </row>
    <row r="54" spans="2:11" x14ac:dyDescent="0.25">
      <c r="C54" s="47" t="s">
        <v>189</v>
      </c>
      <c r="D54" s="200"/>
      <c r="E54" s="200">
        <f ca="1">G45</f>
        <v>1671149.9780617612</v>
      </c>
      <c r="F54" s="200">
        <f ca="1">H45</f>
        <v>1438328.598011862</v>
      </c>
      <c r="G54" s="200">
        <f ca="1">I45</f>
        <v>1101767.4707601161</v>
      </c>
      <c r="H54" s="200"/>
    </row>
    <row r="55" spans="2:11" x14ac:dyDescent="0.25">
      <c r="C55" s="47" t="s">
        <v>395</v>
      </c>
      <c r="D55" s="200"/>
      <c r="E55" s="200">
        <f ca="1">G49</f>
        <v>327821.24381249247</v>
      </c>
      <c r="F55" s="200">
        <f ca="1">H49</f>
        <v>301892.63839425624</v>
      </c>
      <c r="G55" s="200">
        <f ca="1">I49</f>
        <v>282472.0866399142</v>
      </c>
      <c r="H55" s="200"/>
    </row>
    <row r="56" spans="2:11" x14ac:dyDescent="0.25">
      <c r="C56" s="47" t="s">
        <v>321</v>
      </c>
      <c r="D56" s="327"/>
      <c r="E56" s="327">
        <f ca="1">SUM(E54:E55)</f>
        <v>1998971.2218742538</v>
      </c>
      <c r="F56" s="327">
        <f ca="1">SUM(F54:F55)</f>
        <v>1740221.2364061181</v>
      </c>
      <c r="G56" s="327">
        <f ca="1">SUM(G54:G55)</f>
        <v>1384239.5574000303</v>
      </c>
      <c r="H56" s="327"/>
    </row>
    <row r="59" spans="2:11" x14ac:dyDescent="0.25">
      <c r="E59" s="189">
        <v>2025</v>
      </c>
      <c r="F59" s="47">
        <v>2026</v>
      </c>
      <c r="G59" s="47">
        <v>2027</v>
      </c>
    </row>
    <row r="60" spans="2:11" x14ac:dyDescent="0.25">
      <c r="C60" s="47" t="str">
        <f>C54</f>
        <v>Residential</v>
      </c>
      <c r="D60" s="200"/>
      <c r="E60" s="200">
        <f ca="1">SUM($D54:E54)</f>
        <v>1671149.9780617612</v>
      </c>
      <c r="F60" s="200">
        <f ca="1">SUM($D54:F54)</f>
        <v>3109478.5760736233</v>
      </c>
      <c r="G60" s="200">
        <f ca="1">SUM($D54:G54)</f>
        <v>4211246.0468337396</v>
      </c>
      <c r="H60" s="200"/>
    </row>
    <row r="61" spans="2:11" x14ac:dyDescent="0.25">
      <c r="C61" s="47" t="str">
        <f>C55</f>
        <v>GS &lt; 50</v>
      </c>
      <c r="D61" s="200"/>
      <c r="E61" s="200">
        <f ca="1">SUM($D55:E55)</f>
        <v>327821.24381249247</v>
      </c>
      <c r="F61" s="200">
        <f ca="1">SUM($D55:F55)</f>
        <v>629713.88220674871</v>
      </c>
      <c r="G61" s="200">
        <f ca="1">SUM($D55:G55)</f>
        <v>912185.9688466629</v>
      </c>
      <c r="H61" s="200"/>
    </row>
    <row r="62" spans="2:11" x14ac:dyDescent="0.25">
      <c r="C62" s="316" t="s">
        <v>321</v>
      </c>
      <c r="D62" s="327"/>
      <c r="E62" s="327">
        <f ca="1">E60+E61</f>
        <v>1998971.2218742538</v>
      </c>
      <c r="F62" s="327">
        <f ca="1">F60+F61</f>
        <v>3739192.458280372</v>
      </c>
      <c r="G62" s="327">
        <f ca="1">G60+G61</f>
        <v>5123432.0156804025</v>
      </c>
      <c r="H62" s="327"/>
    </row>
  </sheetData>
  <mergeCells count="3">
    <mergeCell ref="O2:Q2"/>
    <mergeCell ref="R3:R9"/>
    <mergeCell ref="R10:R14"/>
  </mergeCells>
  <hyperlinks>
    <hyperlink ref="I7" r:id="rId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tabColor theme="3" tint="0.499984740745262"/>
  </sheetPr>
  <dimension ref="A2:K33"/>
  <sheetViews>
    <sheetView workbookViewId="0">
      <selection activeCell="D6" sqref="D6"/>
    </sheetView>
  </sheetViews>
  <sheetFormatPr defaultColWidth="10.109375" defaultRowHeight="13.8" x14ac:dyDescent="0.25"/>
  <cols>
    <col min="1" max="1" width="10.109375" style="30"/>
    <col min="2" max="2" width="11.6640625" style="30" customWidth="1"/>
    <col min="3" max="3" width="15.44140625" style="30" bestFit="1" customWidth="1"/>
    <col min="4" max="4" width="15.6640625" style="30" bestFit="1" customWidth="1"/>
    <col min="5" max="5" width="15.6640625" style="30" customWidth="1"/>
    <col min="6" max="6" width="13.33203125" style="30" customWidth="1"/>
    <col min="7" max="7" width="1.77734375" style="30" customWidth="1"/>
    <col min="8" max="8" width="14.6640625" style="30" bestFit="1" customWidth="1"/>
    <col min="9" max="9" width="14" style="30" customWidth="1"/>
    <col min="10" max="11" width="10.109375" style="30"/>
    <col min="12" max="13" width="10.77734375" style="30" bestFit="1" customWidth="1"/>
    <col min="14" max="16384" width="10.109375" style="30"/>
  </cols>
  <sheetData>
    <row r="2" spans="1:11" x14ac:dyDescent="0.25">
      <c r="D2" s="488" t="s">
        <v>396</v>
      </c>
      <c r="E2" s="489"/>
      <c r="H2" s="488" t="s">
        <v>397</v>
      </c>
      <c r="I2" s="489"/>
    </row>
    <row r="3" spans="1:11" x14ac:dyDescent="0.25">
      <c r="D3" s="45">
        <v>2025</v>
      </c>
      <c r="E3" s="46">
        <v>2026</v>
      </c>
      <c r="H3" s="45">
        <v>2025</v>
      </c>
      <c r="I3" s="46">
        <v>2026</v>
      </c>
    </row>
    <row r="4" spans="1:11" x14ac:dyDescent="0.25">
      <c r="B4" s="31"/>
      <c r="C4" s="32" t="s">
        <v>189</v>
      </c>
      <c r="D4" s="33">
        <f>'EV Forecast'!F169</f>
        <v>1704529.8120427262</v>
      </c>
      <c r="E4" s="34">
        <f>'EV Forecast'!G169</f>
        <v>3893487.5096963821</v>
      </c>
      <c r="F4" s="35"/>
      <c r="G4" s="35"/>
      <c r="H4" s="33"/>
      <c r="I4" s="34"/>
    </row>
    <row r="5" spans="1:11" x14ac:dyDescent="0.25">
      <c r="B5" s="36" t="s">
        <v>276</v>
      </c>
      <c r="C5" s="30" t="s">
        <v>297</v>
      </c>
      <c r="D5" s="37">
        <f>'EV Forecast'!F170</f>
        <v>321254.53211026837</v>
      </c>
      <c r="E5" s="38">
        <f>'EV Forecast'!G170</f>
        <v>721131.81962830853</v>
      </c>
      <c r="F5" s="35"/>
      <c r="G5" s="35"/>
      <c r="H5" s="37"/>
      <c r="I5" s="38"/>
    </row>
    <row r="6" spans="1:11" x14ac:dyDescent="0.25">
      <c r="B6" s="36"/>
      <c r="C6" s="30" t="s">
        <v>298</v>
      </c>
      <c r="D6" s="37">
        <f>'EV Forecast'!F171</f>
        <v>214296.00640515657</v>
      </c>
      <c r="E6" s="38">
        <f>'EV Forecast'!G171</f>
        <v>474538.30543778761</v>
      </c>
      <c r="F6" s="35"/>
      <c r="G6" s="35"/>
      <c r="H6" s="37">
        <f>'EV Forecast'!N99</f>
        <v>1467.7808657887438</v>
      </c>
      <c r="I6" s="38">
        <f>'EV Forecast'!O99+'EV Forecast'!N99</f>
        <v>3250.2623660122435</v>
      </c>
    </row>
    <row r="7" spans="1:11" x14ac:dyDescent="0.25">
      <c r="B7" s="36"/>
      <c r="C7" s="30" t="s">
        <v>299</v>
      </c>
      <c r="D7" s="37">
        <f>'EV Forecast'!F172</f>
        <v>139146.10012419018</v>
      </c>
      <c r="E7" s="38">
        <f>'EV Forecast'!G172</f>
        <v>313546.65194242046</v>
      </c>
      <c r="F7" s="35"/>
      <c r="G7" s="35"/>
      <c r="H7" s="37">
        <f>'EV Forecast'!N100</f>
        <v>953.05548030267232</v>
      </c>
      <c r="I7" s="38">
        <f>'EV Forecast'!O100+'EV Forecast'!N100</f>
        <v>2147.5798078247972</v>
      </c>
    </row>
    <row r="8" spans="1:11" x14ac:dyDescent="0.25">
      <c r="B8" s="36"/>
      <c r="C8" s="30" t="s">
        <v>115</v>
      </c>
      <c r="D8" s="37">
        <f>'EV Forecast'!F173</f>
        <v>17171.262953820151</v>
      </c>
      <c r="E8" s="38">
        <f>'EV Forecast'!G173</f>
        <v>36185.106675106603</v>
      </c>
      <c r="F8" s="35"/>
      <c r="G8" s="35"/>
      <c r="H8" s="37">
        <f>'EV Forecast'!N101</f>
        <v>117.61139009465856</v>
      </c>
      <c r="I8" s="38">
        <f>'EV Forecast'!O101+'EV Forecast'!N101</f>
        <v>247.84319640483974</v>
      </c>
    </row>
    <row r="9" spans="1:11" x14ac:dyDescent="0.25">
      <c r="B9" s="39"/>
      <c r="C9" s="40" t="s">
        <v>321</v>
      </c>
      <c r="D9" s="41">
        <f>SUM(D4:D8)</f>
        <v>2396397.7136361613</v>
      </c>
      <c r="E9" s="42">
        <f>SUM(E4:E8)</f>
        <v>5438889.3933800058</v>
      </c>
      <c r="F9" s="43"/>
      <c r="G9" s="43"/>
      <c r="H9" s="41">
        <f>SUM(H4:H8)</f>
        <v>2538.4477361860745</v>
      </c>
      <c r="I9" s="42">
        <f>SUM(I4:I8)</f>
        <v>5645.6853702418803</v>
      </c>
    </row>
    <row r="10" spans="1:11" x14ac:dyDescent="0.25">
      <c r="B10" s="31"/>
      <c r="C10" s="32" t="s">
        <v>189</v>
      </c>
      <c r="D10" s="33">
        <f ca="1">Heating!E60</f>
        <v>1671149.9780617612</v>
      </c>
      <c r="E10" s="34">
        <f ca="1">Heating!F60</f>
        <v>3109478.5760736233</v>
      </c>
      <c r="F10" s="35"/>
      <c r="G10" s="35"/>
      <c r="H10" s="33"/>
      <c r="I10" s="34"/>
    </row>
    <row r="11" spans="1:11" x14ac:dyDescent="0.25">
      <c r="A11" s="30" t="s">
        <v>398</v>
      </c>
      <c r="B11" s="36" t="s">
        <v>399</v>
      </c>
      <c r="C11" s="30" t="s">
        <v>297</v>
      </c>
      <c r="D11" s="37">
        <f ca="1">Heating!E61</f>
        <v>327821.24381249247</v>
      </c>
      <c r="E11" s="38">
        <f ca="1">Heating!F61</f>
        <v>629713.88220674871</v>
      </c>
      <c r="F11" s="35"/>
      <c r="G11" s="35"/>
      <c r="H11" s="37"/>
      <c r="I11" s="38"/>
    </row>
    <row r="12" spans="1:11" x14ac:dyDescent="0.25">
      <c r="B12" s="36"/>
      <c r="C12" s="30" t="s">
        <v>298</v>
      </c>
      <c r="D12" s="37"/>
      <c r="E12" s="38"/>
      <c r="F12" s="35"/>
      <c r="G12" s="35"/>
      <c r="H12" s="37"/>
      <c r="I12" s="38"/>
      <c r="K12" s="30" t="s">
        <v>400</v>
      </c>
    </row>
    <row r="13" spans="1:11" x14ac:dyDescent="0.25">
      <c r="B13" s="36"/>
      <c r="C13" s="30" t="s">
        <v>299</v>
      </c>
      <c r="D13" s="37"/>
      <c r="E13" s="38"/>
      <c r="F13" s="35"/>
      <c r="G13" s="35"/>
      <c r="H13" s="37"/>
      <c r="I13" s="38"/>
    </row>
    <row r="14" spans="1:11" x14ac:dyDescent="0.25">
      <c r="B14" s="36"/>
      <c r="C14" s="30" t="s">
        <v>115</v>
      </c>
      <c r="D14" s="37"/>
      <c r="E14" s="38"/>
      <c r="F14" s="35"/>
      <c r="G14" s="35"/>
      <c r="H14" s="37"/>
      <c r="I14" s="38"/>
    </row>
    <row r="15" spans="1:11" x14ac:dyDescent="0.25">
      <c r="B15" s="39"/>
      <c r="C15" s="40" t="s">
        <v>321</v>
      </c>
      <c r="D15" s="41">
        <f ca="1">SUM(D10:D12)</f>
        <v>1998971.2218742538</v>
      </c>
      <c r="E15" s="42">
        <f ca="1">SUM(E10:E12)</f>
        <v>3739192.458280372</v>
      </c>
      <c r="F15" s="43"/>
      <c r="G15" s="43"/>
      <c r="H15" s="41">
        <f>SUM(H10:H12)</f>
        <v>0</v>
      </c>
      <c r="I15" s="42">
        <f>SUM(I10:I12)</f>
        <v>0</v>
      </c>
      <c r="K15" s="30" t="s">
        <v>401</v>
      </c>
    </row>
    <row r="16" spans="1:11" x14ac:dyDescent="0.25">
      <c r="B16" s="31"/>
      <c r="C16" s="32" t="s">
        <v>189</v>
      </c>
      <c r="D16" s="33">
        <f ca="1">D4+D10</f>
        <v>3375679.7901044874</v>
      </c>
      <c r="E16" s="34">
        <f ca="1">E4+E10</f>
        <v>7002966.0857700054</v>
      </c>
      <c r="F16" s="35"/>
      <c r="G16" s="35"/>
      <c r="H16" s="33"/>
      <c r="I16" s="34"/>
    </row>
    <row r="17" spans="2:9" x14ac:dyDescent="0.25">
      <c r="B17" s="44" t="s">
        <v>321</v>
      </c>
      <c r="C17" s="30" t="s">
        <v>297</v>
      </c>
      <c r="D17" s="37">
        <f t="shared" ref="D17:E20" ca="1" si="0">D5+D11</f>
        <v>649075.77592276083</v>
      </c>
      <c r="E17" s="38">
        <f t="shared" ca="1" si="0"/>
        <v>1350845.7018350572</v>
      </c>
      <c r="F17" s="35"/>
      <c r="G17" s="35"/>
      <c r="H17" s="37"/>
      <c r="I17" s="38"/>
    </row>
    <row r="18" spans="2:9" x14ac:dyDescent="0.25">
      <c r="B18" s="36"/>
      <c r="C18" s="30" t="s">
        <v>298</v>
      </c>
      <c r="D18" s="37">
        <f t="shared" si="0"/>
        <v>214296.00640515657</v>
      </c>
      <c r="E18" s="38">
        <f t="shared" si="0"/>
        <v>474538.30543778761</v>
      </c>
      <c r="F18" s="35"/>
      <c r="G18" s="35"/>
      <c r="H18" s="37">
        <f>H6+H12</f>
        <v>1467.7808657887438</v>
      </c>
      <c r="I18" s="38">
        <f>I6+I12</f>
        <v>3250.2623660122435</v>
      </c>
    </row>
    <row r="19" spans="2:9" x14ac:dyDescent="0.25">
      <c r="B19" s="36"/>
      <c r="C19" s="30" t="s">
        <v>299</v>
      </c>
      <c r="D19" s="37">
        <f t="shared" si="0"/>
        <v>139146.10012419018</v>
      </c>
      <c r="E19" s="38">
        <f t="shared" si="0"/>
        <v>313546.65194242046</v>
      </c>
      <c r="F19" s="35"/>
      <c r="G19" s="35"/>
      <c r="H19" s="37">
        <f t="shared" ref="H19:I20" si="1">H7+H13</f>
        <v>953.05548030267232</v>
      </c>
      <c r="I19" s="38">
        <f t="shared" si="1"/>
        <v>2147.5798078247972</v>
      </c>
    </row>
    <row r="20" spans="2:9" x14ac:dyDescent="0.25">
      <c r="B20" s="36"/>
      <c r="C20" s="30" t="s">
        <v>115</v>
      </c>
      <c r="D20" s="37">
        <f t="shared" si="0"/>
        <v>17171.262953820151</v>
      </c>
      <c r="E20" s="38">
        <f t="shared" si="0"/>
        <v>36185.106675106603</v>
      </c>
      <c r="F20" s="35"/>
      <c r="G20" s="35"/>
      <c r="H20" s="37">
        <f t="shared" si="1"/>
        <v>117.61139009465856</v>
      </c>
      <c r="I20" s="38">
        <f t="shared" si="1"/>
        <v>247.84319640483974</v>
      </c>
    </row>
    <row r="21" spans="2:9" x14ac:dyDescent="0.25">
      <c r="B21" s="39"/>
      <c r="C21" s="40" t="s">
        <v>321</v>
      </c>
      <c r="D21" s="41">
        <f ca="1">SUM(D16:D20)</f>
        <v>4395368.9355104147</v>
      </c>
      <c r="E21" s="42">
        <f ca="1">SUM(E16:E20)</f>
        <v>9178081.8516603783</v>
      </c>
      <c r="F21" s="43"/>
      <c r="G21" s="43"/>
      <c r="H21" s="41">
        <f>SUM(H16:H20)</f>
        <v>2538.4477361860745</v>
      </c>
      <c r="I21" s="42">
        <f>SUM(I16:I20)</f>
        <v>5645.6853702418803</v>
      </c>
    </row>
    <row r="33" spans="4:4" x14ac:dyDescent="0.25">
      <c r="D33" s="261"/>
    </row>
  </sheetData>
  <mergeCells count="2">
    <mergeCell ref="H2:I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FF0000"/>
  </sheetPr>
  <dimension ref="B1:W16"/>
  <sheetViews>
    <sheetView topLeftCell="M12" workbookViewId="0">
      <selection activeCell="Y16" sqref="Y16"/>
    </sheetView>
  </sheetViews>
  <sheetFormatPr defaultColWidth="8.77734375" defaultRowHeight="13.2" x14ac:dyDescent="0.25"/>
  <cols>
    <col min="1" max="1" width="14.77734375" style="1" customWidth="1"/>
    <col min="2" max="2" width="8.77734375" style="1"/>
    <col min="3" max="3" width="21.109375" style="1" customWidth="1"/>
    <col min="4" max="4" width="15.77734375" style="1" customWidth="1"/>
    <col min="5" max="5" width="8.77734375" style="1"/>
    <col min="6" max="7" width="22.44140625" style="1" customWidth="1"/>
    <col min="8" max="8" width="8.77734375" style="1"/>
    <col min="9" max="9" width="20" style="1" customWidth="1"/>
    <col min="10" max="10" width="16.77734375" style="1" customWidth="1"/>
    <col min="11" max="11" width="8.77734375" style="1"/>
    <col min="12" max="13" width="22.33203125" style="1" customWidth="1"/>
    <col min="14" max="14" width="8.77734375" style="1"/>
    <col min="15" max="15" width="19.33203125" style="1" customWidth="1"/>
    <col min="16" max="16" width="17.6640625" style="1" customWidth="1"/>
    <col min="17" max="17" width="8.77734375" style="1"/>
    <col min="18" max="18" width="25.109375" style="1" customWidth="1"/>
    <col min="19" max="19" width="8.77734375" style="1"/>
    <col min="20" max="20" width="5.44140625" style="1" bestFit="1" customWidth="1"/>
    <col min="21" max="21" width="17.21875" style="1" bestFit="1" customWidth="1"/>
    <col min="22" max="22" width="11.109375" style="1" bestFit="1" customWidth="1"/>
    <col min="23" max="23" width="9.33203125" style="1" bestFit="1" customWidth="1"/>
    <col min="24" max="16384" width="8.77734375" style="1"/>
  </cols>
  <sheetData>
    <row r="1" spans="2:23" x14ac:dyDescent="0.25">
      <c r="D1" s="4"/>
    </row>
    <row r="2" spans="2:23" ht="13.8" x14ac:dyDescent="0.25">
      <c r="B2" s="178"/>
      <c r="C2" s="490" t="s">
        <v>402</v>
      </c>
      <c r="D2" s="490"/>
      <c r="E2" s="179" t="s">
        <v>403</v>
      </c>
      <c r="F2" s="177"/>
      <c r="G2" s="177"/>
      <c r="H2" s="178"/>
      <c r="I2" s="490" t="s">
        <v>393</v>
      </c>
      <c r="J2" s="490"/>
      <c r="K2" s="179" t="s">
        <v>403</v>
      </c>
      <c r="N2" s="178"/>
      <c r="O2" s="490" t="s">
        <v>404</v>
      </c>
      <c r="P2" s="490"/>
      <c r="Q2" s="179" t="s">
        <v>403</v>
      </c>
      <c r="T2" s="178"/>
      <c r="U2" s="490" t="s">
        <v>413</v>
      </c>
      <c r="V2" s="490"/>
      <c r="W2" s="179" t="s">
        <v>403</v>
      </c>
    </row>
    <row r="3" spans="2:23" ht="13.8" x14ac:dyDescent="0.25">
      <c r="B3" s="179" t="s">
        <v>1</v>
      </c>
      <c r="C3" s="179" t="s">
        <v>405</v>
      </c>
      <c r="D3" s="179" t="s">
        <v>196</v>
      </c>
      <c r="E3" s="179" t="s">
        <v>406</v>
      </c>
      <c r="F3" s="177"/>
      <c r="G3" s="177"/>
      <c r="H3" s="179" t="s">
        <v>1</v>
      </c>
      <c r="I3" s="179" t="s">
        <v>405</v>
      </c>
      <c r="J3" s="179" t="s">
        <v>196</v>
      </c>
      <c r="K3" s="179" t="s">
        <v>406</v>
      </c>
      <c r="N3" s="179" t="s">
        <v>1</v>
      </c>
      <c r="O3" s="179" t="s">
        <v>405</v>
      </c>
      <c r="P3" s="179" t="s">
        <v>196</v>
      </c>
      <c r="Q3" s="179" t="s">
        <v>406</v>
      </c>
      <c r="T3" s="179" t="s">
        <v>1</v>
      </c>
      <c r="U3" s="179" t="s">
        <v>405</v>
      </c>
      <c r="V3" s="179" t="s">
        <v>196</v>
      </c>
      <c r="W3" s="179" t="s">
        <v>406</v>
      </c>
    </row>
    <row r="4" spans="2:23" ht="13.8" x14ac:dyDescent="0.25">
      <c r="B4" s="177">
        <v>2015</v>
      </c>
      <c r="C4" s="180">
        <f>SUMIF('Res Predicted Monthly'!$B:$B,B4,'Res Predicted Monthly'!D:D)</f>
        <v>481012059.99999994</v>
      </c>
      <c r="D4" s="180">
        <f>SUMIF('Res Predicted Monthly'!$B:$B,B4,'Res Predicted Monthly'!O:O)</f>
        <v>476971510.45629728</v>
      </c>
      <c r="E4" s="181">
        <f t="shared" ref="E4:E13" si="0">ABS(C4-D4)/C4</f>
        <v>8.4001002879276303E-3</v>
      </c>
      <c r="F4" s="181"/>
      <c r="G4" s="181"/>
      <c r="H4" s="177">
        <v>2015</v>
      </c>
      <c r="I4" s="180">
        <f>SUMIF('GS&lt;50 Predicted Monthly'!$B:$B,H4,'GS&lt;50 Predicted Monthly'!D:D)</f>
        <v>134898301.62</v>
      </c>
      <c r="J4" s="180">
        <f>SUMIF('GS&lt;50 Predicted Monthly'!$B:$B,H4,'GS&lt;50 Predicted Monthly'!Q:Q)</f>
        <v>131328002.65475251</v>
      </c>
      <c r="K4" s="181">
        <f t="shared" ref="K4:K13" si="1">ABS(I4-J4)/I4</f>
        <v>2.6466596853864058E-2</v>
      </c>
      <c r="N4" s="177">
        <v>2015</v>
      </c>
      <c r="O4" s="180">
        <f>SUMIF('GS 50-999 Predicted Monthly'!$B:$B,N4,'GS 50-999 Predicted Monthly'!D:D)</f>
        <v>331966598.85181773</v>
      </c>
      <c r="P4" s="180">
        <f>SUMIF('GS 50-999 Predicted Monthly'!$B:$B,N4,'GS 50-999 Predicted Monthly'!Q:Q)</f>
        <v>333200743.8921085</v>
      </c>
      <c r="Q4" s="181">
        <f t="shared" ref="Q4:Q13" si="2">ABS(O4-P4)/O4</f>
        <v>3.7176783584834897E-3</v>
      </c>
      <c r="T4" s="177">
        <v>2015</v>
      </c>
      <c r="U4" s="180">
        <f>SUMIF('Large Use Predicted Monthly'!$B:$B,T4,'Large Use Predicted Monthly'!$D:$D)</f>
        <v>41948975.999999993</v>
      </c>
      <c r="V4" s="180">
        <f>SUMIF('Large Use Predicted Monthly'!$B:$B,T4,'Large Use Predicted Monthly'!$U:$U)</f>
        <v>41074144.323495239</v>
      </c>
      <c r="W4" s="181">
        <f t="shared" ref="W4:W13" si="3">ABS(U4-V4)/U4</f>
        <v>2.0854661065022272E-2</v>
      </c>
    </row>
    <row r="5" spans="2:23" ht="13.8" x14ac:dyDescent="0.25">
      <c r="B5" s="176">
        <v>2016</v>
      </c>
      <c r="C5" s="180">
        <f>SUMIF('Res Predicted Monthly'!$B:$B,B5,'Res Predicted Monthly'!D:D)</f>
        <v>485657328.5</v>
      </c>
      <c r="D5" s="180">
        <f>SUMIF('Res Predicted Monthly'!$B:$B,B5,'Res Predicted Monthly'!O:O)</f>
        <v>488740991.80774629</v>
      </c>
      <c r="E5" s="181">
        <f t="shared" si="0"/>
        <v>6.34946314363357E-3</v>
      </c>
      <c r="F5" s="181"/>
      <c r="G5" s="181"/>
      <c r="H5" s="176">
        <v>2016</v>
      </c>
      <c r="I5" s="180">
        <f>SUMIF('GS&lt;50 Predicted Monthly'!$B:$B,H5,'GS&lt;50 Predicted Monthly'!D:D)</f>
        <v>134192420.16500002</v>
      </c>
      <c r="J5" s="180">
        <f>SUMIF('GS&lt;50 Predicted Monthly'!$B:$B,H5,'GS&lt;50 Predicted Monthly'!Q:Q)</f>
        <v>135065967.91239589</v>
      </c>
      <c r="K5" s="181">
        <f t="shared" si="1"/>
        <v>6.5096653471319625E-3</v>
      </c>
      <c r="N5" s="176">
        <v>2016</v>
      </c>
      <c r="O5" s="180">
        <f>SUMIF('GS 50-999 Predicted Monthly'!$B:$B,N5,'GS 50-999 Predicted Monthly'!D:D)</f>
        <v>338382860.51643836</v>
      </c>
      <c r="P5" s="180">
        <f>SUMIF('GS 50-999 Predicted Monthly'!$B:$B,N5,'GS 50-999 Predicted Monthly'!Q:Q)</f>
        <v>336016997.62062865</v>
      </c>
      <c r="Q5" s="181">
        <f t="shared" si="2"/>
        <v>6.9916747325764108E-3</v>
      </c>
      <c r="T5" s="176">
        <v>2016</v>
      </c>
      <c r="U5" s="180">
        <f>SUMIF('Large Use Predicted Monthly'!$B:$B,T5,'Large Use Predicted Monthly'!$D:$D)</f>
        <v>41438245.999999993</v>
      </c>
      <c r="V5" s="180">
        <f>SUMIF('Large Use Predicted Monthly'!$B:$B,T5,'Large Use Predicted Monthly'!$U:$U)</f>
        <v>40904013.848729134</v>
      </c>
      <c r="W5" s="181">
        <f t="shared" si="3"/>
        <v>1.2892248172638848E-2</v>
      </c>
    </row>
    <row r="6" spans="2:23" ht="13.8" x14ac:dyDescent="0.25">
      <c r="B6" s="177">
        <v>2017</v>
      </c>
      <c r="C6" s="180">
        <f>SUMIF('Res Predicted Monthly'!$B:$B,B6,'Res Predicted Monthly'!D:D)</f>
        <v>485732542.58580047</v>
      </c>
      <c r="D6" s="180">
        <f>SUMIF('Res Predicted Monthly'!$B:$B,B6,'Res Predicted Monthly'!O:O)</f>
        <v>484767125.02619839</v>
      </c>
      <c r="E6" s="181">
        <f t="shared" si="0"/>
        <v>1.9875496800413556E-3</v>
      </c>
      <c r="F6" s="181"/>
      <c r="G6" s="181"/>
      <c r="H6" s="177">
        <v>2017</v>
      </c>
      <c r="I6" s="180">
        <f>SUMIF('GS&lt;50 Predicted Monthly'!$B:$B,H6,'GS&lt;50 Predicted Monthly'!D:D)</f>
        <v>133352086.91229646</v>
      </c>
      <c r="J6" s="180">
        <f>SUMIF('GS&lt;50 Predicted Monthly'!$B:$B,H6,'GS&lt;50 Predicted Monthly'!Q:Q)</f>
        <v>132272227.93232748</v>
      </c>
      <c r="K6" s="181">
        <f t="shared" si="1"/>
        <v>8.0978033788041571E-3</v>
      </c>
      <c r="N6" s="177">
        <v>2017</v>
      </c>
      <c r="O6" s="180">
        <f>SUMIF('GS 50-999 Predicted Monthly'!$B:$B,N6,'GS 50-999 Predicted Monthly'!D:D)</f>
        <v>348869191.4106676</v>
      </c>
      <c r="P6" s="180">
        <f>SUMIF('GS 50-999 Predicted Monthly'!$B:$B,N6,'GS 50-999 Predicted Monthly'!Q:Q)</f>
        <v>331416764.87606466</v>
      </c>
      <c r="Q6" s="181">
        <f t="shared" si="2"/>
        <v>5.0025702940501286E-2</v>
      </c>
      <c r="T6" s="177">
        <v>2017</v>
      </c>
      <c r="U6" s="180">
        <f>SUMIF('Large Use Predicted Monthly'!$B:$B,T6,'Large Use Predicted Monthly'!$D:$D)</f>
        <v>37675686.675000004</v>
      </c>
      <c r="V6" s="180">
        <f>SUMIF('Large Use Predicted Monthly'!$B:$B,T6,'Large Use Predicted Monthly'!$U:$U)</f>
        <v>40124192.330325671</v>
      </c>
      <c r="W6" s="181">
        <f t="shared" si="3"/>
        <v>6.4989012050320275E-2</v>
      </c>
    </row>
    <row r="7" spans="2:23" ht="13.8" x14ac:dyDescent="0.25">
      <c r="B7" s="176">
        <v>2018</v>
      </c>
      <c r="C7" s="180">
        <f>SUMIF('Res Predicted Monthly'!$B:$B,B7,'Res Predicted Monthly'!D:D)</f>
        <v>511063536.77024138</v>
      </c>
      <c r="D7" s="180">
        <f>SUMIF('Res Predicted Monthly'!$B:$B,B7,'Res Predicted Monthly'!O:O)</f>
        <v>515982014.74413961</v>
      </c>
      <c r="E7" s="181">
        <f t="shared" si="0"/>
        <v>9.6240048839747877E-3</v>
      </c>
      <c r="F7" s="181"/>
      <c r="G7" s="181"/>
      <c r="H7" s="176">
        <v>2018</v>
      </c>
      <c r="I7" s="180">
        <f>SUMIF('GS&lt;50 Predicted Monthly'!$B:$B,H7,'GS&lt;50 Predicted Monthly'!D:D)</f>
        <v>140606315.23148555</v>
      </c>
      <c r="J7" s="180">
        <f>SUMIF('GS&lt;50 Predicted Monthly'!$B:$B,H7,'GS&lt;50 Predicted Monthly'!Q:Q)</f>
        <v>137252192.64233917</v>
      </c>
      <c r="K7" s="181">
        <f t="shared" si="1"/>
        <v>2.3854707973993597E-2</v>
      </c>
      <c r="N7" s="176">
        <v>2018</v>
      </c>
      <c r="O7" s="180">
        <f>SUMIF('GS 50-999 Predicted Monthly'!$B:$B,N7,'GS 50-999 Predicted Monthly'!D:D)</f>
        <v>331859176.49686801</v>
      </c>
      <c r="P7" s="180">
        <f>SUMIF('GS 50-999 Predicted Monthly'!$B:$B,N7,'GS 50-999 Predicted Monthly'!Q:Q)</f>
        <v>343759765.92849463</v>
      </c>
      <c r="Q7" s="181">
        <f t="shared" si="2"/>
        <v>3.5860359678012196E-2</v>
      </c>
      <c r="T7" s="176">
        <v>2018</v>
      </c>
      <c r="U7" s="180">
        <f>SUMIF('Large Use Predicted Monthly'!$B:$B,T7,'Large Use Predicted Monthly'!$D:$D)</f>
        <v>45152334.11666666</v>
      </c>
      <c r="V7" s="180">
        <f>SUMIF('Large Use Predicted Monthly'!$B:$B,T7,'Large Use Predicted Monthly'!$U:$U)</f>
        <v>40236232.283629149</v>
      </c>
      <c r="W7" s="181">
        <f t="shared" si="3"/>
        <v>0.10887813286318848</v>
      </c>
    </row>
    <row r="8" spans="2:23" ht="13.8" x14ac:dyDescent="0.25">
      <c r="B8" s="176">
        <v>2019</v>
      </c>
      <c r="C8" s="180">
        <f>SUMIF('Res Predicted Monthly'!$B:$B,B8,'Res Predicted Monthly'!D:D)</f>
        <v>511763347</v>
      </c>
      <c r="D8" s="180">
        <f>SUMIF('Res Predicted Monthly'!$B:$B,B8,'Res Predicted Monthly'!O:O)</f>
        <v>513701799.2237404</v>
      </c>
      <c r="E8" s="181">
        <f t="shared" si="0"/>
        <v>3.7877902649804244E-3</v>
      </c>
      <c r="F8" s="181"/>
      <c r="G8" s="181"/>
      <c r="H8" s="176">
        <v>2019</v>
      </c>
      <c r="I8" s="180">
        <f>SUMIF('GS&lt;50 Predicted Monthly'!$B:$B,H8,'GS&lt;50 Predicted Monthly'!D:D)</f>
        <v>123864823.73779301</v>
      </c>
      <c r="J8" s="180">
        <f>SUMIF('GS&lt;50 Predicted Monthly'!$B:$B,H8,'GS&lt;50 Predicted Monthly'!Q:Q)</f>
        <v>135154894.8502</v>
      </c>
      <c r="K8" s="181">
        <f t="shared" si="1"/>
        <v>9.1148324211131254E-2</v>
      </c>
      <c r="N8" s="176">
        <v>2019</v>
      </c>
      <c r="O8" s="180">
        <f>SUMIF('GS 50-999 Predicted Monthly'!$B:$B,N8,'GS 50-999 Predicted Monthly'!D:D)</f>
        <v>336690488.22027057</v>
      </c>
      <c r="P8" s="180">
        <f>SUMIF('GS 50-999 Predicted Monthly'!$B:$B,N8,'GS 50-999 Predicted Monthly'!Q:Q)</f>
        <v>341675151.25689608</v>
      </c>
      <c r="Q8" s="181">
        <f t="shared" si="2"/>
        <v>1.480488226137361E-2</v>
      </c>
      <c r="T8" s="176">
        <v>2019</v>
      </c>
      <c r="U8" s="180">
        <f>SUMIF('Large Use Predicted Monthly'!$B:$B,T8,'Large Use Predicted Monthly'!$D:$D)</f>
        <v>39157632.233333327</v>
      </c>
      <c r="V8" s="180">
        <f>SUMIF('Large Use Predicted Monthly'!$B:$B,T8,'Large Use Predicted Monthly'!$U:$U)</f>
        <v>39351670.439221382</v>
      </c>
      <c r="W8" s="181">
        <f t="shared" si="3"/>
        <v>4.9553099822741142E-3</v>
      </c>
    </row>
    <row r="9" spans="2:23" ht="13.8" x14ac:dyDescent="0.25">
      <c r="B9" s="177">
        <v>2020</v>
      </c>
      <c r="C9" s="180">
        <f>SUMIF('Res Predicted Monthly'!$B:$B,B9,'Res Predicted Monthly'!D:D)</f>
        <v>545038339</v>
      </c>
      <c r="D9" s="180">
        <f>SUMIF('Res Predicted Monthly'!$B:$B,B9,'Res Predicted Monthly'!O:O)</f>
        <v>534472359.00402033</v>
      </c>
      <c r="E9" s="181">
        <f t="shared" si="0"/>
        <v>1.9385755533024379E-2</v>
      </c>
      <c r="F9" s="181"/>
      <c r="G9" s="181"/>
      <c r="H9" s="176">
        <v>2020</v>
      </c>
      <c r="I9" s="180">
        <f>SUMIF('GS&lt;50 Predicted Monthly'!$B:$B,H9,'GS&lt;50 Predicted Monthly'!D:D)</f>
        <v>121640408.50729647</v>
      </c>
      <c r="J9" s="180">
        <f>SUMIF('GS&lt;50 Predicted Monthly'!$B:$B,H9,'GS&lt;50 Predicted Monthly'!Q:Q)</f>
        <v>126157532.48477975</v>
      </c>
      <c r="K9" s="181">
        <f t="shared" si="1"/>
        <v>3.7135060897237268E-2</v>
      </c>
      <c r="N9" s="176">
        <v>2020</v>
      </c>
      <c r="O9" s="180">
        <f>SUMIF('GS 50-999 Predicted Monthly'!$B:$B,N9,'GS 50-999 Predicted Monthly'!D:D)</f>
        <v>312300869.96593964</v>
      </c>
      <c r="P9" s="180">
        <f>SUMIF('GS 50-999 Predicted Monthly'!$B:$B,N9,'GS 50-999 Predicted Monthly'!Q:Q)</f>
        <v>319036530.00890112</v>
      </c>
      <c r="Q9" s="181">
        <f t="shared" si="2"/>
        <v>2.1567855522452075E-2</v>
      </c>
      <c r="T9" s="176">
        <v>2020</v>
      </c>
      <c r="U9" s="180">
        <f>SUMIF('Large Use Predicted Monthly'!$B:$B,T9,'Large Use Predicted Monthly'!$D:$D)</f>
        <v>31076990.349999994</v>
      </c>
      <c r="V9" s="180">
        <f>SUMIF('Large Use Predicted Monthly'!$B:$B,T9,'Large Use Predicted Monthly'!$U:$U)</f>
        <v>34821748.836139143</v>
      </c>
      <c r="W9" s="181">
        <f t="shared" si="3"/>
        <v>0.12049939340857534</v>
      </c>
    </row>
    <row r="10" spans="2:23" ht="13.8" x14ac:dyDescent="0.25">
      <c r="B10" s="176">
        <v>2021</v>
      </c>
      <c r="C10" s="180">
        <f ca="1">SUMIF('Res Predicted Monthly'!$B:$B,B10,'Res Predicted Monthly'!D:D)</f>
        <v>542034540.00392497</v>
      </c>
      <c r="D10" s="180">
        <f>SUMIF('Res Predicted Monthly'!$B:$B,B10,'Res Predicted Monthly'!O:O)</f>
        <v>542141561.80760407</v>
      </c>
      <c r="E10" s="181">
        <f t="shared" ca="1" si="0"/>
        <v>1.9744461981764788E-4</v>
      </c>
      <c r="F10" s="181"/>
      <c r="G10" s="181"/>
      <c r="H10" s="177">
        <v>2021</v>
      </c>
      <c r="I10" s="180">
        <f ca="1">SUMIF('GS&lt;50 Predicted Monthly'!$B:$B,H10,'GS&lt;50 Predicted Monthly'!D:D)</f>
        <v>126114372.96049847</v>
      </c>
      <c r="J10" s="180">
        <f>SUMIF('GS&lt;50 Predicted Monthly'!$B:$B,H10,'GS&lt;50 Predicted Monthly'!Q:Q)</f>
        <v>126364848.3771904</v>
      </c>
      <c r="K10" s="181">
        <f t="shared" ca="1" si="1"/>
        <v>1.9860973084359149E-3</v>
      </c>
      <c r="N10" s="176">
        <v>2021</v>
      </c>
      <c r="O10" s="180">
        <f ca="1">SUMIF('GS 50-999 Predicted Monthly'!$B:$B,N10,'GS 50-999 Predicted Monthly'!D:D)</f>
        <v>319106182.31291127</v>
      </c>
      <c r="P10" s="180">
        <f>SUMIF('GS 50-999 Predicted Monthly'!$B:$B,N10,'GS 50-999 Predicted Monthly'!Q:Q)</f>
        <v>320701056.68596685</v>
      </c>
      <c r="Q10" s="181">
        <f t="shared" ca="1" si="2"/>
        <v>4.9979425703876356E-3</v>
      </c>
      <c r="T10" s="176">
        <v>2021</v>
      </c>
      <c r="U10" s="180">
        <f ca="1">SUMIF('Large Use Predicted Monthly'!$B:$B,T10,'Large Use Predicted Monthly'!$D:$D)</f>
        <v>36470259.694240302</v>
      </c>
      <c r="V10" s="180">
        <f>SUMIF('Large Use Predicted Monthly'!$B:$B,T10,'Large Use Predicted Monthly'!$U:$U)</f>
        <v>34731375.979834676</v>
      </c>
      <c r="W10" s="181">
        <f t="shared" ca="1" si="3"/>
        <v>4.7679499103765517E-2</v>
      </c>
    </row>
    <row r="11" spans="2:23" ht="13.8" x14ac:dyDescent="0.25">
      <c r="B11" s="176">
        <v>2022</v>
      </c>
      <c r="C11" s="180">
        <f ca="1">SUMIF('Res Predicted Monthly'!$B:$B,B11,'Res Predicted Monthly'!D:D)</f>
        <v>537135118.95118809</v>
      </c>
      <c r="D11" s="180">
        <f>SUMIF('Res Predicted Monthly'!$B:$B,B11,'Res Predicted Monthly'!O:O)</f>
        <v>548798184.41880012</v>
      </c>
      <c r="E11" s="181">
        <f t="shared" ca="1" si="0"/>
        <v>2.1713466604800242E-2</v>
      </c>
      <c r="F11" s="181"/>
      <c r="G11" s="181"/>
      <c r="H11" s="176">
        <v>2022</v>
      </c>
      <c r="I11" s="180">
        <f ca="1">SUMIF('GS&lt;50 Predicted Monthly'!$B:$B,H11,'GS&lt;50 Predicted Monthly'!D:D)</f>
        <v>134204364.632713</v>
      </c>
      <c r="J11" s="180">
        <f>SUMIF('GS&lt;50 Predicted Monthly'!$B:$B,H11,'GS&lt;50 Predicted Monthly'!Q:Q)</f>
        <v>132237627.96186778</v>
      </c>
      <c r="K11" s="181">
        <f t="shared" ca="1" si="1"/>
        <v>1.4654789180871567E-2</v>
      </c>
      <c r="N11" s="176">
        <v>2022</v>
      </c>
      <c r="O11" s="180">
        <f ca="1">SUMIF('GS 50-999 Predicted Monthly'!$B:$B,N11,'GS 50-999 Predicted Monthly'!D:D)</f>
        <v>352742222.27625251</v>
      </c>
      <c r="P11" s="180">
        <f>SUMIF('GS 50-999 Predicted Monthly'!$B:$B,N11,'GS 50-999 Predicted Monthly'!Q:Q)</f>
        <v>334944924.87616098</v>
      </c>
      <c r="Q11" s="181">
        <f t="shared" ca="1" si="2"/>
        <v>5.0454117131896542E-2</v>
      </c>
      <c r="T11" s="176">
        <v>2022</v>
      </c>
      <c r="U11" s="180">
        <f ca="1">SUMIF('Large Use Predicted Monthly'!$B:$B,T11,'Large Use Predicted Monthly'!$D:$D)</f>
        <v>34264904.454766072</v>
      </c>
      <c r="V11" s="180">
        <f>SUMIF('Large Use Predicted Monthly'!$B:$B,T11,'Large Use Predicted Monthly'!$U:$U)</f>
        <v>36132144.816083983</v>
      </c>
      <c r="W11" s="181">
        <f t="shared" ca="1" si="3"/>
        <v>5.4494252677193343E-2</v>
      </c>
    </row>
    <row r="12" spans="2:23" ht="13.8" x14ac:dyDescent="0.25">
      <c r="B12" s="177">
        <v>2023</v>
      </c>
      <c r="C12" s="180">
        <f ca="1">SUMIF('Res Predicted Monthly'!$B:$B,B12,'Res Predicted Monthly'!D:D)</f>
        <v>544689832.09207857</v>
      </c>
      <c r="D12" s="180">
        <f>SUMIF('Res Predicted Monthly'!$B:$B,B12,'Res Predicted Monthly'!O:O)</f>
        <v>540574114.32524109</v>
      </c>
      <c r="E12" s="181">
        <f t="shared" ca="1" si="0"/>
        <v>7.5560759983889789E-3</v>
      </c>
      <c r="F12" s="181"/>
      <c r="G12" s="181"/>
      <c r="H12" s="176">
        <v>2023</v>
      </c>
      <c r="I12" s="180">
        <f ca="1">SUMIF('GS&lt;50 Predicted Monthly'!$B:$B,H12,'GS&lt;50 Predicted Monthly'!D:D)</f>
        <v>135637444.65327078</v>
      </c>
      <c r="J12" s="180">
        <f>SUMIF('GS&lt;50 Predicted Monthly'!$B:$B,H12,'GS&lt;50 Predicted Monthly'!Q:Q)</f>
        <v>136038619.40414456</v>
      </c>
      <c r="K12" s="181">
        <f t="shared" ca="1" si="1"/>
        <v>2.9576991213546892E-3</v>
      </c>
      <c r="N12" s="176">
        <v>2023</v>
      </c>
      <c r="O12" s="180">
        <f ca="1">SUMIF('GS 50-999 Predicted Monthly'!$B:$B,N12,'GS 50-999 Predicted Monthly'!D:D)</f>
        <v>333844881.77609956</v>
      </c>
      <c r="P12" s="180">
        <f>SUMIF('GS 50-999 Predicted Monthly'!$B:$B,N12,'GS 50-999 Predicted Monthly'!Q:Q)</f>
        <v>337158974.47509593</v>
      </c>
      <c r="Q12" s="181">
        <f t="shared" ca="1" si="2"/>
        <v>9.92704360589549E-3</v>
      </c>
      <c r="T12" s="176">
        <v>2023</v>
      </c>
      <c r="U12" s="180">
        <f ca="1">SUMIF('Large Use Predicted Monthly'!$B:$B,T12,'Large Use Predicted Monthly'!$D:$D)</f>
        <v>34367358.525683858</v>
      </c>
      <c r="V12" s="180">
        <f>SUMIF('Large Use Predicted Monthly'!$B:$B,T12,'Large Use Predicted Monthly'!$U:$U)</f>
        <v>37618601.991188496</v>
      </c>
      <c r="W12" s="181">
        <f t="shared" ca="1" si="3"/>
        <v>9.4602658015595753E-2</v>
      </c>
    </row>
    <row r="13" spans="2:23" ht="13.8" x14ac:dyDescent="0.25">
      <c r="B13" s="176">
        <v>2024</v>
      </c>
      <c r="C13" s="180">
        <f ca="1">SUMIF('Res Predicted Monthly'!$B:$B,B13,'Res Predicted Monthly'!D:D)</f>
        <v>552752799.03415525</v>
      </c>
      <c r="D13" s="180">
        <f>SUMIF('Res Predicted Monthly'!$B:$B,B13,'Res Predicted Monthly'!O:O)</f>
        <v>550733619.26904333</v>
      </c>
      <c r="E13" s="181">
        <f t="shared" ca="1" si="0"/>
        <v>3.6529525832164184E-3</v>
      </c>
      <c r="F13" s="181"/>
      <c r="G13" s="181"/>
      <c r="H13" s="176">
        <v>2024</v>
      </c>
      <c r="I13" s="180">
        <f ca="1">SUMIF('GS&lt;50 Predicted Monthly'!$B:$B,H13,'GS&lt;50 Predicted Monthly'!D:D)</f>
        <v>141327301.72635502</v>
      </c>
      <c r="J13" s="180">
        <f>SUMIF('GS&lt;50 Predicted Monthly'!$B:$B,H13,'GS&lt;50 Predicted Monthly'!Q:Q)</f>
        <v>137044432.22751307</v>
      </c>
      <c r="K13" s="181">
        <f t="shared" ca="1" si="1"/>
        <v>3.0304615219603127E-2</v>
      </c>
      <c r="N13" s="176">
        <v>2024</v>
      </c>
      <c r="O13" s="180">
        <f ca="1">SUMIF('GS 50-999 Predicted Monthly'!$B:$B,N13,'GS 50-999 Predicted Monthly'!D:D)</f>
        <v>330857209.03799868</v>
      </c>
      <c r="P13" s="180">
        <f>SUMIF('GS 50-999 Predicted Monthly'!$B:$B,N13,'GS 50-999 Predicted Monthly'!Q:Q)</f>
        <v>338769533.59844702</v>
      </c>
      <c r="Q13" s="181">
        <f t="shared" ca="1" si="2"/>
        <v>2.3914620399096774E-2</v>
      </c>
      <c r="T13" s="176">
        <v>2024</v>
      </c>
      <c r="U13" s="180">
        <f ca="1">SUMIF('Large Use Predicted Monthly'!$B:$B,T13,'Large Use Predicted Monthly'!$D:$D)</f>
        <v>40379754.175561525</v>
      </c>
      <c r="V13" s="180">
        <f>SUMIF('Large Use Predicted Monthly'!$B:$B,T13,'Large Use Predicted Monthly'!$U:$U)</f>
        <v>37312896.779452376</v>
      </c>
      <c r="W13" s="181">
        <f t="shared" ca="1" si="3"/>
        <v>7.59503731195387E-2</v>
      </c>
    </row>
    <row r="14" spans="2:23" ht="13.8" x14ac:dyDescent="0.25"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N14" s="176"/>
      <c r="O14" s="176"/>
      <c r="P14" s="176"/>
      <c r="Q14" s="176"/>
      <c r="T14" s="176"/>
      <c r="U14" s="176"/>
      <c r="V14" s="176"/>
      <c r="W14" s="176"/>
    </row>
    <row r="15" spans="2:23" ht="13.8" x14ac:dyDescent="0.25">
      <c r="B15" s="491" t="s">
        <v>407</v>
      </c>
      <c r="C15" s="491"/>
      <c r="D15" s="491"/>
      <c r="E15" s="182">
        <f ca="1">AVERAGE(E4:E13)</f>
        <v>8.2654603599805442E-3</v>
      </c>
      <c r="F15" s="182"/>
      <c r="G15" s="182"/>
      <c r="H15" s="491" t="s">
        <v>407</v>
      </c>
      <c r="I15" s="491"/>
      <c r="J15" s="491"/>
      <c r="K15" s="182">
        <f ca="1">AVERAGE(K4:K13)</f>
        <v>2.4311535949242756E-2</v>
      </c>
      <c r="N15" s="491" t="s">
        <v>407</v>
      </c>
      <c r="O15" s="491"/>
      <c r="P15" s="491"/>
      <c r="Q15" s="182">
        <f ca="1">AVERAGE(Q4:Q13)</f>
        <v>2.2226187720067552E-2</v>
      </c>
      <c r="T15" s="491" t="s">
        <v>407</v>
      </c>
      <c r="U15" s="491"/>
      <c r="V15" s="491"/>
      <c r="W15" s="182">
        <f ca="1">AVERAGE(W4:W13)</f>
        <v>6.0579554045811258E-2</v>
      </c>
    </row>
    <row r="16" spans="2:23" ht="13.8" x14ac:dyDescent="0.25">
      <c r="B16" s="491" t="s">
        <v>408</v>
      </c>
      <c r="C16" s="491"/>
      <c r="D16" s="491"/>
      <c r="E16" s="182">
        <f ca="1">'Res Predicted Monthly'!Q122</f>
        <v>4.5404411757131433E-2</v>
      </c>
      <c r="F16" s="182"/>
      <c r="G16" s="182"/>
      <c r="H16" s="491" t="s">
        <v>408</v>
      </c>
      <c r="I16" s="491"/>
      <c r="J16" s="491"/>
      <c r="K16" s="182">
        <f ca="1">'GS&lt;50 Predicted Monthly'!S122</f>
        <v>3.3635114841681926E-2</v>
      </c>
      <c r="N16" s="491" t="s">
        <v>408</v>
      </c>
      <c r="O16" s="491"/>
      <c r="P16" s="491"/>
      <c r="Q16" s="182">
        <f ca="1">'GS 50-999 Predicted Monthly'!S122</f>
        <v>3.8416715152794566E-2</v>
      </c>
      <c r="T16" s="491" t="s">
        <v>408</v>
      </c>
      <c r="U16" s="491"/>
      <c r="V16" s="491"/>
      <c r="W16" s="182">
        <f ca="1">'Large Use Predicted Monthly'!W122</f>
        <v>7.4714163910101314E-2</v>
      </c>
    </row>
  </sheetData>
  <mergeCells count="12">
    <mergeCell ref="U2:V2"/>
    <mergeCell ref="T15:V15"/>
    <mergeCell ref="T16:V16"/>
    <mergeCell ref="O2:P2"/>
    <mergeCell ref="N15:P15"/>
    <mergeCell ref="N16:P16"/>
    <mergeCell ref="C2:D2"/>
    <mergeCell ref="B15:D15"/>
    <mergeCell ref="B16:D16"/>
    <mergeCell ref="I2:J2"/>
    <mergeCell ref="H15:J15"/>
    <mergeCell ref="H16:J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O205"/>
  <sheetViews>
    <sheetView workbookViewId="0">
      <pane xSplit="1" ySplit="1" topLeftCell="B2" activePane="bottomRight" state="frozen"/>
      <selection activeCell="G45" sqref="G45"/>
      <selection pane="topRight" activeCell="G45" sqref="G45"/>
      <selection pane="bottomLeft" activeCell="G45" sqref="G45"/>
      <selection pane="bottomRight" activeCell="G45" sqref="G45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14.6640625" style="1" bestFit="1" customWidth="1"/>
    <col min="5" max="6" width="9.33203125" style="1"/>
    <col min="7" max="7" width="11.33203125" style="1" bestFit="1" customWidth="1"/>
    <col min="8" max="8" width="9.33203125" style="1"/>
    <col min="9" max="9" width="11.77734375" style="1" bestFit="1" customWidth="1"/>
    <col min="10" max="10" width="12" style="1" bestFit="1" customWidth="1"/>
    <col min="11" max="11" width="12.77734375" style="1" bestFit="1" customWidth="1"/>
    <col min="12" max="12" width="13.77734375" style="1" bestFit="1" customWidth="1"/>
    <col min="13" max="13" width="14.33203125" style="1" bestFit="1" customWidth="1"/>
    <col min="14" max="14" width="13.6640625" style="1" bestFit="1" customWidth="1"/>
    <col min="15" max="15" width="16.109375" style="1" customWidth="1"/>
    <col min="16" max="16" width="13.77734375" style="1" bestFit="1" customWidth="1"/>
    <col min="17" max="17" width="13" style="1" bestFit="1" customWidth="1"/>
    <col min="18" max="19" width="16" style="1" bestFit="1" customWidth="1"/>
    <col min="20" max="16384" width="9.33203125" style="1"/>
  </cols>
  <sheetData>
    <row r="1" spans="1:15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152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409</v>
      </c>
    </row>
    <row r="2" spans="1:15" x14ac:dyDescent="0.25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 ca="1">E2*'Res Predicted Monthly'!$T$10</f>
        <v>20539458.936715774</v>
      </c>
      <c r="L2" s="18">
        <f ca="1"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259">
        <f t="shared" ref="O2:O33" ca="1" si="0">SUM(J2:N2)</f>
        <v>44861366.119015791</v>
      </c>
    </row>
    <row r="3" spans="1:15" x14ac:dyDescent="0.25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 ca="1">E3*'Res Predicted Monthly'!$T$10</f>
        <v>18308333.669263069</v>
      </c>
      <c r="L3" s="18">
        <f ca="1"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259">
        <f t="shared" ca="1" si="0"/>
        <v>42693914.706003696</v>
      </c>
    </row>
    <row r="4" spans="1:15" x14ac:dyDescent="0.25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 ca="1">E4*'Res Predicted Monthly'!$T$10</f>
        <v>15122738.929940492</v>
      </c>
      <c r="L4" s="18">
        <f ca="1">F4*'Res Predicted Monthly'!$T$11</f>
        <v>30396.048002098556</v>
      </c>
      <c r="M4" s="18">
        <f>G4*'Res Predicted Monthly'!$T$12</f>
        <v>0</v>
      </c>
      <c r="N4" s="18">
        <f>H4*'Res Predicted Monthly'!$T$13</f>
        <v>191021.56332183871</v>
      </c>
      <c r="O4" s="259">
        <f t="shared" ca="1" si="0"/>
        <v>39602389.869123831</v>
      </c>
    </row>
    <row r="5" spans="1:15" x14ac:dyDescent="0.25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 ca="1">E5*'Res Predicted Monthly'!$T$10</f>
        <v>8403381.6013883688</v>
      </c>
      <c r="L5" s="18">
        <f ca="1">F5*'Res Predicted Monthly'!$T$11</f>
        <v>749500.62459150597</v>
      </c>
      <c r="M5" s="18">
        <f>G5*'Res Predicted Monthly'!$T$12</f>
        <v>0</v>
      </c>
      <c r="N5" s="18">
        <f>H5*'Res Predicted Monthly'!$T$13</f>
        <v>254695.4177624516</v>
      </c>
      <c r="O5" s="259">
        <f t="shared" ca="1" si="0"/>
        <v>33665810.971601732</v>
      </c>
    </row>
    <row r="6" spans="1:15" x14ac:dyDescent="0.25">
      <c r="A6" s="3">
        <f>'Monthly Data'!A6</f>
        <v>42125</v>
      </c>
      <c r="B6" s="1">
        <f t="shared" ref="B6:B61" si="1">YEAR(A6)</f>
        <v>2015</v>
      </c>
      <c r="C6" s="1">
        <f t="shared" ref="C6:C61" si="2">MONTH(A6)</f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 ca="1">E6*'Res Predicted Monthly'!$T$10</f>
        <v>2303334.8206263483</v>
      </c>
      <c r="L6" s="18">
        <f ca="1">F6*'Res Predicted Monthly'!$T$11</f>
        <v>7630475.0176696144</v>
      </c>
      <c r="M6" s="18">
        <f>G6*'Res Predicted Monthly'!$T$12</f>
        <v>0</v>
      </c>
      <c r="N6" s="18">
        <f>H6*'Res Predicted Monthly'!$T$13</f>
        <v>318369.27220306452</v>
      </c>
      <c r="O6" s="259">
        <f t="shared" ca="1" si="0"/>
        <v>34510412.438358434</v>
      </c>
    </row>
    <row r="7" spans="1:15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 ca="1">E7*'Res Predicted Monthly'!$T$10</f>
        <v>115862.67696506267</v>
      </c>
      <c r="L7" s="18">
        <f ca="1">F7*'Res Predicted Monthly'!$T$11</f>
        <v>14913444.776250454</v>
      </c>
      <c r="M7" s="18">
        <f>G7*'Res Predicted Monthly'!$T$12</f>
        <v>0</v>
      </c>
      <c r="N7" s="18">
        <f>H7*'Res Predicted Monthly'!$T$13</f>
        <v>382043.12664367742</v>
      </c>
      <c r="O7" s="259">
        <f t="shared" ca="1" si="0"/>
        <v>39669583.907718599</v>
      </c>
    </row>
    <row r="8" spans="1:15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 ca="1">E8*'Res Predicted Monthly'!$T$10</f>
        <v>0</v>
      </c>
      <c r="L8" s="18">
        <f ca="1">F8*'Res Predicted Monthly'!$T$11</f>
        <v>21091041.537866943</v>
      </c>
      <c r="M8" s="18">
        <f>G8*'Res Predicted Monthly'!$T$12</f>
        <v>0</v>
      </c>
      <c r="N8" s="18">
        <f>H8*'Res Predicted Monthly'!$T$13</f>
        <v>445716.98108429031</v>
      </c>
      <c r="O8" s="259">
        <f t="shared" ca="1" si="0"/>
        <v>45794991.846810631</v>
      </c>
    </row>
    <row r="9" spans="1:15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 ca="1">E9*'Res Predicted Monthly'!$T$10</f>
        <v>0</v>
      </c>
      <c r="L9" s="18">
        <f ca="1">F9*'Res Predicted Monthly'!$T$11</f>
        <v>19627238.728129521</v>
      </c>
      <c r="M9" s="18">
        <f>G9*'Res Predicted Monthly'!$T$12</f>
        <v>0</v>
      </c>
      <c r="N9" s="18">
        <f>H9*'Res Predicted Monthly'!$T$13</f>
        <v>509390.8355249032</v>
      </c>
      <c r="O9" s="259">
        <f t="shared" ca="1" si="0"/>
        <v>44394862.891513824</v>
      </c>
    </row>
    <row r="10" spans="1:15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 ca="1">E10*'Res Predicted Monthly'!$T$10</f>
        <v>373054.63768696657</v>
      </c>
      <c r="L10" s="18">
        <f ca="1">F10*'Res Predicted Monthly'!$T$11</f>
        <v>12690126.443516394</v>
      </c>
      <c r="M10" s="18">
        <f>G10*'Res Predicted Monthly'!$T$12</f>
        <v>0</v>
      </c>
      <c r="N10" s="18">
        <f>H10*'Res Predicted Monthly'!$T$13</f>
        <v>573064.6899655161</v>
      </c>
      <c r="O10" s="259">
        <f t="shared" ca="1" si="0"/>
        <v>37894479.099028282</v>
      </c>
    </row>
    <row r="11" spans="1:15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 ca="1">E11*'Res Predicted Monthly'!$T$10</f>
        <v>4664231.7487775888</v>
      </c>
      <c r="L11" s="18">
        <f ca="1">F11*'Res Predicted Monthly'!$T$11</f>
        <v>3648502.3401073213</v>
      </c>
      <c r="M11" s="18">
        <f>G11*'Res Predicted Monthly'!$T$12</f>
        <v>0</v>
      </c>
      <c r="N11" s="18">
        <f>H11*'Res Predicted Monthly'!$T$13</f>
        <v>636738.54440612905</v>
      </c>
      <c r="O11" s="259">
        <f t="shared" ca="1" si="0"/>
        <v>33207705.961150445</v>
      </c>
    </row>
    <row r="12" spans="1:15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 ca="1">E12*'Res Predicted Monthly'!$T$10</f>
        <v>11013847.459354334</v>
      </c>
      <c r="L12" s="18">
        <f ca="1">F12*'Res Predicted Monthly'!$T$11</f>
        <v>330425.7941047409</v>
      </c>
      <c r="M12" s="18">
        <f>G12*'Res Predicted Monthly'!$T$12</f>
        <v>0</v>
      </c>
      <c r="N12" s="18">
        <f>H12*'Res Predicted Monthly'!$T$13</f>
        <v>700412.39884674188</v>
      </c>
      <c r="O12" s="259">
        <f t="shared" ca="1" si="0"/>
        <v>36302918.980165221</v>
      </c>
    </row>
    <row r="13" spans="1:15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 ca="1">E13*'Res Predicted Monthly'!$T$10</f>
        <v>16261782.242406053</v>
      </c>
      <c r="L13" s="18">
        <f ca="1">F13*'Res Predicted Monthly'!$T$11</f>
        <v>7495.2503908789322</v>
      </c>
      <c r="M13" s="18">
        <f>G13*'Res Predicted Monthly'!$T$12</f>
        <v>0</v>
      </c>
      <c r="N13" s="18">
        <f>H13*'Res Predicted Monthly'!$T$13</f>
        <v>764086.25328735483</v>
      </c>
      <c r="O13" s="259">
        <f t="shared" ca="1" si="0"/>
        <v>41291597.073943689</v>
      </c>
    </row>
    <row r="14" spans="1:15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 ca="1">E14*'Res Predicted Monthly'!$T$10</f>
        <v>20539458.936715774</v>
      </c>
      <c r="L14" s="18">
        <f ca="1"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259">
        <f t="shared" ca="1" si="0"/>
        <v>45625452.372303143</v>
      </c>
    </row>
    <row r="15" spans="1:15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 ca="1">E15*'Res Predicted Monthly'!$T$10</f>
        <v>18308333.669263069</v>
      </c>
      <c r="L15" s="18">
        <f ca="1"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259">
        <f t="shared" ca="1" si="0"/>
        <v>43458000.959291048</v>
      </c>
    </row>
    <row r="16" spans="1:15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 ca="1">E16*'Res Predicted Monthly'!$T$10</f>
        <v>15122738.929940492</v>
      </c>
      <c r="L16" s="18">
        <f ca="1">F16*'Res Predicted Monthly'!$T$11</f>
        <v>30396.048002098556</v>
      </c>
      <c r="M16" s="18">
        <f>G16*'Res Predicted Monthly'!$T$12</f>
        <v>0</v>
      </c>
      <c r="N16" s="18">
        <f>H16*'Res Predicted Monthly'!$T$13</f>
        <v>955107.81660919345</v>
      </c>
      <c r="O16" s="259">
        <f t="shared" ca="1" si="0"/>
        <v>40366476.122411191</v>
      </c>
    </row>
    <row r="17" spans="1:15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 ca="1">E17*'Res Predicted Monthly'!$T$10</f>
        <v>8403381.6013883688</v>
      </c>
      <c r="L17" s="18">
        <f ca="1">F17*'Res Predicted Monthly'!$T$11</f>
        <v>749500.62459150597</v>
      </c>
      <c r="M17" s="18">
        <f>G17*'Res Predicted Monthly'!$T$12</f>
        <v>0</v>
      </c>
      <c r="N17" s="18">
        <f>H17*'Res Predicted Monthly'!$T$13</f>
        <v>1018781.6710498064</v>
      </c>
      <c r="O17" s="259">
        <f t="shared" ca="1" si="0"/>
        <v>34429897.224889085</v>
      </c>
    </row>
    <row r="18" spans="1:15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 ca="1">E18*'Res Predicted Monthly'!$T$10</f>
        <v>2303334.8206263483</v>
      </c>
      <c r="L18" s="18">
        <f ca="1">F18*'Res Predicted Monthly'!$T$11</f>
        <v>7630475.0176696144</v>
      </c>
      <c r="M18" s="18">
        <f>G18*'Res Predicted Monthly'!$T$12</f>
        <v>0</v>
      </c>
      <c r="N18" s="18">
        <f>H18*'Res Predicted Monthly'!$T$13</f>
        <v>1082455.5254904192</v>
      </c>
      <c r="O18" s="259">
        <f t="shared" ca="1" si="0"/>
        <v>35274498.691645786</v>
      </c>
    </row>
    <row r="19" spans="1:15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 ca="1">E19*'Res Predicted Monthly'!$T$10</f>
        <v>115862.67696506267</v>
      </c>
      <c r="L19" s="18">
        <f ca="1">F19*'Res Predicted Monthly'!$T$11</f>
        <v>14913444.776250454</v>
      </c>
      <c r="M19" s="18">
        <f>G19*'Res Predicted Monthly'!$T$12</f>
        <v>0</v>
      </c>
      <c r="N19" s="18">
        <f>H19*'Res Predicted Monthly'!$T$13</f>
        <v>1146129.3799310322</v>
      </c>
      <c r="O19" s="259">
        <f t="shared" ca="1" si="0"/>
        <v>40433670.161005951</v>
      </c>
    </row>
    <row r="20" spans="1:15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 ca="1">E20*'Res Predicted Monthly'!$T$10</f>
        <v>0</v>
      </c>
      <c r="L20" s="18">
        <f ca="1">F20*'Res Predicted Monthly'!$T$11</f>
        <v>21091041.537866943</v>
      </c>
      <c r="M20" s="18">
        <f>G20*'Res Predicted Monthly'!$T$12</f>
        <v>0</v>
      </c>
      <c r="N20" s="18">
        <f>H20*'Res Predicted Monthly'!$T$13</f>
        <v>1209803.2343716451</v>
      </c>
      <c r="O20" s="259">
        <f t="shared" ca="1" si="0"/>
        <v>46559078.100097992</v>
      </c>
    </row>
    <row r="21" spans="1:15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 ca="1">E21*'Res Predicted Monthly'!$T$10</f>
        <v>0</v>
      </c>
      <c r="L21" s="18">
        <f ca="1">F21*'Res Predicted Monthly'!$T$11</f>
        <v>19627238.728129521</v>
      </c>
      <c r="M21" s="18">
        <f>G21*'Res Predicted Monthly'!$T$12</f>
        <v>0</v>
      </c>
      <c r="N21" s="18">
        <f>H21*'Res Predicted Monthly'!$T$13</f>
        <v>1273477.0888122581</v>
      </c>
      <c r="O21" s="259">
        <f t="shared" ca="1" si="0"/>
        <v>45158949.144801185</v>
      </c>
    </row>
    <row r="22" spans="1:15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 ca="1">E22*'Res Predicted Monthly'!$T$10</f>
        <v>373054.63768696657</v>
      </c>
      <c r="L22" s="18">
        <f ca="1">F22*'Res Predicted Monthly'!$T$11</f>
        <v>12690126.443516394</v>
      </c>
      <c r="M22" s="18">
        <f>G22*'Res Predicted Monthly'!$T$12</f>
        <v>0</v>
      </c>
      <c r="N22" s="18">
        <f>H22*'Res Predicted Monthly'!$T$13</f>
        <v>1337150.9432528708</v>
      </c>
      <c r="O22" s="259">
        <f t="shared" ca="1" si="0"/>
        <v>38658565.352315634</v>
      </c>
    </row>
    <row r="23" spans="1:15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 ca="1">E23*'Res Predicted Monthly'!$T$10</f>
        <v>4664231.7487775888</v>
      </c>
      <c r="L23" s="18">
        <f ca="1">F23*'Res Predicted Monthly'!$T$11</f>
        <v>3648502.3401073213</v>
      </c>
      <c r="M23" s="18">
        <f>G23*'Res Predicted Monthly'!$T$12</f>
        <v>0</v>
      </c>
      <c r="N23" s="18">
        <f>H23*'Res Predicted Monthly'!$T$13</f>
        <v>1400824.7976934838</v>
      </c>
      <c r="O23" s="259">
        <f t="shared" ca="1" si="0"/>
        <v>33971792.214437798</v>
      </c>
    </row>
    <row r="24" spans="1:15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 ca="1">E24*'Res Predicted Monthly'!$T$10</f>
        <v>11013847.459354334</v>
      </c>
      <c r="L24" s="18">
        <f ca="1">F24*'Res Predicted Monthly'!$T$11</f>
        <v>330425.7941047409</v>
      </c>
      <c r="M24" s="18">
        <f>G24*'Res Predicted Monthly'!$T$12</f>
        <v>0</v>
      </c>
      <c r="N24" s="18">
        <f>H24*'Res Predicted Monthly'!$T$13</f>
        <v>1464498.6521340967</v>
      </c>
      <c r="O24" s="259">
        <f t="shared" ca="1" si="0"/>
        <v>37067005.233452573</v>
      </c>
    </row>
    <row r="25" spans="1:15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 ca="1">E25*'Res Predicted Monthly'!$T$10</f>
        <v>16261782.242406053</v>
      </c>
      <c r="L25" s="18">
        <f ca="1">F25*'Res Predicted Monthly'!$T$11</f>
        <v>7495.2503908789322</v>
      </c>
      <c r="M25" s="18">
        <f>G25*'Res Predicted Monthly'!$T$12</f>
        <v>0</v>
      </c>
      <c r="N25" s="18">
        <f>H25*'Res Predicted Monthly'!$T$13</f>
        <v>1528172.5065747097</v>
      </c>
      <c r="O25" s="259">
        <f t="shared" ca="1" si="0"/>
        <v>42055683.32723105</v>
      </c>
    </row>
    <row r="26" spans="1:15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 ca="1">E26*'Res Predicted Monthly'!$T$10</f>
        <v>20539458.936715774</v>
      </c>
      <c r="L26" s="18">
        <f ca="1"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259">
        <f t="shared" ca="1" si="0"/>
        <v>46389538.625590496</v>
      </c>
    </row>
    <row r="27" spans="1:15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 ca="1">E27*'Res Predicted Monthly'!$T$10</f>
        <v>18308333.669263069</v>
      </c>
      <c r="L27" s="18">
        <f ca="1"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259">
        <f t="shared" ca="1" si="0"/>
        <v>44222087.212578401</v>
      </c>
    </row>
    <row r="28" spans="1:15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 ca="1">E28*'Res Predicted Monthly'!$T$10</f>
        <v>15122738.929940492</v>
      </c>
      <c r="L28" s="18">
        <f ca="1">F28*'Res Predicted Monthly'!$T$11</f>
        <v>30396.048002098556</v>
      </c>
      <c r="M28" s="18">
        <f>G28*'Res Predicted Monthly'!$T$12</f>
        <v>0</v>
      </c>
      <c r="N28" s="18">
        <f>H28*'Res Predicted Monthly'!$T$13</f>
        <v>1719194.0698965483</v>
      </c>
      <c r="O28" s="259">
        <f t="shared" ca="1" si="0"/>
        <v>41130562.375698544</v>
      </c>
    </row>
    <row r="29" spans="1:15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 ca="1">E29*'Res Predicted Monthly'!$T$10</f>
        <v>8403381.6013883688</v>
      </c>
      <c r="L29" s="18">
        <f ca="1">F29*'Res Predicted Monthly'!$T$11</f>
        <v>749500.62459150597</v>
      </c>
      <c r="M29" s="18">
        <f>G29*'Res Predicted Monthly'!$T$12</f>
        <v>0</v>
      </c>
      <c r="N29" s="18">
        <f>H29*'Res Predicted Monthly'!$T$13</f>
        <v>1782867.9243371612</v>
      </c>
      <c r="O29" s="259">
        <f t="shared" ca="1" si="0"/>
        <v>35193983.478176437</v>
      </c>
    </row>
    <row r="30" spans="1:15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 ca="1">E30*'Res Predicted Monthly'!$T$10</f>
        <v>2303334.8206263483</v>
      </c>
      <c r="L30" s="18">
        <f ca="1">F30*'Res Predicted Monthly'!$T$11</f>
        <v>7630475.0176696144</v>
      </c>
      <c r="M30" s="18">
        <f>G30*'Res Predicted Monthly'!$T$12</f>
        <v>0</v>
      </c>
      <c r="N30" s="18">
        <f>H30*'Res Predicted Monthly'!$T$13</f>
        <v>1846541.7787777742</v>
      </c>
      <c r="O30" s="259">
        <f t="shared" ca="1" si="0"/>
        <v>36038584.944933139</v>
      </c>
    </row>
    <row r="31" spans="1:15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 ca="1">E31*'Res Predicted Monthly'!$T$10</f>
        <v>115862.67696506267</v>
      </c>
      <c r="L31" s="18">
        <f ca="1">F31*'Res Predicted Monthly'!$T$11</f>
        <v>14913444.776250454</v>
      </c>
      <c r="M31" s="18">
        <f>G31*'Res Predicted Monthly'!$T$12</f>
        <v>0</v>
      </c>
      <c r="N31" s="18">
        <f>H31*'Res Predicted Monthly'!$T$13</f>
        <v>1910215.6332183869</v>
      </c>
      <c r="O31" s="259">
        <f t="shared" ca="1" si="0"/>
        <v>41197756.414293304</v>
      </c>
    </row>
    <row r="32" spans="1:15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 ca="1">E32*'Res Predicted Monthly'!$T$10</f>
        <v>0</v>
      </c>
      <c r="L32" s="18">
        <f ca="1">F32*'Res Predicted Monthly'!$T$11</f>
        <v>21091041.537866943</v>
      </c>
      <c r="M32" s="18">
        <f>G32*'Res Predicted Monthly'!$T$12</f>
        <v>0</v>
      </c>
      <c r="N32" s="18">
        <f>H32*'Res Predicted Monthly'!$T$13</f>
        <v>1973889.4876589999</v>
      </c>
      <c r="O32" s="259">
        <f t="shared" ca="1" si="0"/>
        <v>47323164.353385344</v>
      </c>
    </row>
    <row r="33" spans="1:15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 ca="1">E33*'Res Predicted Monthly'!$T$10</f>
        <v>0</v>
      </c>
      <c r="L33" s="18">
        <f ca="1">F33*'Res Predicted Monthly'!$T$11</f>
        <v>19627238.728129521</v>
      </c>
      <c r="M33" s="18">
        <f>G33*'Res Predicted Monthly'!$T$12</f>
        <v>0</v>
      </c>
      <c r="N33" s="18">
        <f>H33*'Res Predicted Monthly'!$T$13</f>
        <v>2037563.3420996128</v>
      </c>
      <c r="O33" s="259">
        <f t="shared" ca="1" si="0"/>
        <v>45923035.398088537</v>
      </c>
    </row>
    <row r="34" spans="1:15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 ca="1">E34*'Res Predicted Monthly'!$T$10</f>
        <v>373054.63768696657</v>
      </c>
      <c r="L34" s="18">
        <f ca="1">F34*'Res Predicted Monthly'!$T$11</f>
        <v>12690126.443516394</v>
      </c>
      <c r="M34" s="18">
        <f>G34*'Res Predicted Monthly'!$T$12</f>
        <v>0</v>
      </c>
      <c r="N34" s="18">
        <f>H34*'Res Predicted Monthly'!$T$13</f>
        <v>2101237.1965402258</v>
      </c>
      <c r="O34" s="259">
        <f t="shared" ref="O34:O65" ca="1" si="5">SUM(J34:N34)</f>
        <v>39422651.605602995</v>
      </c>
    </row>
    <row r="35" spans="1:15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 ca="1">E35*'Res Predicted Monthly'!$T$10</f>
        <v>4664231.7487775888</v>
      </c>
      <c r="L35" s="18">
        <f ca="1">F35*'Res Predicted Monthly'!$T$11</f>
        <v>3648502.3401073213</v>
      </c>
      <c r="M35" s="18">
        <f>G35*'Res Predicted Monthly'!$T$12</f>
        <v>0</v>
      </c>
      <c r="N35" s="18">
        <f>H35*'Res Predicted Monthly'!$T$13</f>
        <v>2164911.0509808385</v>
      </c>
      <c r="O35" s="259">
        <f t="shared" ca="1" si="5"/>
        <v>34735878.46772515</v>
      </c>
    </row>
    <row r="36" spans="1:15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 ca="1">E36*'Res Predicted Monthly'!$T$10</f>
        <v>11013847.459354334</v>
      </c>
      <c r="L36" s="18">
        <f ca="1">F36*'Res Predicted Monthly'!$T$11</f>
        <v>330425.7941047409</v>
      </c>
      <c r="M36" s="18">
        <f>G36*'Res Predicted Monthly'!$T$12</f>
        <v>0</v>
      </c>
      <c r="N36" s="18">
        <f>H36*'Res Predicted Monthly'!$T$13</f>
        <v>2228584.9054214517</v>
      </c>
      <c r="O36" s="259">
        <f t="shared" ca="1" si="5"/>
        <v>37831091.486739926</v>
      </c>
    </row>
    <row r="37" spans="1:15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 ca="1">E37*'Res Predicted Monthly'!$T$10</f>
        <v>16261782.242406053</v>
      </c>
      <c r="L37" s="18">
        <f ca="1">F37*'Res Predicted Monthly'!$T$11</f>
        <v>7495.2503908789322</v>
      </c>
      <c r="M37" s="18">
        <f>G37*'Res Predicted Monthly'!$T$12</f>
        <v>0</v>
      </c>
      <c r="N37" s="18">
        <f>H37*'Res Predicted Monthly'!$T$13</f>
        <v>2292258.7598620644</v>
      </c>
      <c r="O37" s="259">
        <f t="shared" ca="1" si="5"/>
        <v>42819769.580518402</v>
      </c>
    </row>
    <row r="38" spans="1:15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 ca="1">E38*'Res Predicted Monthly'!$T$10</f>
        <v>20539458.936715774</v>
      </c>
      <c r="L38" s="18">
        <f ca="1"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259">
        <f t="shared" ca="1" si="5"/>
        <v>47153624.878877856</v>
      </c>
    </row>
    <row r="39" spans="1:15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 ca="1">E39*'Res Predicted Monthly'!$T$10</f>
        <v>18308333.669263069</v>
      </c>
      <c r="L39" s="18">
        <f ca="1"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259">
        <f t="shared" ca="1" si="5"/>
        <v>44986173.465865754</v>
      </c>
    </row>
    <row r="40" spans="1:15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 ca="1">E40*'Res Predicted Monthly'!$T$10</f>
        <v>15122738.929940492</v>
      </c>
      <c r="L40" s="18">
        <f ca="1">F40*'Res Predicted Monthly'!$T$11</f>
        <v>30396.048002098556</v>
      </c>
      <c r="M40" s="18">
        <f>G40*'Res Predicted Monthly'!$T$12</f>
        <v>0</v>
      </c>
      <c r="N40" s="18">
        <f>H40*'Res Predicted Monthly'!$T$13</f>
        <v>2483280.323183903</v>
      </c>
      <c r="O40" s="259">
        <f t="shared" ca="1" si="5"/>
        <v>41894648.628985897</v>
      </c>
    </row>
    <row r="41" spans="1:15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 ca="1">E41*'Res Predicted Monthly'!$T$10</f>
        <v>8403381.6013883688</v>
      </c>
      <c r="L41" s="18">
        <f ca="1">F41*'Res Predicted Monthly'!$T$11</f>
        <v>749500.62459150597</v>
      </c>
      <c r="M41" s="18">
        <f>G41*'Res Predicted Monthly'!$T$12</f>
        <v>0</v>
      </c>
      <c r="N41" s="18">
        <f>H41*'Res Predicted Monthly'!$T$13</f>
        <v>2546954.1776245162</v>
      </c>
      <c r="O41" s="259">
        <f t="shared" ca="1" si="5"/>
        <v>35958069.73146379</v>
      </c>
    </row>
    <row r="42" spans="1:15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 ca="1">E42*'Res Predicted Monthly'!$T$10</f>
        <v>2303334.8206263483</v>
      </c>
      <c r="L42" s="18">
        <f ca="1">F42*'Res Predicted Monthly'!$T$11</f>
        <v>7630475.0176696144</v>
      </c>
      <c r="M42" s="18">
        <f>G42*'Res Predicted Monthly'!$T$12</f>
        <v>0</v>
      </c>
      <c r="N42" s="18">
        <f>H42*'Res Predicted Monthly'!$T$13</f>
        <v>2610628.0320651289</v>
      </c>
      <c r="O42" s="259">
        <f t="shared" ca="1" si="5"/>
        <v>36802671.198220499</v>
      </c>
    </row>
    <row r="43" spans="1:15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 ca="1">E43*'Res Predicted Monthly'!$T$10</f>
        <v>115862.67696506267</v>
      </c>
      <c r="L43" s="18">
        <f ca="1">F43*'Res Predicted Monthly'!$T$11</f>
        <v>14913444.776250454</v>
      </c>
      <c r="M43" s="18">
        <f>G43*'Res Predicted Monthly'!$T$12</f>
        <v>0</v>
      </c>
      <c r="N43" s="18">
        <f>H43*'Res Predicted Monthly'!$T$13</f>
        <v>2674301.8865057416</v>
      </c>
      <c r="O43" s="259">
        <f t="shared" ca="1" si="5"/>
        <v>41961842.667580664</v>
      </c>
    </row>
    <row r="44" spans="1:15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 ca="1">E44*'Res Predicted Monthly'!$T$10</f>
        <v>0</v>
      </c>
      <c r="L44" s="18">
        <f ca="1">F44*'Res Predicted Monthly'!$T$11</f>
        <v>21091041.537866943</v>
      </c>
      <c r="M44" s="18">
        <f>G44*'Res Predicted Monthly'!$T$12</f>
        <v>0</v>
      </c>
      <c r="N44" s="18">
        <f>H44*'Res Predicted Monthly'!$T$13</f>
        <v>2737975.7409463548</v>
      </c>
      <c r="O44" s="259">
        <f t="shared" ca="1" si="5"/>
        <v>48087250.606672697</v>
      </c>
    </row>
    <row r="45" spans="1:15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 ca="1">E45*'Res Predicted Monthly'!$T$10</f>
        <v>0</v>
      </c>
      <c r="L45" s="18">
        <f ca="1">F45*'Res Predicted Monthly'!$T$11</f>
        <v>19627238.728129521</v>
      </c>
      <c r="M45" s="18">
        <f>G45*'Res Predicted Monthly'!$T$12</f>
        <v>0</v>
      </c>
      <c r="N45" s="18">
        <f>H45*'Res Predicted Monthly'!$T$13</f>
        <v>2801649.5953869675</v>
      </c>
      <c r="O45" s="259">
        <f t="shared" ca="1" si="5"/>
        <v>46687121.65137589</v>
      </c>
    </row>
    <row r="46" spans="1:15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 ca="1">E46*'Res Predicted Monthly'!$T$10</f>
        <v>373054.63768696657</v>
      </c>
      <c r="L46" s="18">
        <f ca="1">F46*'Res Predicted Monthly'!$T$11</f>
        <v>12690126.443516394</v>
      </c>
      <c r="M46" s="18">
        <f>G46*'Res Predicted Monthly'!$T$12</f>
        <v>0</v>
      </c>
      <c r="N46" s="18">
        <f>H46*'Res Predicted Monthly'!$T$13</f>
        <v>2865323.4498275807</v>
      </c>
      <c r="O46" s="259">
        <f t="shared" ca="1" si="5"/>
        <v>40186737.858890347</v>
      </c>
    </row>
    <row r="47" spans="1:15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 ca="1">E47*'Res Predicted Monthly'!$T$10</f>
        <v>4664231.7487775888</v>
      </c>
      <c r="L47" s="18">
        <f ca="1">F47*'Res Predicted Monthly'!$T$11</f>
        <v>3648502.3401073213</v>
      </c>
      <c r="M47" s="18">
        <f>G47*'Res Predicted Monthly'!$T$12</f>
        <v>0</v>
      </c>
      <c r="N47" s="18">
        <f>H47*'Res Predicted Monthly'!$T$13</f>
        <v>2928997.3042681934</v>
      </c>
      <c r="O47" s="259">
        <f t="shared" ca="1" si="5"/>
        <v>35499964.72101251</v>
      </c>
    </row>
    <row r="48" spans="1:15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 ca="1">E48*'Res Predicted Monthly'!$T$10</f>
        <v>11013847.459354334</v>
      </c>
      <c r="L48" s="18">
        <f ca="1">F48*'Res Predicted Monthly'!$T$11</f>
        <v>330425.7941047409</v>
      </c>
      <c r="M48" s="18">
        <f>G48*'Res Predicted Monthly'!$T$12</f>
        <v>0</v>
      </c>
      <c r="N48" s="18">
        <f>H48*'Res Predicted Monthly'!$T$13</f>
        <v>2992671.1587088061</v>
      </c>
      <c r="O48" s="259">
        <f t="shared" ca="1" si="5"/>
        <v>38595177.740027279</v>
      </c>
    </row>
    <row r="49" spans="1:15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 ca="1">E49*'Res Predicted Monthly'!$T$10</f>
        <v>16261782.242406053</v>
      </c>
      <c r="L49" s="18">
        <f ca="1">F49*'Res Predicted Monthly'!$T$11</f>
        <v>7495.2503908789322</v>
      </c>
      <c r="M49" s="18">
        <f>G49*'Res Predicted Monthly'!$T$12</f>
        <v>0</v>
      </c>
      <c r="N49" s="18">
        <f>H49*'Res Predicted Monthly'!$T$13</f>
        <v>3056345.0131494193</v>
      </c>
      <c r="O49" s="259">
        <f t="shared" ca="1" si="5"/>
        <v>43583855.833805755</v>
      </c>
    </row>
    <row r="50" spans="1:15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 ca="1">E50*'Res Predicted Monthly'!$T$10</f>
        <v>20539458.936715774</v>
      </c>
      <c r="L50" s="18">
        <f ca="1"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259">
        <f t="shared" ca="1" si="5"/>
        <v>47917711.132165208</v>
      </c>
    </row>
    <row r="51" spans="1:15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 ca="1">E51*'Res Predicted Monthly'!$T$10</f>
        <v>18308333.669263069</v>
      </c>
      <c r="L51" s="18">
        <f ca="1"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259">
        <f t="shared" ca="1" si="5"/>
        <v>45750259.719153114</v>
      </c>
    </row>
    <row r="52" spans="1:15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 ca="1">E52*'Res Predicted Monthly'!$T$10</f>
        <v>15122738.929940492</v>
      </c>
      <c r="L52" s="18">
        <f ca="1">F52*'Res Predicted Monthly'!$T$11</f>
        <v>30396.048002098556</v>
      </c>
      <c r="M52" s="18">
        <f>G52*'Res Predicted Monthly'!$T$12</f>
        <v>0</v>
      </c>
      <c r="N52" s="18">
        <f>H52*'Res Predicted Monthly'!$T$13</f>
        <v>3247366.576471258</v>
      </c>
      <c r="O52" s="259">
        <f t="shared" ca="1" si="5"/>
        <v>42658734.882273257</v>
      </c>
    </row>
    <row r="53" spans="1:15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 ca="1">E53*'Res Predicted Monthly'!$T$10</f>
        <v>8403381.6013883688</v>
      </c>
      <c r="L53" s="18">
        <f ca="1">F53*'Res Predicted Monthly'!$T$11</f>
        <v>749500.62459150597</v>
      </c>
      <c r="M53" s="18">
        <f>G53*'Res Predicted Monthly'!$T$12</f>
        <v>0</v>
      </c>
      <c r="N53" s="18">
        <f>H53*'Res Predicted Monthly'!$T$13</f>
        <v>3311040.4309118707</v>
      </c>
      <c r="O53" s="259">
        <f t="shared" ca="1" si="5"/>
        <v>36722155.98475115</v>
      </c>
    </row>
    <row r="54" spans="1:15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 ca="1">E54*'Res Predicted Monthly'!$T$10</f>
        <v>2303334.8206263483</v>
      </c>
      <c r="L54" s="18">
        <f ca="1">F54*'Res Predicted Monthly'!$T$11</f>
        <v>7630475.0176696144</v>
      </c>
      <c r="M54" s="18">
        <f>G54*'Res Predicted Monthly'!$T$12</f>
        <v>0</v>
      </c>
      <c r="N54" s="18">
        <f>H54*'Res Predicted Monthly'!$T$13</f>
        <v>3374714.2853524839</v>
      </c>
      <c r="O54" s="259">
        <f t="shared" ca="1" si="5"/>
        <v>37566757.451507851</v>
      </c>
    </row>
    <row r="55" spans="1:15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 ca="1">E55*'Res Predicted Monthly'!$T$10</f>
        <v>115862.67696506267</v>
      </c>
      <c r="L55" s="18">
        <f ca="1">F55*'Res Predicted Monthly'!$T$11</f>
        <v>14913444.776250454</v>
      </c>
      <c r="M55" s="18">
        <f>G55*'Res Predicted Monthly'!$T$12</f>
        <v>0</v>
      </c>
      <c r="N55" s="18">
        <f>H55*'Res Predicted Monthly'!$T$13</f>
        <v>3438388.1397930966</v>
      </c>
      <c r="O55" s="259">
        <f t="shared" ca="1" si="5"/>
        <v>42725928.920868017</v>
      </c>
    </row>
    <row r="56" spans="1:15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 ca="1">E56*'Res Predicted Monthly'!$T$10</f>
        <v>0</v>
      </c>
      <c r="L56" s="18">
        <f ca="1">F56*'Res Predicted Monthly'!$T$11</f>
        <v>21091041.537866943</v>
      </c>
      <c r="M56" s="18">
        <f>G56*'Res Predicted Monthly'!$T$12</f>
        <v>0</v>
      </c>
      <c r="N56" s="18">
        <f>H56*'Res Predicted Monthly'!$T$13</f>
        <v>3502061.9942337093</v>
      </c>
      <c r="O56" s="259">
        <f t="shared" ca="1" si="5"/>
        <v>48851336.859960057</v>
      </c>
    </row>
    <row r="57" spans="1:15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 ca="1">E57*'Res Predicted Monthly'!$T$10</f>
        <v>0</v>
      </c>
      <c r="L57" s="18">
        <f ca="1">F57*'Res Predicted Monthly'!$T$11</f>
        <v>19627238.728129521</v>
      </c>
      <c r="M57" s="18">
        <f>G57*'Res Predicted Monthly'!$T$12</f>
        <v>0</v>
      </c>
      <c r="N57" s="18">
        <f>H57*'Res Predicted Monthly'!$T$13</f>
        <v>3565735.8486743225</v>
      </c>
      <c r="O57" s="259">
        <f t="shared" ca="1" si="5"/>
        <v>47451207.904663242</v>
      </c>
    </row>
    <row r="58" spans="1:15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 ca="1">E58*'Res Predicted Monthly'!$T$10</f>
        <v>373054.63768696657</v>
      </c>
      <c r="L58" s="18">
        <f ca="1">F58*'Res Predicted Monthly'!$T$11</f>
        <v>12690126.443516394</v>
      </c>
      <c r="M58" s="18">
        <f>G58*'Res Predicted Monthly'!$T$12</f>
        <v>0</v>
      </c>
      <c r="N58" s="18">
        <f>H58*'Res Predicted Monthly'!$T$13</f>
        <v>3629409.7031149352</v>
      </c>
      <c r="O58" s="259">
        <f t="shared" ca="1" si="5"/>
        <v>40950824.1121777</v>
      </c>
    </row>
    <row r="59" spans="1:15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 ca="1">E59*'Res Predicted Monthly'!$T$10</f>
        <v>4664231.7487775888</v>
      </c>
      <c r="L59" s="18">
        <f ca="1">F59*'Res Predicted Monthly'!$T$11</f>
        <v>3648502.3401073213</v>
      </c>
      <c r="M59" s="18">
        <f>G59*'Res Predicted Monthly'!$T$12</f>
        <v>0</v>
      </c>
      <c r="N59" s="18">
        <f>H59*'Res Predicted Monthly'!$T$13</f>
        <v>3693083.5575555484</v>
      </c>
      <c r="O59" s="259">
        <f t="shared" ca="1" si="5"/>
        <v>36264050.974299863</v>
      </c>
    </row>
    <row r="60" spans="1:15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 ca="1">E60*'Res Predicted Monthly'!$T$10</f>
        <v>11013847.459354334</v>
      </c>
      <c r="L60" s="18">
        <f ca="1">F60*'Res Predicted Monthly'!$T$11</f>
        <v>330425.7941047409</v>
      </c>
      <c r="M60" s="18">
        <f>G60*'Res Predicted Monthly'!$T$12</f>
        <v>0</v>
      </c>
      <c r="N60" s="18">
        <f>H60*'Res Predicted Monthly'!$T$13</f>
        <v>3756757.4119961611</v>
      </c>
      <c r="O60" s="259">
        <f t="shared" ca="1" si="5"/>
        <v>39359263.993314639</v>
      </c>
    </row>
    <row r="61" spans="1:15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 ca="1">E61*'Res Predicted Monthly'!$T$10</f>
        <v>16261782.242406053</v>
      </c>
      <c r="L61" s="18">
        <f ca="1">F61*'Res Predicted Monthly'!$T$11</f>
        <v>7495.2503908789322</v>
      </c>
      <c r="M61" s="18">
        <f>G61*'Res Predicted Monthly'!$T$12</f>
        <v>0</v>
      </c>
      <c r="N61" s="18">
        <f>H61*'Res Predicted Monthly'!$T$13</f>
        <v>3820431.2664367738</v>
      </c>
      <c r="O61" s="259">
        <f t="shared" ca="1" si="5"/>
        <v>44347942.087093107</v>
      </c>
    </row>
    <row r="62" spans="1:15" x14ac:dyDescent="0.25">
      <c r="A62" s="3">
        <f>'Monthly Data'!A62</f>
        <v>43831</v>
      </c>
      <c r="B62" s="1">
        <f t="shared" ref="B62:B109" si="7">YEAR(A62)</f>
        <v>2020</v>
      </c>
      <c r="C62" s="1">
        <f t="shared" ref="C62:C109" si="8">MONTH(A62)</f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 ca="1">E62*'Res Predicted Monthly'!$T$10</f>
        <v>20539458.936715774</v>
      </c>
      <c r="L62" s="18">
        <f ca="1"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259">
        <f t="shared" ca="1" si="5"/>
        <v>48681797.385452561</v>
      </c>
    </row>
    <row r="63" spans="1:15" x14ac:dyDescent="0.25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 ca="1">E63*'Res Predicted Monthly'!$T$10</f>
        <v>18308333.669263069</v>
      </c>
      <c r="L63" s="18">
        <f ca="1"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259">
        <f t="shared" ca="1" si="5"/>
        <v>46514345.972440466</v>
      </c>
    </row>
    <row r="64" spans="1:15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 ca="1">E64*'Res Predicted Monthly'!$T$10</f>
        <v>15122738.929940492</v>
      </c>
      <c r="L64" s="18">
        <f ca="1">F64*'Res Predicted Monthly'!$T$11</f>
        <v>30396.048002098556</v>
      </c>
      <c r="M64" s="18">
        <f>G64*'Res Predicted Monthly'!$T$12</f>
        <v>0</v>
      </c>
      <c r="N64" s="18">
        <f>H64*'Res Predicted Monthly'!$T$13</f>
        <v>4011452.8297586129</v>
      </c>
      <c r="O64" s="259">
        <f t="shared" ca="1" si="5"/>
        <v>43422821.135560609</v>
      </c>
    </row>
    <row r="65" spans="1:15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 ca="1">E65*'Res Predicted Monthly'!$T$10</f>
        <v>8403381.6013883688</v>
      </c>
      <c r="L65" s="18">
        <f ca="1">F65*'Res Predicted Monthly'!$T$11</f>
        <v>749500.62459150597</v>
      </c>
      <c r="M65" s="18">
        <f>G65*'Res Predicted Monthly'!$T$12</f>
        <v>0</v>
      </c>
      <c r="N65" s="18">
        <f>H65*'Res Predicted Monthly'!$T$13</f>
        <v>4075126.6841992256</v>
      </c>
      <c r="O65" s="259">
        <f t="shared" ca="1" si="5"/>
        <v>37486242.238038503</v>
      </c>
    </row>
    <row r="66" spans="1:15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 ca="1">E66*'Res Predicted Monthly'!$T$10</f>
        <v>2303334.8206263483</v>
      </c>
      <c r="L66" s="18">
        <f ca="1">F66*'Res Predicted Monthly'!$T$11</f>
        <v>7630475.0176696144</v>
      </c>
      <c r="M66" s="18">
        <f>G66*'Res Predicted Monthly'!$T$12</f>
        <v>1181548.8071147071</v>
      </c>
      <c r="N66" s="18">
        <f>H66*'Res Predicted Monthly'!$T$13</f>
        <v>4138800.5386398383</v>
      </c>
      <c r="O66" s="259">
        <f t="shared" ref="O66:O97" ca="1" si="9">SUM(J66:N66)</f>
        <v>39512392.51190991</v>
      </c>
    </row>
    <row r="67" spans="1:15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 ca="1">E67*'Res Predicted Monthly'!$T$10</f>
        <v>115862.67696506267</v>
      </c>
      <c r="L67" s="18">
        <f ca="1">F67*'Res Predicted Monthly'!$T$11</f>
        <v>14913444.776250454</v>
      </c>
      <c r="M67" s="18">
        <f>G67*'Res Predicted Monthly'!$T$12</f>
        <v>3381805.8693598243</v>
      </c>
      <c r="N67" s="18">
        <f>H67*'Res Predicted Monthly'!$T$13</f>
        <v>4202474.3930804515</v>
      </c>
      <c r="O67" s="259">
        <f t="shared" ca="1" si="9"/>
        <v>46871821.04351519</v>
      </c>
    </row>
    <row r="68" spans="1:15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 ca="1">E68*'Res Predicted Monthly'!$T$10</f>
        <v>0</v>
      </c>
      <c r="L68" s="18">
        <f ca="1">F68*'Res Predicted Monthly'!$T$11</f>
        <v>21091041.537866943</v>
      </c>
      <c r="M68" s="18">
        <f>G68*'Res Predicted Monthly'!$T$12</f>
        <v>5636248.5953553421</v>
      </c>
      <c r="N68" s="18">
        <f>H68*'Res Predicted Monthly'!$T$13</f>
        <v>4266148.2475210642</v>
      </c>
      <c r="O68" s="259">
        <f t="shared" ca="1" si="9"/>
        <v>55251671.708602749</v>
      </c>
    </row>
    <row r="69" spans="1:15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 ca="1">E69*'Res Predicted Monthly'!$T$10</f>
        <v>0</v>
      </c>
      <c r="L69" s="18">
        <f ca="1">F69*'Res Predicted Monthly'!$T$11</f>
        <v>19627238.728129521</v>
      </c>
      <c r="M69" s="18">
        <f>G69*'Res Predicted Monthly'!$T$12</f>
        <v>4238818.5057244711</v>
      </c>
      <c r="N69" s="18">
        <f>H69*'Res Predicted Monthly'!$T$13</f>
        <v>4329822.101961677</v>
      </c>
      <c r="O69" s="259">
        <f t="shared" ca="1" si="9"/>
        <v>52454112.663675077</v>
      </c>
    </row>
    <row r="70" spans="1:15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 ca="1">E70*'Res Predicted Monthly'!$T$10</f>
        <v>373054.63768696657</v>
      </c>
      <c r="L70" s="18">
        <f ca="1">F70*'Res Predicted Monthly'!$T$11</f>
        <v>12690126.443516394</v>
      </c>
      <c r="M70" s="18">
        <f>G70*'Res Predicted Monthly'!$T$12</f>
        <v>1835940.1201369977</v>
      </c>
      <c r="N70" s="18">
        <f>H70*'Res Predicted Monthly'!$T$13</f>
        <v>4393495.9564022897</v>
      </c>
      <c r="O70" s="259">
        <f t="shared" ca="1" si="9"/>
        <v>43550850.485602051</v>
      </c>
    </row>
    <row r="71" spans="1:15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 ca="1">E71*'Res Predicted Monthly'!$T$10</f>
        <v>4664231.7487775888</v>
      </c>
      <c r="L71" s="18">
        <f ca="1">F71*'Res Predicted Monthly'!$T$11</f>
        <v>3648502.3401073213</v>
      </c>
      <c r="M71" s="18">
        <f>G71*'Res Predicted Monthly'!$T$12</f>
        <v>155955.65018997461</v>
      </c>
      <c r="N71" s="18">
        <f>H71*'Res Predicted Monthly'!$T$13</f>
        <v>4457169.8108429033</v>
      </c>
      <c r="O71" s="259">
        <f t="shared" ca="1" si="9"/>
        <v>37184092.877777189</v>
      </c>
    </row>
    <row r="72" spans="1:15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 ca="1">E72*'Res Predicted Monthly'!$T$10</f>
        <v>11013847.459354334</v>
      </c>
      <c r="L72" s="18">
        <f ca="1">F72*'Res Predicted Monthly'!$T$11</f>
        <v>330425.7941047409</v>
      </c>
      <c r="M72" s="18">
        <f>G72*'Res Predicted Monthly'!$T$12</f>
        <v>27797.210894599539</v>
      </c>
      <c r="N72" s="18">
        <f>H72*'Res Predicted Monthly'!$T$13</f>
        <v>4520843.665283516</v>
      </c>
      <c r="O72" s="259">
        <f t="shared" ca="1" si="9"/>
        <v>40151147.457496591</v>
      </c>
    </row>
    <row r="73" spans="1:15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 ca="1">E73*'Res Predicted Monthly'!$T$10</f>
        <v>16261782.242406053</v>
      </c>
      <c r="L73" s="18">
        <f ca="1">F73*'Res Predicted Monthly'!$T$11</f>
        <v>7495.2503908789322</v>
      </c>
      <c r="M73" s="18">
        <f>G73*'Res Predicted Monthly'!$T$12</f>
        <v>0</v>
      </c>
      <c r="N73" s="18">
        <f>H73*'Res Predicted Monthly'!$T$13</f>
        <v>4584517.5197241288</v>
      </c>
      <c r="O73" s="259">
        <f t="shared" ca="1" si="9"/>
        <v>45112028.340380467</v>
      </c>
    </row>
    <row r="74" spans="1:15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 ca="1"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 ca="1">E74*'Res Predicted Monthly'!$T$10</f>
        <v>20539458.936715774</v>
      </c>
      <c r="L74" s="18">
        <f ca="1"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259">
        <f t="shared" ca="1" si="9"/>
        <v>49445883.638739914</v>
      </c>
    </row>
    <row r="75" spans="1:15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 ca="1"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 ca="1">E75*'Res Predicted Monthly'!$T$10</f>
        <v>18308333.669263069</v>
      </c>
      <c r="L75" s="18">
        <f ca="1"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259">
        <f t="shared" ca="1" si="9"/>
        <v>47278432.225727819</v>
      </c>
    </row>
    <row r="76" spans="1:15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 ca="1"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 ca="1">E76*'Res Predicted Monthly'!$T$10</f>
        <v>15122738.929940492</v>
      </c>
      <c r="L76" s="18">
        <f ca="1">F76*'Res Predicted Monthly'!$T$11</f>
        <v>30396.048002098556</v>
      </c>
      <c r="M76" s="18">
        <f>G76*'Res Predicted Monthly'!$T$12</f>
        <v>3371.75735794398</v>
      </c>
      <c r="N76" s="18">
        <f>H76*'Res Predicted Monthly'!$T$13</f>
        <v>4775539.0830459679</v>
      </c>
      <c r="O76" s="259">
        <f t="shared" ca="1" si="9"/>
        <v>44190279.14620591</v>
      </c>
    </row>
    <row r="77" spans="1:15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 ca="1"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 ca="1">E77*'Res Predicted Monthly'!$T$10</f>
        <v>8403381.6013883688</v>
      </c>
      <c r="L77" s="18">
        <f ca="1">F77*'Res Predicted Monthly'!$T$11</f>
        <v>749500.62459150597</v>
      </c>
      <c r="M77" s="18">
        <f>G77*'Res Predicted Monthly'!$T$12</f>
        <v>125989.75029050013</v>
      </c>
      <c r="N77" s="18">
        <f>H77*'Res Predicted Monthly'!$T$13</f>
        <v>4839212.9374865806</v>
      </c>
      <c r="O77" s="259">
        <f t="shared" ca="1" si="9"/>
        <v>38376318.241616361</v>
      </c>
    </row>
    <row r="78" spans="1:15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 ca="1"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 ca="1">E78*'Res Predicted Monthly'!$T$10</f>
        <v>2303334.8206263483</v>
      </c>
      <c r="L78" s="18">
        <f ca="1">F78*'Res Predicted Monthly'!$T$11</f>
        <v>7630475.0176696144</v>
      </c>
      <c r="M78" s="18">
        <f>G78*'Res Predicted Monthly'!$T$12</f>
        <v>948920.16348335589</v>
      </c>
      <c r="N78" s="18">
        <f>H78*'Res Predicted Monthly'!$T$13</f>
        <v>4902886.7919271933</v>
      </c>
      <c r="O78" s="259">
        <f t="shared" ca="1" si="9"/>
        <v>40043850.121565923</v>
      </c>
    </row>
    <row r="79" spans="1:15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 ca="1"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 ca="1">E79*'Res Predicted Monthly'!$T$10</f>
        <v>115862.67696506267</v>
      </c>
      <c r="L79" s="18">
        <f ca="1">F79*'Res Predicted Monthly'!$T$11</f>
        <v>14913444.776250454</v>
      </c>
      <c r="M79" s="18">
        <f>G79*'Res Predicted Monthly'!$T$12</f>
        <v>2754488.3137390092</v>
      </c>
      <c r="N79" s="18">
        <f>H79*'Res Predicted Monthly'!$T$13</f>
        <v>4966560.646367806</v>
      </c>
      <c r="O79" s="259">
        <f t="shared" ca="1" si="9"/>
        <v>47008589.741181731</v>
      </c>
    </row>
    <row r="80" spans="1:15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 ca="1"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 ca="1">E80*'Res Predicted Monthly'!$T$10</f>
        <v>0</v>
      </c>
      <c r="L80" s="18">
        <f ca="1">F80*'Res Predicted Monthly'!$T$11</f>
        <v>21091041.537866943</v>
      </c>
      <c r="M80" s="18">
        <f>G80*'Res Predicted Monthly'!$T$12</f>
        <v>2904935.1772596654</v>
      </c>
      <c r="N80" s="18">
        <f>H80*'Res Predicted Monthly'!$T$13</f>
        <v>5030234.5008084187</v>
      </c>
      <c r="O80" s="259">
        <f t="shared" ca="1" si="9"/>
        <v>53284444.543794431</v>
      </c>
    </row>
    <row r="81" spans="1:15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 ca="1"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 ca="1">E81*'Res Predicted Monthly'!$T$10</f>
        <v>0</v>
      </c>
      <c r="L81" s="18">
        <f ca="1">F81*'Res Predicted Monthly'!$T$11</f>
        <v>19627238.728129521</v>
      </c>
      <c r="M81" s="18">
        <f>G81*'Res Predicted Monthly'!$T$12</f>
        <v>3739088.9517989168</v>
      </c>
      <c r="N81" s="18">
        <f>H81*'Res Predicted Monthly'!$T$13</f>
        <v>5093908.3552490324</v>
      </c>
      <c r="O81" s="259">
        <f t="shared" ca="1" si="9"/>
        <v>52718469.363036871</v>
      </c>
    </row>
    <row r="82" spans="1:15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 ca="1"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 ca="1">E82*'Res Predicted Monthly'!$T$10</f>
        <v>373054.63768696657</v>
      </c>
      <c r="L82" s="18">
        <f ca="1">F82*'Res Predicted Monthly'!$T$11</f>
        <v>12690126.443516394</v>
      </c>
      <c r="M82" s="18">
        <f>G82*'Res Predicted Monthly'!$T$12</f>
        <v>1704589.557831591</v>
      </c>
      <c r="N82" s="18">
        <f>H82*'Res Predicted Monthly'!$T$13</f>
        <v>5157582.2096896451</v>
      </c>
      <c r="O82" s="259">
        <f t="shared" ca="1" si="9"/>
        <v>44183586.176584005</v>
      </c>
    </row>
    <row r="83" spans="1:15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 ca="1"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 ca="1">E83*'Res Predicted Monthly'!$T$10</f>
        <v>4664231.7487775888</v>
      </c>
      <c r="L83" s="18">
        <f ca="1">F83*'Res Predicted Monthly'!$T$11</f>
        <v>3648502.3401073213</v>
      </c>
      <c r="M83" s="18">
        <f>G83*'Res Predicted Monthly'!$T$12</f>
        <v>888766.74582989479</v>
      </c>
      <c r="N83" s="18">
        <f>H83*'Res Predicted Monthly'!$T$13</f>
        <v>5221256.0641302578</v>
      </c>
      <c r="O83" s="259">
        <f t="shared" ca="1" si="9"/>
        <v>38680990.226704463</v>
      </c>
    </row>
    <row r="84" spans="1:15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 ca="1"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 ca="1">E84*'Res Predicted Monthly'!$T$10</f>
        <v>11013847.459354334</v>
      </c>
      <c r="L84" s="18">
        <f ca="1">F84*'Res Predicted Monthly'!$T$11</f>
        <v>330425.7941047409</v>
      </c>
      <c r="M84" s="18">
        <f>G84*'Res Predicted Monthly'!$T$12</f>
        <v>0</v>
      </c>
      <c r="N84" s="18">
        <f>H84*'Res Predicted Monthly'!$T$13</f>
        <v>5284929.9185708705</v>
      </c>
      <c r="O84" s="259">
        <f t="shared" ca="1" si="9"/>
        <v>40887436.499889344</v>
      </c>
    </row>
    <row r="85" spans="1:15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 ca="1"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 ca="1">E85*'Res Predicted Monthly'!$T$10</f>
        <v>16261782.242406053</v>
      </c>
      <c r="L85" s="18">
        <f ca="1">F85*'Res Predicted Monthly'!$T$11</f>
        <v>7495.2503908789322</v>
      </c>
      <c r="M85" s="18">
        <f>G85*'Res Predicted Monthly'!$T$12</f>
        <v>0</v>
      </c>
      <c r="N85" s="18">
        <f>H85*'Res Predicted Monthly'!$T$13</f>
        <v>5348603.7730114833</v>
      </c>
      <c r="O85" s="259">
        <f t="shared" ca="1" si="9"/>
        <v>45876114.59366782</v>
      </c>
    </row>
    <row r="86" spans="1:15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 ca="1"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 ca="1">E86*'Res Predicted Monthly'!$T$10</f>
        <v>20539458.936715774</v>
      </c>
      <c r="L86" s="18">
        <f ca="1"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259">
        <f t="shared" ca="1" si="9"/>
        <v>50209969.892027274</v>
      </c>
    </row>
    <row r="87" spans="1:15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 ca="1"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 ca="1">E87*'Res Predicted Monthly'!$T$10</f>
        <v>18308333.669263069</v>
      </c>
      <c r="L87" s="18">
        <f ca="1"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259">
        <f t="shared" ca="1" si="9"/>
        <v>48042518.479015179</v>
      </c>
    </row>
    <row r="88" spans="1:15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 ca="1"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 ca="1">E88*'Res Predicted Monthly'!$T$10</f>
        <v>15122738.929940492</v>
      </c>
      <c r="L88" s="18">
        <f ca="1">F88*'Res Predicted Monthly'!$T$11</f>
        <v>30396.048002098556</v>
      </c>
      <c r="M88" s="18">
        <f>G88*'Res Predicted Monthly'!$T$12</f>
        <v>0</v>
      </c>
      <c r="N88" s="18">
        <f>H88*'Res Predicted Monthly'!$T$13</f>
        <v>5539625.3363333223</v>
      </c>
      <c r="O88" s="259">
        <f t="shared" ca="1" si="9"/>
        <v>44950993.642135315</v>
      </c>
    </row>
    <row r="89" spans="1:15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 ca="1"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 ca="1">E89*'Res Predicted Monthly'!$T$10</f>
        <v>8403381.6013883688</v>
      </c>
      <c r="L89" s="18">
        <f ca="1">F89*'Res Predicted Monthly'!$T$11</f>
        <v>749500.62459150597</v>
      </c>
      <c r="M89" s="18">
        <f>G89*'Res Predicted Monthly'!$T$12</f>
        <v>17127.894184485605</v>
      </c>
      <c r="N89" s="18">
        <f>H89*'Res Predicted Monthly'!$T$13</f>
        <v>5603299.1907739351</v>
      </c>
      <c r="O89" s="259">
        <f t="shared" ca="1" si="9"/>
        <v>39031542.6387977</v>
      </c>
    </row>
    <row r="90" spans="1:15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 ca="1"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 ca="1">E90*'Res Predicted Monthly'!$T$10</f>
        <v>2303334.8206263483</v>
      </c>
      <c r="L90" s="18">
        <f ca="1">F90*'Res Predicted Monthly'!$T$11</f>
        <v>7630475.0176696144</v>
      </c>
      <c r="M90" s="18">
        <f>G90*'Res Predicted Monthly'!$T$12</f>
        <v>831541.84982535138</v>
      </c>
      <c r="N90" s="18">
        <f>H90*'Res Predicted Monthly'!$T$13</f>
        <v>5666973.0452145478</v>
      </c>
      <c r="O90" s="259">
        <f t="shared" ca="1" si="9"/>
        <v>40690558.061195269</v>
      </c>
    </row>
    <row r="91" spans="1:15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 ca="1"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 ca="1">E91*'Res Predicted Monthly'!$T$10</f>
        <v>115862.67696506267</v>
      </c>
      <c r="L91" s="18">
        <f ca="1">F91*'Res Predicted Monthly'!$T$11</f>
        <v>14913444.776250454</v>
      </c>
      <c r="M91" s="18">
        <f>G91*'Res Predicted Monthly'!$T$12</f>
        <v>1374708.2470480732</v>
      </c>
      <c r="N91" s="18">
        <f>H91*'Res Predicted Monthly'!$T$13</f>
        <v>5730646.8996551614</v>
      </c>
      <c r="O91" s="259">
        <f t="shared" ca="1" si="9"/>
        <v>46392895.927778155</v>
      </c>
    </row>
    <row r="92" spans="1:15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 ca="1"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 ca="1">E92*'Res Predicted Monthly'!$T$10</f>
        <v>0</v>
      </c>
      <c r="L92" s="18">
        <f ca="1">F92*'Res Predicted Monthly'!$T$11</f>
        <v>21091041.537866943</v>
      </c>
      <c r="M92" s="18">
        <f>G92*'Res Predicted Monthly'!$T$12</f>
        <v>2156817.9238722171</v>
      </c>
      <c r="N92" s="18">
        <f>H92*'Res Predicted Monthly'!$T$13</f>
        <v>5794320.7540957741</v>
      </c>
      <c r="O92" s="259">
        <f t="shared" ca="1" si="9"/>
        <v>53300413.543694332</v>
      </c>
    </row>
    <row r="93" spans="1:15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 ca="1"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 ca="1">E93*'Res Predicted Monthly'!$T$10</f>
        <v>0</v>
      </c>
      <c r="L93" s="18">
        <f ca="1">F93*'Res Predicted Monthly'!$T$11</f>
        <v>19627238.728129521</v>
      </c>
      <c r="M93" s="18">
        <f>G93*'Res Predicted Monthly'!$T$12</f>
        <v>2205667.5268849265</v>
      </c>
      <c r="N93" s="18">
        <f>H93*'Res Predicted Monthly'!$T$13</f>
        <v>5857994.6085363869</v>
      </c>
      <c r="O93" s="259">
        <f t="shared" ca="1" si="9"/>
        <v>51949134.191410236</v>
      </c>
    </row>
    <row r="94" spans="1:15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 ca="1"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 ca="1">E94*'Res Predicted Monthly'!$T$10</f>
        <v>373054.63768696657</v>
      </c>
      <c r="L94" s="18">
        <f ca="1">F94*'Res Predicted Monthly'!$T$11</f>
        <v>12690126.443516394</v>
      </c>
      <c r="M94" s="18">
        <f>G94*'Res Predicted Monthly'!$T$12</f>
        <v>1062182.7169861237</v>
      </c>
      <c r="N94" s="18">
        <f>H94*'Res Predicted Monthly'!$T$13</f>
        <v>5921668.4629769996</v>
      </c>
      <c r="O94" s="259">
        <f t="shared" ca="1" si="9"/>
        <v>44305265.589025892</v>
      </c>
    </row>
    <row r="95" spans="1:15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 ca="1"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 ca="1">E95*'Res Predicted Monthly'!$T$10</f>
        <v>4664231.7487775888</v>
      </c>
      <c r="L95" s="18">
        <f ca="1">F95*'Res Predicted Monthly'!$T$11</f>
        <v>3648502.3401073213</v>
      </c>
      <c r="M95" s="18">
        <f>G95*'Res Predicted Monthly'!$T$12</f>
        <v>88172.246402573932</v>
      </c>
      <c r="N95" s="18">
        <f>H95*'Res Predicted Monthly'!$T$13</f>
        <v>5985342.3174176123</v>
      </c>
      <c r="O95" s="259">
        <f t="shared" ca="1" si="9"/>
        <v>38644481.980564497</v>
      </c>
    </row>
    <row r="96" spans="1:15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 ca="1"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 ca="1">E96*'Res Predicted Monthly'!$T$10</f>
        <v>11013847.459354334</v>
      </c>
      <c r="L96" s="18">
        <f ca="1">F96*'Res Predicted Monthly'!$T$11</f>
        <v>330425.7941047409</v>
      </c>
      <c r="M96" s="18">
        <f>G96*'Res Predicted Monthly'!$T$12</f>
        <v>49990.65603937675</v>
      </c>
      <c r="N96" s="18">
        <f>H96*'Res Predicted Monthly'!$T$13</f>
        <v>6049016.1718582259</v>
      </c>
      <c r="O96" s="259">
        <f t="shared" ca="1" si="9"/>
        <v>41701513.409216084</v>
      </c>
    </row>
    <row r="97" spans="1:15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 ca="1"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 ca="1">E97*'Res Predicted Monthly'!$T$10</f>
        <v>16261782.242406053</v>
      </c>
      <c r="L97" s="18">
        <f ca="1">F97*'Res Predicted Monthly'!$T$11</f>
        <v>7495.2503908789322</v>
      </c>
      <c r="M97" s="18">
        <f>G97*'Res Predicted Monthly'!$T$12</f>
        <v>0</v>
      </c>
      <c r="N97" s="18">
        <f>H97*'Res Predicted Monthly'!$T$13</f>
        <v>6112690.0262988387</v>
      </c>
      <c r="O97" s="259">
        <f t="shared" ca="1" si="9"/>
        <v>46640200.846955173</v>
      </c>
    </row>
    <row r="98" spans="1:15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 ca="1"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 ca="1">E98*'Res Predicted Monthly'!$T$10</f>
        <v>20539458.936715774</v>
      </c>
      <c r="L98" s="18">
        <f ca="1"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259">
        <f t="shared" ref="O98:O129" ca="1" si="12">SUM(J98:N98)</f>
        <v>50974056.145314626</v>
      </c>
    </row>
    <row r="99" spans="1:15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 ca="1"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 ca="1">E99*'Res Predicted Monthly'!$T$10</f>
        <v>18308333.669263069</v>
      </c>
      <c r="L99" s="18">
        <f ca="1"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259">
        <f t="shared" ca="1" si="12"/>
        <v>48806604.732302532</v>
      </c>
    </row>
    <row r="100" spans="1:15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 ca="1"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 ca="1">E100*'Res Predicted Monthly'!$T$10</f>
        <v>15122738.929940492</v>
      </c>
      <c r="L100" s="18">
        <f ca="1">F100*'Res Predicted Monthly'!$T$11</f>
        <v>30396.048002098556</v>
      </c>
      <c r="M100" s="18">
        <f>G100*'Res Predicted Monthly'!$T$12</f>
        <v>0</v>
      </c>
      <c r="N100" s="18">
        <f>H100*'Res Predicted Monthly'!$T$13</f>
        <v>6303711.5896206768</v>
      </c>
      <c r="O100" s="259">
        <f t="shared" ca="1" si="12"/>
        <v>45715079.895422675</v>
      </c>
    </row>
    <row r="101" spans="1:15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 ca="1"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 ca="1">E101*'Res Predicted Monthly'!$T$10</f>
        <v>8403381.6013883688</v>
      </c>
      <c r="L101" s="18">
        <f ca="1">F101*'Res Predicted Monthly'!$T$11</f>
        <v>749500.62459150597</v>
      </c>
      <c r="M101" s="18">
        <f>G101*'Res Predicted Monthly'!$T$12</f>
        <v>86304.32448596647</v>
      </c>
      <c r="N101" s="18">
        <f>H101*'Res Predicted Monthly'!$T$13</f>
        <v>6367385.4440612905</v>
      </c>
      <c r="O101" s="259">
        <f t="shared" ca="1" si="12"/>
        <v>39864805.322386533</v>
      </c>
    </row>
    <row r="102" spans="1:15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 ca="1"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 ca="1">E102*'Res Predicted Monthly'!$T$10</f>
        <v>2303334.8206263483</v>
      </c>
      <c r="L102" s="18">
        <f ca="1">F102*'Res Predicted Monthly'!$T$11</f>
        <v>7630475.0176696144</v>
      </c>
      <c r="M102" s="18">
        <f>G102*'Res Predicted Monthly'!$T$12</f>
        <v>258533.05713587737</v>
      </c>
      <c r="N102" s="18">
        <f>H102*'Res Predicted Monthly'!$T$13</f>
        <v>6431059.2985019032</v>
      </c>
      <c r="O102" s="259">
        <f t="shared" ca="1" si="12"/>
        <v>40881635.521793149</v>
      </c>
    </row>
    <row r="103" spans="1:15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 ca="1"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 ca="1">E103*'Res Predicted Monthly'!$T$10</f>
        <v>115862.67696506267</v>
      </c>
      <c r="L103" s="18">
        <f ca="1">F103*'Res Predicted Monthly'!$T$11</f>
        <v>14913444.776250454</v>
      </c>
      <c r="M103" s="18">
        <f>G103*'Res Predicted Monthly'!$T$12</f>
        <v>780886.3402224367</v>
      </c>
      <c r="N103" s="18">
        <f>H103*'Res Predicted Monthly'!$T$13</f>
        <v>6494733.1529425159</v>
      </c>
      <c r="O103" s="259">
        <f t="shared" ca="1" si="12"/>
        <v>46563160.274239868</v>
      </c>
    </row>
    <row r="104" spans="1:15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 ca="1"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 ca="1">E104*'Res Predicted Monthly'!$T$10</f>
        <v>0</v>
      </c>
      <c r="L104" s="18">
        <f ca="1">F104*'Res Predicted Monthly'!$T$11</f>
        <v>21091041.537866943</v>
      </c>
      <c r="M104" s="18">
        <f>G104*'Res Predicted Monthly'!$T$12</f>
        <v>1085737.5289514798</v>
      </c>
      <c r="N104" s="18">
        <f>H104*'Res Predicted Monthly'!$T$13</f>
        <v>6558407.0073831286</v>
      </c>
      <c r="O104" s="259">
        <f t="shared" ca="1" si="12"/>
        <v>52993419.402060956</v>
      </c>
    </row>
    <row r="105" spans="1:15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 ca="1"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 ca="1">E105*'Res Predicted Monthly'!$T$10</f>
        <v>0</v>
      </c>
      <c r="L105" s="18">
        <f ca="1">F105*'Res Predicted Monthly'!$T$11</f>
        <v>19627238.728129521</v>
      </c>
      <c r="M105" s="18">
        <f>G105*'Res Predicted Monthly'!$T$12</f>
        <v>865467.96442938014</v>
      </c>
      <c r="N105" s="18">
        <f>H105*'Res Predicted Monthly'!$T$13</f>
        <v>6622080.8618237413</v>
      </c>
      <c r="O105" s="259">
        <f t="shared" ca="1" si="12"/>
        <v>51373020.882242039</v>
      </c>
    </row>
    <row r="106" spans="1:15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 ca="1"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 ca="1">E106*'Res Predicted Monthly'!$T$10</f>
        <v>373054.63768696657</v>
      </c>
      <c r="L106" s="18">
        <f ca="1">F106*'Res Predicted Monthly'!$T$11</f>
        <v>12690126.443516394</v>
      </c>
      <c r="M106" s="18">
        <f>G106*'Res Predicted Monthly'!$T$12</f>
        <v>619231.94520213385</v>
      </c>
      <c r="N106" s="18">
        <f>H106*'Res Predicted Monthly'!$T$13</f>
        <v>6685754.716264355</v>
      </c>
      <c r="O106" s="259">
        <f t="shared" ca="1" si="12"/>
        <v>44626401.070529252</v>
      </c>
    </row>
    <row r="107" spans="1:15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 ca="1"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 ca="1">E107*'Res Predicted Monthly'!$T$10</f>
        <v>4664231.7487775888</v>
      </c>
      <c r="L107" s="18">
        <f ca="1">F107*'Res Predicted Monthly'!$T$11</f>
        <v>3648502.3401073213</v>
      </c>
      <c r="M107" s="18">
        <f>G107*'Res Predicted Monthly'!$T$12</f>
        <v>207529.2909044424</v>
      </c>
      <c r="N107" s="18">
        <f>H107*'Res Predicted Monthly'!$T$13</f>
        <v>6749428.5707049677</v>
      </c>
      <c r="O107" s="259">
        <f t="shared" ca="1" si="12"/>
        <v>39527925.278353728</v>
      </c>
    </row>
    <row r="108" spans="1:15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 ca="1"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 ca="1">E108*'Res Predicted Monthly'!$T$10</f>
        <v>11013847.459354334</v>
      </c>
      <c r="L108" s="18">
        <f ca="1">F108*'Res Predicted Monthly'!$T$11</f>
        <v>330425.7941047409</v>
      </c>
      <c r="M108" s="18">
        <f>G108*'Res Predicted Monthly'!$T$12</f>
        <v>0</v>
      </c>
      <c r="N108" s="18">
        <f>H108*'Res Predicted Monthly'!$T$13</f>
        <v>6813102.4251455804</v>
      </c>
      <c r="O108" s="259">
        <f t="shared" ca="1" si="12"/>
        <v>42415609.006464057</v>
      </c>
    </row>
    <row r="109" spans="1:15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 ca="1"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 ca="1">E109*'Res Predicted Monthly'!$T$10</f>
        <v>16261782.242406053</v>
      </c>
      <c r="L109" s="18">
        <f ca="1">F109*'Res Predicted Monthly'!$T$11</f>
        <v>7495.2503908789322</v>
      </c>
      <c r="M109" s="18">
        <f>G109*'Res Predicted Monthly'!$T$12</f>
        <v>0</v>
      </c>
      <c r="N109" s="18">
        <f>H109*'Res Predicted Monthly'!$T$13</f>
        <v>6876776.2795861932</v>
      </c>
      <c r="O109" s="259">
        <f t="shared" ca="1" si="12"/>
        <v>47404287.100242533</v>
      </c>
    </row>
    <row r="110" spans="1:15" x14ac:dyDescent="0.25">
      <c r="A110" s="3">
        <f>'Monthly Data'!A110</f>
        <v>45292</v>
      </c>
      <c r="B110" s="1">
        <f t="shared" ref="B110:B115" si="13">YEAR(A110)</f>
        <v>2024</v>
      </c>
      <c r="C110" s="1">
        <f t="shared" ref="C110:C115" si="14">MONTH(A110)</f>
        <v>1</v>
      </c>
      <c r="D110" s="259">
        <f ca="1"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 ca="1">E110*'Res Predicted Monthly'!$T$10</f>
        <v>20539458.936715774</v>
      </c>
      <c r="L110" s="18">
        <f ca="1"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259">
        <f t="shared" ca="1" si="12"/>
        <v>51738142.398601979</v>
      </c>
    </row>
    <row r="111" spans="1:15" x14ac:dyDescent="0.25">
      <c r="A111" s="3">
        <f>'Monthly Data'!A111</f>
        <v>45323</v>
      </c>
      <c r="B111" s="1">
        <f t="shared" si="13"/>
        <v>2024</v>
      </c>
      <c r="C111" s="1">
        <f t="shared" si="14"/>
        <v>2</v>
      </c>
      <c r="D111" s="259">
        <f ca="1"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 ca="1">E111*'Res Predicted Monthly'!$T$10</f>
        <v>18308333.669263069</v>
      </c>
      <c r="L111" s="18">
        <f ca="1"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259">
        <f t="shared" ca="1" si="12"/>
        <v>49570690.985589884</v>
      </c>
    </row>
    <row r="112" spans="1:15" x14ac:dyDescent="0.25">
      <c r="A112" s="3">
        <f>'Monthly Data'!A112</f>
        <v>45352</v>
      </c>
      <c r="B112" s="1">
        <f t="shared" si="13"/>
        <v>2024</v>
      </c>
      <c r="C112" s="1">
        <f t="shared" si="14"/>
        <v>3</v>
      </c>
      <c r="D112" s="259">
        <f ca="1"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 ca="1">E112*'Res Predicted Monthly'!$T$10</f>
        <v>15122738.929940492</v>
      </c>
      <c r="L112" s="18">
        <f ca="1">F112*'Res Predicted Monthly'!$T$11</f>
        <v>30396.048002098556</v>
      </c>
      <c r="M112" s="18">
        <f>G112*'Res Predicted Monthly'!$T$12</f>
        <v>0</v>
      </c>
      <c r="N112" s="18">
        <f>H112*'Res Predicted Monthly'!$T$13</f>
        <v>7067797.8429080322</v>
      </c>
      <c r="O112" s="259">
        <f t="shared" ca="1" si="12"/>
        <v>46479166.148710027</v>
      </c>
    </row>
    <row r="113" spans="1:15" x14ac:dyDescent="0.25">
      <c r="A113" s="3">
        <f>'Monthly Data'!A113</f>
        <v>45383</v>
      </c>
      <c r="B113" s="1">
        <f t="shared" si="13"/>
        <v>2024</v>
      </c>
      <c r="C113" s="1">
        <f t="shared" si="14"/>
        <v>4</v>
      </c>
      <c r="D113" s="259">
        <f ca="1"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 ca="1">E113*'Res Predicted Monthly'!$T$10</f>
        <v>8403381.6013883688</v>
      </c>
      <c r="L113" s="18">
        <f ca="1">F113*'Res Predicted Monthly'!$T$11</f>
        <v>749500.62459150597</v>
      </c>
      <c r="M113" s="18">
        <f>G113*'Res Predicted Monthly'!$T$12</f>
        <v>9054.6723415210618</v>
      </c>
      <c r="N113" s="18">
        <f>H113*'Res Predicted Monthly'!$T$13</f>
        <v>7131471.697348645</v>
      </c>
      <c r="O113" s="259">
        <f t="shared" ca="1" si="12"/>
        <v>40551641.923529446</v>
      </c>
    </row>
    <row r="114" spans="1:15" x14ac:dyDescent="0.25">
      <c r="A114" s="3">
        <f>'Monthly Data'!A114</f>
        <v>45413</v>
      </c>
      <c r="B114" s="1">
        <f t="shared" si="13"/>
        <v>2024</v>
      </c>
      <c r="C114" s="1">
        <f t="shared" si="14"/>
        <v>5</v>
      </c>
      <c r="D114" s="259">
        <f ca="1">'Monthly Data'!F114</f>
        <v>40992624.283915721</v>
      </c>
      <c r="E114" s="269">
        <f t="shared" ref="E114:F133" ca="1" si="15">E102</f>
        <v>64.294809115179262</v>
      </c>
      <c r="F114" s="269">
        <f t="shared" ca="1" si="15"/>
        <v>130.22445928308915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 ca="1">E114*'Res Predicted Monthly'!$T$10</f>
        <v>2303334.8206263483</v>
      </c>
      <c r="L114" s="18">
        <f ca="1">F114*'Res Predicted Monthly'!$T$11</f>
        <v>7630475.0176696144</v>
      </c>
      <c r="M114" s="18">
        <f>G114*'Res Predicted Monthly'!$T$12</f>
        <v>418097.91238505975</v>
      </c>
      <c r="N114" s="18">
        <f>H114*'Res Predicted Monthly'!$T$13</f>
        <v>7195145.5517892577</v>
      </c>
      <c r="O114" s="259">
        <f t="shared" ca="1" si="12"/>
        <v>41805286.630329683</v>
      </c>
    </row>
    <row r="115" spans="1:15" x14ac:dyDescent="0.25">
      <c r="A115" s="3">
        <f>'Monthly Data'!A115</f>
        <v>45444</v>
      </c>
      <c r="B115" s="1">
        <f t="shared" si="13"/>
        <v>2024</v>
      </c>
      <c r="C115" s="1">
        <f t="shared" si="14"/>
        <v>6</v>
      </c>
      <c r="D115" s="259">
        <f ca="1">'Monthly Data'!F115</f>
        <v>45944836.893358529</v>
      </c>
      <c r="E115" s="269">
        <f t="shared" ca="1" si="15"/>
        <v>3.2341666666666669</v>
      </c>
      <c r="F115" s="269">
        <f t="shared" ca="1" si="15"/>
        <v>254.51826754405016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 ca="1">E115*'Res Predicted Monthly'!$T$10</f>
        <v>115862.67696506267</v>
      </c>
      <c r="L115" s="18">
        <f ca="1">F115*'Res Predicted Monthly'!$T$11</f>
        <v>14913444.776250454</v>
      </c>
      <c r="M115" s="18">
        <f>G115*'Res Predicted Monthly'!$T$12</f>
        <v>775615.00125438324</v>
      </c>
      <c r="N115" s="18">
        <f>H115*'Res Predicted Monthly'!$T$13</f>
        <v>7258819.4062298704</v>
      </c>
      <c r="O115" s="259">
        <f t="shared" ca="1" si="12"/>
        <v>47321975.188559167</v>
      </c>
    </row>
    <row r="116" spans="1:15" x14ac:dyDescent="0.25">
      <c r="A116" s="3">
        <f>EOMONTH(A115,0)+1</f>
        <v>45474</v>
      </c>
      <c r="B116" s="1">
        <f>YEAR(A116)</f>
        <v>2024</v>
      </c>
      <c r="C116" s="1">
        <f>MONTH(A116)</f>
        <v>7</v>
      </c>
      <c r="D116" s="259">
        <f ca="1">'Monthly Data'!F116</f>
        <v>55643634.584272623</v>
      </c>
      <c r="E116" s="269">
        <f t="shared" ca="1" si="15"/>
        <v>0</v>
      </c>
      <c r="F116" s="269">
        <f t="shared" ca="1" si="15"/>
        <v>359.94737858727854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 ca="1">E116*'Res Predicted Monthly'!$T$10</f>
        <v>0</v>
      </c>
      <c r="L116" s="18">
        <f ca="1">F116*'Res Predicted Monthly'!$T$11</f>
        <v>21091041.537866943</v>
      </c>
      <c r="M116" s="18">
        <f>G116*'Res Predicted Monthly'!$T$12</f>
        <v>1151684.6705157743</v>
      </c>
      <c r="N116" s="18">
        <f>H116*'Res Predicted Monthly'!$T$13</f>
        <v>7322493.2606704831</v>
      </c>
      <c r="O116" s="259">
        <f t="shared" ca="1" si="12"/>
        <v>53823452.796912603</v>
      </c>
    </row>
    <row r="117" spans="1:15" x14ac:dyDescent="0.25">
      <c r="A117" s="3">
        <f t="shared" ref="A117:A145" si="16">EOMONTH(A116,0)+1</f>
        <v>45505</v>
      </c>
      <c r="B117" s="1">
        <f>YEAR(A117)</f>
        <v>2024</v>
      </c>
      <c r="C117" s="1">
        <f>MONTH(A117)</f>
        <v>8</v>
      </c>
      <c r="D117" s="259">
        <f ca="1">'Monthly Data'!F117</f>
        <v>55415275.521450698</v>
      </c>
      <c r="E117" s="269">
        <f t="shared" ca="1" si="15"/>
        <v>0</v>
      </c>
      <c r="F117" s="269">
        <f t="shared" ca="1" si="15"/>
        <v>334.96558794466404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 ca="1">E117*'Res Predicted Monthly'!$T$10</f>
        <v>0</v>
      </c>
      <c r="L117" s="18">
        <f ca="1">F117*'Res Predicted Monthly'!$T$11</f>
        <v>19627238.728129521</v>
      </c>
      <c r="M117" s="18">
        <f>G117*'Res Predicted Monthly'!$T$12</f>
        <v>998673.37182146928</v>
      </c>
      <c r="N117" s="18">
        <f>H117*'Res Predicted Monthly'!$T$13</f>
        <v>7386167.1151110968</v>
      </c>
      <c r="O117" s="259">
        <f t="shared" ca="1" si="12"/>
        <v>52270312.542921491</v>
      </c>
    </row>
    <row r="118" spans="1:15" x14ac:dyDescent="0.25">
      <c r="A118" s="3">
        <f t="shared" si="16"/>
        <v>45536</v>
      </c>
      <c r="B118" s="1">
        <f>YEAR(A118)</f>
        <v>2024</v>
      </c>
      <c r="C118" s="1">
        <f>MONTH(A118)</f>
        <v>9</v>
      </c>
      <c r="D118" s="259">
        <f ca="1">'Monthly Data'!F118</f>
        <v>47318717.783092171</v>
      </c>
      <c r="E118" s="269">
        <f t="shared" ca="1" si="15"/>
        <v>10.413369565217392</v>
      </c>
      <c r="F118" s="269">
        <f t="shared" ca="1" si="15"/>
        <v>216.57430900621117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 ca="1">E118*'Res Predicted Monthly'!$T$10</f>
        <v>373054.63768696657</v>
      </c>
      <c r="L118" s="18">
        <f ca="1">F118*'Res Predicted Monthly'!$T$11</f>
        <v>12690126.443516394</v>
      </c>
      <c r="M118" s="18">
        <f>G118*'Res Predicted Monthly'!$T$12</f>
        <v>650796.65962345037</v>
      </c>
      <c r="N118" s="18">
        <f>H118*'Res Predicted Monthly'!$T$13</f>
        <v>7449840.9695517095</v>
      </c>
      <c r="O118" s="259">
        <f t="shared" ca="1" si="12"/>
        <v>45422052.038237929</v>
      </c>
    </row>
    <row r="119" spans="1:15" x14ac:dyDescent="0.25">
      <c r="A119" s="3">
        <f t="shared" si="16"/>
        <v>45566</v>
      </c>
      <c r="B119" s="1">
        <f>YEAR(A119)</f>
        <v>2024</v>
      </c>
      <c r="C119" s="1">
        <f>MONTH(A119)</f>
        <v>10</v>
      </c>
      <c r="D119" s="259">
        <f ca="1">'Monthly Data'!F119</f>
        <v>39877494.335995674</v>
      </c>
      <c r="E119" s="269">
        <f t="shared" ca="1" si="15"/>
        <v>130.19639492753623</v>
      </c>
      <c r="F119" s="269">
        <f t="shared" ca="1" si="15"/>
        <v>62.266666666666673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 ca="1">E119*'Res Predicted Monthly'!$T$10</f>
        <v>4664231.7487775888</v>
      </c>
      <c r="L119" s="18">
        <f ca="1">F119*'Res Predicted Monthly'!$T$11</f>
        <v>3648502.3401073213</v>
      </c>
      <c r="M119" s="18">
        <f>G119*'Res Predicted Monthly'!$T$12</f>
        <v>118169.8059955502</v>
      </c>
      <c r="N119" s="18">
        <f>H119*'Res Predicted Monthly'!$T$13</f>
        <v>7513514.8239923222</v>
      </c>
      <c r="O119" s="259">
        <f t="shared" ca="1" si="12"/>
        <v>40202652.046732187</v>
      </c>
    </row>
    <row r="120" spans="1:15" x14ac:dyDescent="0.25">
      <c r="A120" s="3">
        <f t="shared" si="16"/>
        <v>45597</v>
      </c>
      <c r="B120" s="1">
        <f t="shared" ref="B120:B145" si="17">YEAR(A120)</f>
        <v>2024</v>
      </c>
      <c r="C120" s="1">
        <f t="shared" ref="C120:C145" si="18">MONTH(A120)</f>
        <v>11</v>
      </c>
      <c r="D120" s="259">
        <f ca="1">'Monthly Data'!F120</f>
        <v>40926997.432523698</v>
      </c>
      <c r="E120" s="269">
        <f t="shared" ca="1" si="15"/>
        <v>307.43824722379077</v>
      </c>
      <c r="F120" s="269">
        <f t="shared" ca="1" si="15"/>
        <v>5.6391666666666662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 ca="1">E120*'Res Predicted Monthly'!$T$10</f>
        <v>11013847.459354334</v>
      </c>
      <c r="L120" s="18">
        <f ca="1">F120*'Res Predicted Monthly'!$T$11</f>
        <v>330425.7941047409</v>
      </c>
      <c r="M120" s="18">
        <f>G120*'Res Predicted Monthly'!$T$12</f>
        <v>36107.880438827837</v>
      </c>
      <c r="N120" s="18">
        <f>H120*'Res Predicted Monthly'!$T$13</f>
        <v>7577188.6784329349</v>
      </c>
      <c r="O120" s="259">
        <f t="shared" ca="1" si="12"/>
        <v>43215803.140190236</v>
      </c>
    </row>
    <row r="121" spans="1:15" x14ac:dyDescent="0.25">
      <c r="A121" s="3">
        <f t="shared" si="16"/>
        <v>45627</v>
      </c>
      <c r="B121" s="1">
        <f t="shared" si="17"/>
        <v>2024</v>
      </c>
      <c r="C121" s="1">
        <f t="shared" si="18"/>
        <v>12</v>
      </c>
      <c r="D121" s="259">
        <f ca="1">'Monthly Data'!F121</f>
        <v>47973236.875220634</v>
      </c>
      <c r="E121" s="269">
        <f t="shared" ca="1" si="15"/>
        <v>453.92800724637681</v>
      </c>
      <c r="F121" s="269">
        <f t="shared" ca="1" si="15"/>
        <v>0.12791666666666668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 ca="1">E121*'Res Predicted Monthly'!$T$10</f>
        <v>16261782.242406053</v>
      </c>
      <c r="L121" s="18">
        <f ca="1">F121*'Res Predicted Monthly'!$T$11</f>
        <v>7495.2503908789322</v>
      </c>
      <c r="M121" s="18">
        <f>G121*'Res Predicted Monthly'!$T$12</f>
        <v>0</v>
      </c>
      <c r="N121" s="18">
        <f>H121*'Res Predicted Monthly'!$T$13</f>
        <v>7640862.5328735476</v>
      </c>
      <c r="O121" s="259">
        <f t="shared" ca="1" si="12"/>
        <v>48168373.353529885</v>
      </c>
    </row>
    <row r="122" spans="1:15" x14ac:dyDescent="0.25">
      <c r="A122" s="3">
        <f t="shared" si="16"/>
        <v>45658</v>
      </c>
      <c r="B122" s="1">
        <f t="shared" si="17"/>
        <v>2025</v>
      </c>
      <c r="C122" s="1">
        <f t="shared" si="18"/>
        <v>1</v>
      </c>
      <c r="E122" s="280">
        <f t="shared" ca="1" si="15"/>
        <v>573.33418478260865</v>
      </c>
      <c r="F122" s="280">
        <f t="shared" ca="1" si="15"/>
        <v>0</v>
      </c>
      <c r="G122" s="305">
        <f ca="1">F122*0.25</f>
        <v>0</v>
      </c>
      <c r="H122" s="280">
        <f>H121+1</f>
        <v>121</v>
      </c>
      <c r="J122" s="18">
        <f>'Res Predicted Monthly'!$T$9</f>
        <v>24258233.327859402</v>
      </c>
      <c r="K122" s="18">
        <f ca="1">E122*'Res Predicted Monthly'!$T$10</f>
        <v>20539458.936715774</v>
      </c>
      <c r="L122" s="18">
        <f ca="1">F122*'Res Predicted Monthly'!$T$11</f>
        <v>0</v>
      </c>
      <c r="M122" s="18">
        <f ca="1">G122*'Res Predicted Monthly'!$T$12</f>
        <v>0</v>
      </c>
      <c r="N122" s="18">
        <f>H122*'Res Predicted Monthly'!$T$13</f>
        <v>7704536.3873141613</v>
      </c>
      <c r="O122" s="259">
        <f t="shared" ca="1" si="12"/>
        <v>52502228.651889339</v>
      </c>
    </row>
    <row r="123" spans="1:15" x14ac:dyDescent="0.25">
      <c r="A123" s="3">
        <f t="shared" si="16"/>
        <v>45689</v>
      </c>
      <c r="B123" s="1">
        <f t="shared" si="17"/>
        <v>2025</v>
      </c>
      <c r="C123" s="1">
        <f t="shared" si="18"/>
        <v>2</v>
      </c>
      <c r="E123" s="280">
        <f t="shared" ca="1" si="15"/>
        <v>511.05501811594206</v>
      </c>
      <c r="F123" s="280">
        <f t="shared" ca="1" si="15"/>
        <v>0</v>
      </c>
      <c r="G123" s="305">
        <f t="shared" ref="G123:G145" ca="1" si="19">F123*0.25</f>
        <v>0</v>
      </c>
      <c r="H123" s="280">
        <f t="shared" ref="H123:H145" si="20">H122+1</f>
        <v>122</v>
      </c>
      <c r="J123" s="18">
        <f>'Res Predicted Monthly'!$T$9</f>
        <v>24258233.327859402</v>
      </c>
      <c r="K123" s="18">
        <f ca="1">E123*'Res Predicted Monthly'!$T$10</f>
        <v>18308333.669263069</v>
      </c>
      <c r="L123" s="18">
        <f ca="1">F123*'Res Predicted Monthly'!$T$11</f>
        <v>0</v>
      </c>
      <c r="M123" s="18">
        <f ca="1">G123*'Res Predicted Monthly'!$T$12</f>
        <v>0</v>
      </c>
      <c r="N123" s="18">
        <f>H123*'Res Predicted Monthly'!$T$13</f>
        <v>7768210.241754774</v>
      </c>
      <c r="O123" s="259">
        <f t="shared" ca="1" si="12"/>
        <v>50334777.238877237</v>
      </c>
    </row>
    <row r="124" spans="1:15" x14ac:dyDescent="0.25">
      <c r="A124" s="3">
        <f t="shared" si="16"/>
        <v>45717</v>
      </c>
      <c r="B124" s="1">
        <f t="shared" si="17"/>
        <v>2025</v>
      </c>
      <c r="C124" s="1">
        <f t="shared" si="18"/>
        <v>3</v>
      </c>
      <c r="E124" s="280">
        <f t="shared" ca="1" si="15"/>
        <v>422.13298913043479</v>
      </c>
      <c r="F124" s="280">
        <f t="shared" ca="1" si="15"/>
        <v>0.51874999999999927</v>
      </c>
      <c r="G124" s="305">
        <f t="shared" ca="1" si="19"/>
        <v>0.12968749999999982</v>
      </c>
      <c r="H124" s="280">
        <f t="shared" si="20"/>
        <v>123</v>
      </c>
      <c r="J124" s="18">
        <f>'Res Predicted Monthly'!$T$9</f>
        <v>24258233.327859402</v>
      </c>
      <c r="K124" s="18">
        <f ca="1">E124*'Res Predicted Monthly'!$T$10</f>
        <v>15122738.929940492</v>
      </c>
      <c r="L124" s="18">
        <f ca="1">F124*'Res Predicted Monthly'!$T$11</f>
        <v>30396.048002098556</v>
      </c>
      <c r="M124" s="18">
        <f ca="1">G124*'Res Predicted Monthly'!$T$12</f>
        <v>1970.8159204884091</v>
      </c>
      <c r="N124" s="18">
        <f>H124*'Res Predicted Monthly'!$T$13</f>
        <v>7831884.0961953867</v>
      </c>
      <c r="O124" s="259">
        <f t="shared" ca="1" si="12"/>
        <v>47245223.217917867</v>
      </c>
    </row>
    <row r="125" spans="1:15" x14ac:dyDescent="0.25">
      <c r="A125" s="3">
        <f t="shared" si="16"/>
        <v>45748</v>
      </c>
      <c r="B125" s="1">
        <f t="shared" si="17"/>
        <v>2025</v>
      </c>
      <c r="C125" s="1">
        <f t="shared" si="18"/>
        <v>4</v>
      </c>
      <c r="E125" s="280">
        <f t="shared" ca="1" si="15"/>
        <v>234.57024621212122</v>
      </c>
      <c r="F125" s="280">
        <f t="shared" ca="1" si="15"/>
        <v>12.79125</v>
      </c>
      <c r="G125" s="305">
        <f t="shared" ca="1" si="19"/>
        <v>3.1978124999999999</v>
      </c>
      <c r="H125" s="280">
        <f t="shared" si="20"/>
        <v>124</v>
      </c>
      <c r="J125" s="18">
        <f>'Res Predicted Monthly'!$T$9</f>
        <v>24258233.327859402</v>
      </c>
      <c r="K125" s="18">
        <f ca="1">E125*'Res Predicted Monthly'!$T$10</f>
        <v>8403381.6013883688</v>
      </c>
      <c r="L125" s="18">
        <f ca="1">F125*'Res Predicted Monthly'!$T$11</f>
        <v>749500.62459150597</v>
      </c>
      <c r="M125" s="18">
        <f ca="1">G125*'Res Predicted Monthly'!$T$12</f>
        <v>48596.046540621486</v>
      </c>
      <c r="N125" s="18">
        <f>H125*'Res Predicted Monthly'!$T$13</f>
        <v>7895557.9506359994</v>
      </c>
      <c r="O125" s="259">
        <f t="shared" ca="1" si="12"/>
        <v>41355269.551015899</v>
      </c>
    </row>
    <row r="126" spans="1:15" x14ac:dyDescent="0.25">
      <c r="A126" s="3">
        <f t="shared" si="16"/>
        <v>45778</v>
      </c>
      <c r="B126" s="1">
        <f t="shared" si="17"/>
        <v>2025</v>
      </c>
      <c r="C126" s="1">
        <f t="shared" si="18"/>
        <v>5</v>
      </c>
      <c r="E126" s="280">
        <f t="shared" ca="1" si="15"/>
        <v>64.294809115179262</v>
      </c>
      <c r="F126" s="280">
        <f t="shared" ca="1" si="15"/>
        <v>130.22445928308915</v>
      </c>
      <c r="G126" s="305">
        <f t="shared" ca="1" si="19"/>
        <v>32.556114820772287</v>
      </c>
      <c r="H126" s="280">
        <f t="shared" si="20"/>
        <v>125</v>
      </c>
      <c r="J126" s="18">
        <f>'Res Predicted Monthly'!$T$9</f>
        <v>24258233.327859402</v>
      </c>
      <c r="K126" s="18">
        <f ca="1">E126*'Res Predicted Monthly'!$T$10</f>
        <v>2303334.8206263483</v>
      </c>
      <c r="L126" s="18">
        <f ca="1">F126*'Res Predicted Monthly'!$T$11</f>
        <v>7630475.0176696144</v>
      </c>
      <c r="M126" s="18">
        <f ca="1">G126*'Res Predicted Monthly'!$T$12</f>
        <v>494743.9760811702</v>
      </c>
      <c r="N126" s="18">
        <f>H126*'Res Predicted Monthly'!$T$13</f>
        <v>7959231.8050766122</v>
      </c>
      <c r="O126" s="259">
        <f t="shared" ca="1" si="12"/>
        <v>42646018.947313152</v>
      </c>
    </row>
    <row r="127" spans="1:15" x14ac:dyDescent="0.25">
      <c r="A127" s="3">
        <f t="shared" si="16"/>
        <v>45809</v>
      </c>
      <c r="B127" s="1">
        <f t="shared" si="17"/>
        <v>2025</v>
      </c>
      <c r="C127" s="1">
        <f t="shared" si="18"/>
        <v>6</v>
      </c>
      <c r="E127" s="280">
        <f t="shared" ca="1" si="15"/>
        <v>3.2341666666666669</v>
      </c>
      <c r="F127" s="280">
        <f t="shared" ca="1" si="15"/>
        <v>254.51826754405016</v>
      </c>
      <c r="G127" s="305">
        <f t="shared" ca="1" si="19"/>
        <v>63.62956688601254</v>
      </c>
      <c r="H127" s="280">
        <f t="shared" si="20"/>
        <v>126</v>
      </c>
      <c r="J127" s="18">
        <f>'Res Predicted Monthly'!$T$9</f>
        <v>24258233.327859402</v>
      </c>
      <c r="K127" s="18">
        <f ca="1">E127*'Res Predicted Monthly'!$T$10</f>
        <v>115862.67696506267</v>
      </c>
      <c r="L127" s="18">
        <f ca="1">F127*'Res Predicted Monthly'!$T$11</f>
        <v>14913444.776250454</v>
      </c>
      <c r="M127" s="18">
        <f ca="1">G127*'Res Predicted Monthly'!$T$12</f>
        <v>966956.44092711923</v>
      </c>
      <c r="N127" s="18">
        <f>H127*'Res Predicted Monthly'!$T$13</f>
        <v>8022905.6595172258</v>
      </c>
      <c r="O127" s="259">
        <f t="shared" ca="1" si="12"/>
        <v>48277402.881519265</v>
      </c>
    </row>
    <row r="128" spans="1:15" x14ac:dyDescent="0.25">
      <c r="A128" s="3">
        <f t="shared" si="16"/>
        <v>45839</v>
      </c>
      <c r="B128" s="1">
        <f t="shared" si="17"/>
        <v>2025</v>
      </c>
      <c r="C128" s="1">
        <f t="shared" si="18"/>
        <v>7</v>
      </c>
      <c r="E128" s="280">
        <f t="shared" ca="1" si="15"/>
        <v>0</v>
      </c>
      <c r="F128" s="280">
        <f t="shared" ca="1" si="15"/>
        <v>359.94737858727854</v>
      </c>
      <c r="G128" s="305">
        <f t="shared" ca="1" si="19"/>
        <v>89.986844646819634</v>
      </c>
      <c r="H128" s="280">
        <f t="shared" si="20"/>
        <v>127</v>
      </c>
      <c r="J128" s="18">
        <f>'Res Predicted Monthly'!$T$9</f>
        <v>24258233.327859402</v>
      </c>
      <c r="K128" s="18">
        <f ca="1">E128*'Res Predicted Monthly'!$T$10</f>
        <v>0</v>
      </c>
      <c r="L128" s="18">
        <f ca="1">F128*'Res Predicted Monthly'!$T$11</f>
        <v>21091041.537866943</v>
      </c>
      <c r="M128" s="18">
        <f ca="1">G128*'Res Predicted Monthly'!$T$12</f>
        <v>1367498.8419428978</v>
      </c>
      <c r="N128" s="18">
        <f>H128*'Res Predicted Monthly'!$T$13</f>
        <v>8086579.5139578385</v>
      </c>
      <c r="O128" s="259">
        <f t="shared" ca="1" si="12"/>
        <v>54803353.221627079</v>
      </c>
    </row>
    <row r="129" spans="1:15" x14ac:dyDescent="0.25">
      <c r="A129" s="3">
        <f t="shared" si="16"/>
        <v>45870</v>
      </c>
      <c r="B129" s="1">
        <f t="shared" si="17"/>
        <v>2025</v>
      </c>
      <c r="C129" s="1">
        <f t="shared" si="18"/>
        <v>8</v>
      </c>
      <c r="E129" s="280">
        <f t="shared" ca="1" si="15"/>
        <v>0</v>
      </c>
      <c r="F129" s="280">
        <f t="shared" ca="1" si="15"/>
        <v>334.96558794466404</v>
      </c>
      <c r="G129" s="305">
        <f t="shared" ca="1" si="19"/>
        <v>83.741396986166009</v>
      </c>
      <c r="H129" s="280">
        <f t="shared" si="20"/>
        <v>128</v>
      </c>
      <c r="J129" s="18">
        <f>'Res Predicted Monthly'!$T$9</f>
        <v>24258233.327859402</v>
      </c>
      <c r="K129" s="18">
        <f ca="1">E129*'Res Predicted Monthly'!$T$10</f>
        <v>0</v>
      </c>
      <c r="L129" s="18">
        <f ca="1">F129*'Res Predicted Monthly'!$T$11</f>
        <v>19627238.728129521</v>
      </c>
      <c r="M129" s="18">
        <f ca="1">G129*'Res Predicted Monthly'!$T$12</f>
        <v>1272588.9417582748</v>
      </c>
      <c r="N129" s="18">
        <f>H129*'Res Predicted Monthly'!$T$13</f>
        <v>8150253.3683984512</v>
      </c>
      <c r="O129" s="259">
        <f t="shared" ca="1" si="12"/>
        <v>53308314.366145648</v>
      </c>
    </row>
    <row r="130" spans="1:15" x14ac:dyDescent="0.25">
      <c r="A130" s="3">
        <f t="shared" si="16"/>
        <v>45901</v>
      </c>
      <c r="B130" s="1">
        <f t="shared" si="17"/>
        <v>2025</v>
      </c>
      <c r="C130" s="1">
        <f t="shared" si="18"/>
        <v>9</v>
      </c>
      <c r="E130" s="280">
        <f t="shared" ca="1" si="15"/>
        <v>10.413369565217392</v>
      </c>
      <c r="F130" s="280">
        <f t="shared" ca="1" si="15"/>
        <v>216.57430900621117</v>
      </c>
      <c r="G130" s="305">
        <f t="shared" ca="1" si="19"/>
        <v>54.143577251552792</v>
      </c>
      <c r="H130" s="280">
        <f t="shared" si="20"/>
        <v>129</v>
      </c>
      <c r="J130" s="18">
        <f>'Res Predicted Monthly'!$T$9</f>
        <v>24258233.327859402</v>
      </c>
      <c r="K130" s="18">
        <f ca="1">E130*'Res Predicted Monthly'!$T$10</f>
        <v>373054.63768696657</v>
      </c>
      <c r="L130" s="18">
        <f ca="1">F130*'Res Predicted Monthly'!$T$11</f>
        <v>12690126.443516394</v>
      </c>
      <c r="M130" s="18">
        <f ca="1">G130*'Res Predicted Monthly'!$T$12</f>
        <v>822801.14922066079</v>
      </c>
      <c r="N130" s="18">
        <f>H130*'Res Predicted Monthly'!$T$13</f>
        <v>8213927.222839064</v>
      </c>
      <c r="O130" s="259">
        <f t="shared" ref="O130:O145" ca="1" si="21">SUM(J130:N130)</f>
        <v>46358142.781122491</v>
      </c>
    </row>
    <row r="131" spans="1:15" x14ac:dyDescent="0.25">
      <c r="A131" s="3">
        <f t="shared" si="16"/>
        <v>45931</v>
      </c>
      <c r="B131" s="1">
        <f t="shared" si="17"/>
        <v>2025</v>
      </c>
      <c r="C131" s="1">
        <f t="shared" si="18"/>
        <v>10</v>
      </c>
      <c r="E131" s="280">
        <f t="shared" ca="1" si="15"/>
        <v>130.19639492753623</v>
      </c>
      <c r="F131" s="280">
        <f t="shared" ca="1" si="15"/>
        <v>62.266666666666673</v>
      </c>
      <c r="G131" s="305">
        <f t="shared" ca="1" si="19"/>
        <v>15.566666666666668</v>
      </c>
      <c r="H131" s="280">
        <f t="shared" si="20"/>
        <v>130</v>
      </c>
      <c r="J131" s="18">
        <f>'Res Predicted Monthly'!$T$9</f>
        <v>24258233.327859402</v>
      </c>
      <c r="K131" s="18">
        <f ca="1">E131*'Res Predicted Monthly'!$T$10</f>
        <v>4664231.7487775888</v>
      </c>
      <c r="L131" s="18">
        <f ca="1">F131*'Res Predicted Monthly'!$T$11</f>
        <v>3648502.3401073213</v>
      </c>
      <c r="M131" s="18">
        <f ca="1">G131*'Res Predicted Monthly'!$T$12</f>
        <v>236561.2298456131</v>
      </c>
      <c r="N131" s="18">
        <f>H131*'Res Predicted Monthly'!$T$13</f>
        <v>8277601.0772796767</v>
      </c>
      <c r="O131" s="259">
        <f t="shared" ca="1" si="21"/>
        <v>41085129.723869607</v>
      </c>
    </row>
    <row r="132" spans="1:15" x14ac:dyDescent="0.25">
      <c r="A132" s="3">
        <f t="shared" si="16"/>
        <v>45962</v>
      </c>
      <c r="B132" s="1">
        <f t="shared" si="17"/>
        <v>2025</v>
      </c>
      <c r="C132" s="1">
        <f t="shared" si="18"/>
        <v>11</v>
      </c>
      <c r="E132" s="280">
        <f t="shared" ca="1" si="15"/>
        <v>307.43824722379077</v>
      </c>
      <c r="F132" s="280">
        <f t="shared" ca="1" si="15"/>
        <v>5.6391666666666662</v>
      </c>
      <c r="G132" s="305">
        <f t="shared" ca="1" si="19"/>
        <v>1.4097916666666666</v>
      </c>
      <c r="H132" s="280">
        <f t="shared" si="20"/>
        <v>131</v>
      </c>
      <c r="J132" s="18">
        <f>'Res Predicted Monthly'!$T$9</f>
        <v>24258233.327859402</v>
      </c>
      <c r="K132" s="18">
        <f ca="1">E132*'Res Predicted Monthly'!$T$10</f>
        <v>11013847.459354334</v>
      </c>
      <c r="L132" s="18">
        <f ca="1">F132*'Res Predicted Monthly'!$T$11</f>
        <v>330425.7941047409</v>
      </c>
      <c r="M132" s="18">
        <f ca="1">G132*'Res Predicted Monthly'!$T$12</f>
        <v>21424.114592682861</v>
      </c>
      <c r="N132" s="18">
        <f>H132*'Res Predicted Monthly'!$T$13</f>
        <v>8341274.9317202903</v>
      </c>
      <c r="O132" s="259">
        <f t="shared" ca="1" si="21"/>
        <v>43965205.627631456</v>
      </c>
    </row>
    <row r="133" spans="1:15" x14ac:dyDescent="0.25">
      <c r="A133" s="3">
        <f t="shared" si="16"/>
        <v>45992</v>
      </c>
      <c r="B133" s="1">
        <f t="shared" si="17"/>
        <v>2025</v>
      </c>
      <c r="C133" s="1">
        <f t="shared" si="18"/>
        <v>12</v>
      </c>
      <c r="E133" s="280">
        <f t="shared" ca="1" si="15"/>
        <v>453.92800724637681</v>
      </c>
      <c r="F133" s="280">
        <f t="shared" ca="1" si="15"/>
        <v>0.12791666666666668</v>
      </c>
      <c r="G133" s="305">
        <f t="shared" ca="1" si="19"/>
        <v>3.197916666666667E-2</v>
      </c>
      <c r="H133" s="280">
        <f t="shared" si="20"/>
        <v>132</v>
      </c>
      <c r="J133" s="18">
        <f>'Res Predicted Monthly'!$T$9</f>
        <v>24258233.327859402</v>
      </c>
      <c r="K133" s="18">
        <f ca="1">E133*'Res Predicted Monthly'!$T$10</f>
        <v>16261782.242406053</v>
      </c>
      <c r="L133" s="18">
        <f ca="1">F133*'Res Predicted Monthly'!$T$11</f>
        <v>7495.2503908789322</v>
      </c>
      <c r="M133" s="18">
        <f ca="1">G133*'Res Predicted Monthly'!$T$12</f>
        <v>485.97629525296583</v>
      </c>
      <c r="N133" s="18">
        <f>H133*'Res Predicted Monthly'!$T$13</f>
        <v>8404948.7861609031</v>
      </c>
      <c r="O133" s="259">
        <f t="shared" ca="1" si="21"/>
        <v>48932945.583112493</v>
      </c>
    </row>
    <row r="134" spans="1:15" x14ac:dyDescent="0.25">
      <c r="A134" s="3">
        <f t="shared" si="16"/>
        <v>46023</v>
      </c>
      <c r="B134" s="1">
        <f t="shared" si="17"/>
        <v>2026</v>
      </c>
      <c r="C134" s="1">
        <f t="shared" si="18"/>
        <v>1</v>
      </c>
      <c r="E134" s="280">
        <f t="shared" ref="E134:F145" ca="1" si="22">E122</f>
        <v>573.33418478260865</v>
      </c>
      <c r="F134" s="280">
        <f t="shared" ca="1" si="22"/>
        <v>0</v>
      </c>
      <c r="G134" s="305">
        <f t="shared" ca="1" si="19"/>
        <v>0</v>
      </c>
      <c r="H134" s="280">
        <f t="shared" si="20"/>
        <v>133</v>
      </c>
      <c r="J134" s="18">
        <f>'Res Predicted Monthly'!$T$9</f>
        <v>24258233.327859402</v>
      </c>
      <c r="K134" s="18">
        <f ca="1">E134*'Res Predicted Monthly'!$T$10</f>
        <v>20539458.936715774</v>
      </c>
      <c r="L134" s="18">
        <f ca="1">F134*'Res Predicted Monthly'!$T$11</f>
        <v>0</v>
      </c>
      <c r="M134" s="18">
        <f ca="1">G134*'Res Predicted Monthly'!$T$12</f>
        <v>0</v>
      </c>
      <c r="N134" s="18">
        <f>H134*'Res Predicted Monthly'!$T$13</f>
        <v>8468622.6406015158</v>
      </c>
      <c r="O134" s="259">
        <f t="shared" ca="1" si="21"/>
        <v>53266314.905176692</v>
      </c>
    </row>
    <row r="135" spans="1:15" x14ac:dyDescent="0.25">
      <c r="A135" s="3">
        <f t="shared" si="16"/>
        <v>46054</v>
      </c>
      <c r="B135" s="1">
        <f t="shared" si="17"/>
        <v>2026</v>
      </c>
      <c r="C135" s="1">
        <f t="shared" si="18"/>
        <v>2</v>
      </c>
      <c r="E135" s="280">
        <f t="shared" ca="1" si="22"/>
        <v>511.05501811594206</v>
      </c>
      <c r="F135" s="280">
        <f t="shared" ca="1" si="22"/>
        <v>0</v>
      </c>
      <c r="G135" s="305">
        <f t="shared" ca="1" si="19"/>
        <v>0</v>
      </c>
      <c r="H135" s="280">
        <f t="shared" si="20"/>
        <v>134</v>
      </c>
      <c r="J135" s="18">
        <f>'Res Predicted Monthly'!$T$9</f>
        <v>24258233.327859402</v>
      </c>
      <c r="K135" s="18">
        <f ca="1">E135*'Res Predicted Monthly'!$T$10</f>
        <v>18308333.669263069</v>
      </c>
      <c r="L135" s="18">
        <f ca="1">F135*'Res Predicted Monthly'!$T$11</f>
        <v>0</v>
      </c>
      <c r="M135" s="18">
        <f ca="1">G135*'Res Predicted Monthly'!$T$12</f>
        <v>0</v>
      </c>
      <c r="N135" s="18">
        <f>H135*'Res Predicted Monthly'!$T$13</f>
        <v>8532296.4950421285</v>
      </c>
      <c r="O135" s="259">
        <f t="shared" ca="1" si="21"/>
        <v>51098863.492164597</v>
      </c>
    </row>
    <row r="136" spans="1:15" x14ac:dyDescent="0.25">
      <c r="A136" s="3">
        <f t="shared" si="16"/>
        <v>46082</v>
      </c>
      <c r="B136" s="1">
        <f t="shared" si="17"/>
        <v>2026</v>
      </c>
      <c r="C136" s="1">
        <f t="shared" si="18"/>
        <v>3</v>
      </c>
      <c r="E136" s="280">
        <f t="shared" ca="1" si="22"/>
        <v>422.13298913043479</v>
      </c>
      <c r="F136" s="280">
        <f t="shared" ca="1" si="22"/>
        <v>0.51874999999999927</v>
      </c>
      <c r="G136" s="305">
        <f t="shared" ca="1" si="19"/>
        <v>0.12968749999999982</v>
      </c>
      <c r="H136" s="280">
        <f t="shared" si="20"/>
        <v>135</v>
      </c>
      <c r="J136" s="18">
        <f>'Res Predicted Monthly'!$T$9</f>
        <v>24258233.327859402</v>
      </c>
      <c r="K136" s="18">
        <f ca="1">E136*'Res Predicted Monthly'!$T$10</f>
        <v>15122738.929940492</v>
      </c>
      <c r="L136" s="18">
        <f ca="1">F136*'Res Predicted Monthly'!$T$11</f>
        <v>30396.048002098556</v>
      </c>
      <c r="M136" s="18">
        <f ca="1">G136*'Res Predicted Monthly'!$T$12</f>
        <v>1970.8159204884091</v>
      </c>
      <c r="N136" s="18">
        <f>H136*'Res Predicted Monthly'!$T$13</f>
        <v>8595970.3494827412</v>
      </c>
      <c r="O136" s="259">
        <f t="shared" ca="1" si="21"/>
        <v>48009309.47120522</v>
      </c>
    </row>
    <row r="137" spans="1:15" x14ac:dyDescent="0.25">
      <c r="A137" s="3">
        <f t="shared" si="16"/>
        <v>46113</v>
      </c>
      <c r="B137" s="1">
        <f t="shared" si="17"/>
        <v>2026</v>
      </c>
      <c r="C137" s="1">
        <f t="shared" si="18"/>
        <v>4</v>
      </c>
      <c r="E137" s="280">
        <f t="shared" ca="1" si="22"/>
        <v>234.57024621212122</v>
      </c>
      <c r="F137" s="280">
        <f t="shared" ca="1" si="22"/>
        <v>12.79125</v>
      </c>
      <c r="G137" s="305">
        <f t="shared" ca="1" si="19"/>
        <v>3.1978124999999999</v>
      </c>
      <c r="H137" s="280">
        <f t="shared" si="20"/>
        <v>136</v>
      </c>
      <c r="J137" s="18">
        <f>'Res Predicted Monthly'!$T$9</f>
        <v>24258233.327859402</v>
      </c>
      <c r="K137" s="18">
        <f ca="1">E137*'Res Predicted Monthly'!$T$10</f>
        <v>8403381.6013883688</v>
      </c>
      <c r="L137" s="18">
        <f ca="1">F137*'Res Predicted Monthly'!$T$11</f>
        <v>749500.62459150597</v>
      </c>
      <c r="M137" s="18">
        <f ca="1">G137*'Res Predicted Monthly'!$T$12</f>
        <v>48596.046540621486</v>
      </c>
      <c r="N137" s="18">
        <f>H137*'Res Predicted Monthly'!$T$13</f>
        <v>8659644.2039233539</v>
      </c>
      <c r="O137" s="259">
        <f t="shared" ca="1" si="21"/>
        <v>42119355.804303251</v>
      </c>
    </row>
    <row r="138" spans="1:15" x14ac:dyDescent="0.25">
      <c r="A138" s="3">
        <f t="shared" si="16"/>
        <v>46143</v>
      </c>
      <c r="B138" s="1">
        <f t="shared" si="17"/>
        <v>2026</v>
      </c>
      <c r="C138" s="1">
        <f t="shared" si="18"/>
        <v>5</v>
      </c>
      <c r="E138" s="280">
        <f t="shared" ca="1" si="22"/>
        <v>64.294809115179262</v>
      </c>
      <c r="F138" s="280">
        <f t="shared" ca="1" si="22"/>
        <v>130.22445928308915</v>
      </c>
      <c r="G138" s="305">
        <f t="shared" ca="1" si="19"/>
        <v>32.556114820772287</v>
      </c>
      <c r="H138" s="280">
        <f t="shared" si="20"/>
        <v>137</v>
      </c>
      <c r="J138" s="18">
        <f>'Res Predicted Monthly'!$T$9</f>
        <v>24258233.327859402</v>
      </c>
      <c r="K138" s="18">
        <f ca="1">E138*'Res Predicted Monthly'!$T$10</f>
        <v>2303334.8206263483</v>
      </c>
      <c r="L138" s="18">
        <f ca="1">F138*'Res Predicted Monthly'!$T$11</f>
        <v>7630475.0176696144</v>
      </c>
      <c r="M138" s="18">
        <f ca="1">G138*'Res Predicted Monthly'!$T$12</f>
        <v>494743.9760811702</v>
      </c>
      <c r="N138" s="18">
        <f>H138*'Res Predicted Monthly'!$T$13</f>
        <v>8723318.0583639666</v>
      </c>
      <c r="O138" s="259">
        <f t="shared" ca="1" si="21"/>
        <v>43410105.200600505</v>
      </c>
    </row>
    <row r="139" spans="1:15" x14ac:dyDescent="0.25">
      <c r="A139" s="3">
        <f t="shared" si="16"/>
        <v>46174</v>
      </c>
      <c r="B139" s="1">
        <f t="shared" si="17"/>
        <v>2026</v>
      </c>
      <c r="C139" s="1">
        <f t="shared" si="18"/>
        <v>6</v>
      </c>
      <c r="E139" s="280">
        <f t="shared" ca="1" si="22"/>
        <v>3.2341666666666669</v>
      </c>
      <c r="F139" s="280">
        <f t="shared" ca="1" si="22"/>
        <v>254.51826754405016</v>
      </c>
      <c r="G139" s="305">
        <f t="shared" ca="1" si="19"/>
        <v>63.62956688601254</v>
      </c>
      <c r="H139" s="280">
        <f t="shared" si="20"/>
        <v>138</v>
      </c>
      <c r="J139" s="18">
        <f>'Res Predicted Monthly'!$T$9</f>
        <v>24258233.327859402</v>
      </c>
      <c r="K139" s="18">
        <f ca="1">E139*'Res Predicted Monthly'!$T$10</f>
        <v>115862.67696506267</v>
      </c>
      <c r="L139" s="18">
        <f ca="1">F139*'Res Predicted Monthly'!$T$11</f>
        <v>14913444.776250454</v>
      </c>
      <c r="M139" s="18">
        <f ca="1">G139*'Res Predicted Monthly'!$T$12</f>
        <v>966956.44092711923</v>
      </c>
      <c r="N139" s="18">
        <f>H139*'Res Predicted Monthly'!$T$13</f>
        <v>8786991.9128045794</v>
      </c>
      <c r="O139" s="259">
        <f t="shared" ca="1" si="21"/>
        <v>49041489.134806618</v>
      </c>
    </row>
    <row r="140" spans="1:15" x14ac:dyDescent="0.25">
      <c r="A140" s="3">
        <f t="shared" si="16"/>
        <v>46204</v>
      </c>
      <c r="B140" s="1">
        <f t="shared" si="17"/>
        <v>2026</v>
      </c>
      <c r="C140" s="1">
        <f t="shared" si="18"/>
        <v>7</v>
      </c>
      <c r="E140" s="280">
        <f t="shared" ca="1" si="22"/>
        <v>0</v>
      </c>
      <c r="F140" s="280">
        <f t="shared" ca="1" si="22"/>
        <v>359.94737858727854</v>
      </c>
      <c r="G140" s="305">
        <f t="shared" ca="1" si="19"/>
        <v>89.986844646819634</v>
      </c>
      <c r="H140" s="280">
        <f t="shared" si="20"/>
        <v>139</v>
      </c>
      <c r="J140" s="18">
        <f>'Res Predicted Monthly'!$T$9</f>
        <v>24258233.327859402</v>
      </c>
      <c r="K140" s="18">
        <f ca="1">E140*'Res Predicted Monthly'!$T$10</f>
        <v>0</v>
      </c>
      <c r="L140" s="18">
        <f ca="1">F140*'Res Predicted Monthly'!$T$11</f>
        <v>21091041.537866943</v>
      </c>
      <c r="M140" s="18">
        <f ca="1">G140*'Res Predicted Monthly'!$T$12</f>
        <v>1367498.8419428978</v>
      </c>
      <c r="N140" s="18">
        <f>H140*'Res Predicted Monthly'!$T$13</f>
        <v>8850665.7672451939</v>
      </c>
      <c r="O140" s="259">
        <f t="shared" ca="1" si="21"/>
        <v>55567439.474914439</v>
      </c>
    </row>
    <row r="141" spans="1:15" x14ac:dyDescent="0.25">
      <c r="A141" s="3">
        <f t="shared" si="16"/>
        <v>46235</v>
      </c>
      <c r="B141" s="1">
        <f t="shared" si="17"/>
        <v>2026</v>
      </c>
      <c r="C141" s="1">
        <f t="shared" si="18"/>
        <v>8</v>
      </c>
      <c r="E141" s="280">
        <f t="shared" ca="1" si="22"/>
        <v>0</v>
      </c>
      <c r="F141" s="280">
        <f t="shared" ca="1" si="22"/>
        <v>334.96558794466404</v>
      </c>
      <c r="G141" s="305">
        <f t="shared" ca="1" si="19"/>
        <v>83.741396986166009</v>
      </c>
      <c r="H141" s="280">
        <f t="shared" si="20"/>
        <v>140</v>
      </c>
      <c r="J141" s="18">
        <f>'Res Predicted Monthly'!$T$9</f>
        <v>24258233.327859402</v>
      </c>
      <c r="K141" s="18">
        <f ca="1">E141*'Res Predicted Monthly'!$T$10</f>
        <v>0</v>
      </c>
      <c r="L141" s="18">
        <f ca="1">F141*'Res Predicted Monthly'!$T$11</f>
        <v>19627238.728129521</v>
      </c>
      <c r="M141" s="18">
        <f ca="1">G141*'Res Predicted Monthly'!$T$12</f>
        <v>1272588.9417582748</v>
      </c>
      <c r="N141" s="18">
        <f>H141*'Res Predicted Monthly'!$T$13</f>
        <v>8914339.6216858067</v>
      </c>
      <c r="O141" s="259">
        <f t="shared" ca="1" si="21"/>
        <v>54072400.619433001</v>
      </c>
    </row>
    <row r="142" spans="1:15" x14ac:dyDescent="0.25">
      <c r="A142" s="3">
        <f t="shared" si="16"/>
        <v>46266</v>
      </c>
      <c r="B142" s="1">
        <f t="shared" si="17"/>
        <v>2026</v>
      </c>
      <c r="C142" s="1">
        <f t="shared" si="18"/>
        <v>9</v>
      </c>
      <c r="E142" s="280">
        <f t="shared" ca="1" si="22"/>
        <v>10.413369565217392</v>
      </c>
      <c r="F142" s="280">
        <f t="shared" ca="1" si="22"/>
        <v>216.57430900621117</v>
      </c>
      <c r="G142" s="305">
        <f t="shared" ca="1" si="19"/>
        <v>54.143577251552792</v>
      </c>
      <c r="H142" s="280">
        <f t="shared" si="20"/>
        <v>141</v>
      </c>
      <c r="J142" s="18">
        <f>'Res Predicted Monthly'!$T$9</f>
        <v>24258233.327859402</v>
      </c>
      <c r="K142" s="18">
        <f ca="1">E142*'Res Predicted Monthly'!$T$10</f>
        <v>373054.63768696657</v>
      </c>
      <c r="L142" s="18">
        <f ca="1">F142*'Res Predicted Monthly'!$T$11</f>
        <v>12690126.443516394</v>
      </c>
      <c r="M142" s="18">
        <f ca="1">G142*'Res Predicted Monthly'!$T$12</f>
        <v>822801.14922066079</v>
      </c>
      <c r="N142" s="18">
        <f>H142*'Res Predicted Monthly'!$T$13</f>
        <v>8978013.4761264194</v>
      </c>
      <c r="O142" s="259">
        <f t="shared" ca="1" si="21"/>
        <v>47122229.034409843</v>
      </c>
    </row>
    <row r="143" spans="1:15" x14ac:dyDescent="0.25">
      <c r="A143" s="3">
        <f t="shared" si="16"/>
        <v>46296</v>
      </c>
      <c r="B143" s="1">
        <f t="shared" si="17"/>
        <v>2026</v>
      </c>
      <c r="C143" s="1">
        <f t="shared" si="18"/>
        <v>10</v>
      </c>
      <c r="E143" s="280">
        <f t="shared" ca="1" si="22"/>
        <v>130.19639492753623</v>
      </c>
      <c r="F143" s="280">
        <f t="shared" ca="1" si="22"/>
        <v>62.266666666666673</v>
      </c>
      <c r="G143" s="305">
        <f t="shared" ca="1" si="19"/>
        <v>15.566666666666668</v>
      </c>
      <c r="H143" s="280">
        <f t="shared" si="20"/>
        <v>142</v>
      </c>
      <c r="J143" s="18">
        <f>'Res Predicted Monthly'!$T$9</f>
        <v>24258233.327859402</v>
      </c>
      <c r="K143" s="18">
        <f ca="1">E143*'Res Predicted Monthly'!$T$10</f>
        <v>4664231.7487775888</v>
      </c>
      <c r="L143" s="18">
        <f ca="1">F143*'Res Predicted Monthly'!$T$11</f>
        <v>3648502.3401073213</v>
      </c>
      <c r="M143" s="18">
        <f ca="1">G143*'Res Predicted Monthly'!$T$12</f>
        <v>236561.2298456131</v>
      </c>
      <c r="N143" s="18">
        <f>H143*'Res Predicted Monthly'!$T$13</f>
        <v>9041687.3305670321</v>
      </c>
      <c r="O143" s="259">
        <f t="shared" ca="1" si="21"/>
        <v>41849215.977156959</v>
      </c>
    </row>
    <row r="144" spans="1:15" x14ac:dyDescent="0.25">
      <c r="A144" s="3">
        <f t="shared" si="16"/>
        <v>46327</v>
      </c>
      <c r="B144" s="1">
        <f t="shared" si="17"/>
        <v>2026</v>
      </c>
      <c r="C144" s="1">
        <f t="shared" si="18"/>
        <v>11</v>
      </c>
      <c r="E144" s="280">
        <f t="shared" ca="1" si="22"/>
        <v>307.43824722379077</v>
      </c>
      <c r="F144" s="280">
        <f t="shared" ca="1" si="22"/>
        <v>5.6391666666666662</v>
      </c>
      <c r="G144" s="305">
        <f t="shared" ca="1" si="19"/>
        <v>1.4097916666666666</v>
      </c>
      <c r="H144" s="280">
        <f t="shared" si="20"/>
        <v>143</v>
      </c>
      <c r="J144" s="18">
        <f>'Res Predicted Monthly'!$T$9</f>
        <v>24258233.327859402</v>
      </c>
      <c r="K144" s="18">
        <f ca="1">E144*'Res Predicted Monthly'!$T$10</f>
        <v>11013847.459354334</v>
      </c>
      <c r="L144" s="18">
        <f ca="1">F144*'Res Predicted Monthly'!$T$11</f>
        <v>330425.7941047409</v>
      </c>
      <c r="M144" s="18">
        <f ca="1">G144*'Res Predicted Monthly'!$T$12</f>
        <v>21424.114592682861</v>
      </c>
      <c r="N144" s="18">
        <f>H144*'Res Predicted Monthly'!$T$13</f>
        <v>9105361.1850076448</v>
      </c>
      <c r="O144" s="259">
        <f t="shared" ca="1" si="21"/>
        <v>44729291.880918808</v>
      </c>
    </row>
    <row r="145" spans="1:15" x14ac:dyDescent="0.25">
      <c r="A145" s="3">
        <f t="shared" si="16"/>
        <v>46357</v>
      </c>
      <c r="B145" s="1">
        <f t="shared" si="17"/>
        <v>2026</v>
      </c>
      <c r="C145" s="1">
        <f t="shared" si="18"/>
        <v>12</v>
      </c>
      <c r="E145" s="280">
        <f t="shared" ca="1" si="22"/>
        <v>453.92800724637681</v>
      </c>
      <c r="F145" s="280">
        <f t="shared" ca="1" si="22"/>
        <v>0.12791666666666668</v>
      </c>
      <c r="G145" s="305">
        <f t="shared" ca="1" si="19"/>
        <v>3.197916666666667E-2</v>
      </c>
      <c r="H145" s="280">
        <f t="shared" si="20"/>
        <v>144</v>
      </c>
      <c r="J145" s="18">
        <f>'Res Predicted Monthly'!$T$9</f>
        <v>24258233.327859402</v>
      </c>
      <c r="K145" s="18">
        <f ca="1">E145*'Res Predicted Monthly'!$T$10</f>
        <v>16261782.242406053</v>
      </c>
      <c r="L145" s="18">
        <f ca="1">F145*'Res Predicted Monthly'!$T$11</f>
        <v>7495.2503908789322</v>
      </c>
      <c r="M145" s="18">
        <f ca="1">G145*'Res Predicted Monthly'!$T$12</f>
        <v>485.97629525296583</v>
      </c>
      <c r="N145" s="18">
        <f>H145*'Res Predicted Monthly'!$T$13</f>
        <v>9169035.0394482575</v>
      </c>
      <c r="O145" s="259">
        <f t="shared" ca="1" si="21"/>
        <v>49697031.836399853</v>
      </c>
    </row>
    <row r="194" spans="1:15" x14ac:dyDescent="0.25">
      <c r="A194" s="3"/>
      <c r="E194" s="269"/>
      <c r="F194" s="269"/>
      <c r="G194" s="18"/>
      <c r="M194" s="274"/>
      <c r="O194" s="259"/>
    </row>
    <row r="196" spans="1:15" x14ac:dyDescent="0.25">
      <c r="G196" s="18"/>
      <c r="K196" s="18"/>
      <c r="L196" s="18"/>
      <c r="M196" s="18"/>
      <c r="N196" s="18"/>
      <c r="O196" s="18"/>
    </row>
    <row r="197" spans="1:15" x14ac:dyDescent="0.25">
      <c r="G197" s="18"/>
      <c r="K197" s="18"/>
      <c r="L197" s="18"/>
      <c r="M197" s="18"/>
      <c r="N197" s="18"/>
      <c r="O197" s="18"/>
    </row>
    <row r="198" spans="1:15" x14ac:dyDescent="0.25">
      <c r="G198" s="18"/>
      <c r="K198" s="18"/>
      <c r="L198" s="18"/>
      <c r="M198" s="18"/>
      <c r="N198" s="18"/>
      <c r="O198" s="18"/>
    </row>
    <row r="199" spans="1:15" x14ac:dyDescent="0.25">
      <c r="G199" s="18"/>
      <c r="K199" s="18"/>
      <c r="L199" s="18"/>
      <c r="M199" s="18"/>
      <c r="N199" s="18"/>
      <c r="O199" s="18"/>
    </row>
    <row r="200" spans="1:15" x14ac:dyDescent="0.25">
      <c r="G200" s="18"/>
      <c r="K200" s="18"/>
      <c r="L200" s="18"/>
      <c r="M200" s="18"/>
      <c r="N200" s="18"/>
      <c r="O200" s="18"/>
    </row>
    <row r="201" spans="1:15" x14ac:dyDescent="0.25">
      <c r="G201" s="18"/>
      <c r="K201" s="18"/>
      <c r="L201" s="18"/>
      <c r="M201" s="18"/>
      <c r="N201" s="18"/>
      <c r="O201" s="18"/>
    </row>
    <row r="202" spans="1:15" x14ac:dyDescent="0.25">
      <c r="G202" s="18"/>
      <c r="K202" s="18"/>
      <c r="L202" s="18"/>
      <c r="M202" s="18"/>
      <c r="N202" s="18"/>
      <c r="O202" s="18"/>
    </row>
    <row r="203" spans="1:15" x14ac:dyDescent="0.25">
      <c r="G203" s="18"/>
      <c r="K203" s="18"/>
      <c r="L203" s="18"/>
      <c r="M203" s="18"/>
      <c r="N203" s="18"/>
      <c r="O203" s="18"/>
    </row>
    <row r="205" spans="1:15" x14ac:dyDescent="0.25">
      <c r="J205" s="24"/>
      <c r="K205" s="24"/>
      <c r="L205" s="24"/>
      <c r="M205" s="24"/>
      <c r="N205" s="24"/>
      <c r="O205" s="24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/>
  <dimension ref="A1:U204"/>
  <sheetViews>
    <sheetView topLeftCell="K1" workbookViewId="0">
      <pane ySplit="1" topLeftCell="A2" activePane="bottomLeft" state="frozen"/>
      <selection activeCell="G45" sqref="G45"/>
      <selection pane="bottomLeft" activeCell="G45" sqref="G45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6" width="9.44140625" style="1" bestFit="1" customWidth="1"/>
    <col min="7" max="7" width="10.109375" style="18" bestFit="1" customWidth="1"/>
    <col min="8" max="8" width="10.6640625" style="1" customWidth="1"/>
    <col min="9" max="9" width="9.44140625" style="1" bestFit="1" customWidth="1"/>
    <col min="10" max="10" width="9.33203125" style="1"/>
    <col min="11" max="11" width="14.77734375" style="1" bestFit="1" customWidth="1"/>
    <col min="12" max="13" width="12.88671875" style="1" bestFit="1" customWidth="1"/>
    <col min="14" max="14" width="13.77734375" style="1" bestFit="1" customWidth="1"/>
    <col min="15" max="15" width="12.88671875" style="1" bestFit="1" customWidth="1"/>
    <col min="16" max="16" width="12.44140625" style="1" customWidth="1"/>
    <col min="17" max="17" width="14.21875" style="1" bestFit="1" customWidth="1"/>
    <col min="18" max="18" width="9.33203125" style="1"/>
    <col min="19" max="19" width="13.77734375" style="1" bestFit="1" customWidth="1"/>
    <col min="20" max="20" width="14.77734375" style="1" bestFit="1" customWidth="1"/>
    <col min="21" max="16384" width="9.33203125" style="1"/>
  </cols>
  <sheetData>
    <row r="1" spans="1:17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152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409</v>
      </c>
    </row>
    <row r="2" spans="1:17" x14ac:dyDescent="0.25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18">
        <f>'Monthly Data'!CG2</f>
        <v>0</v>
      </c>
      <c r="H2" s="4">
        <f>'Monthly Data'!CD2</f>
        <v>31</v>
      </c>
      <c r="I2" s="24">
        <f>'Monthly Data'!K2</f>
        <v>3993</v>
      </c>
      <c r="K2" s="18">
        <f>'GS&lt;50 Predicted Monthly'!$V$8</f>
        <v>-5601916.4558281703</v>
      </c>
      <c r="L2" s="18">
        <f ca="1">E2*'GS&lt;50 Predicted Monthly'!$V$9</f>
        <v>3432476.2791787665</v>
      </c>
      <c r="M2" s="18">
        <f ca="1">F2*'GS&lt;50 Predicted Monthly'!$V$10</f>
        <v>0</v>
      </c>
      <c r="N2" s="18">
        <f>G2*'GS&lt;50 Predicted Monthly'!$V$11</f>
        <v>0</v>
      </c>
      <c r="O2" s="18">
        <f>H2*'GS&lt;50 Predicted Monthly'!$V$12</f>
        <v>8344206.7499953387</v>
      </c>
      <c r="P2" s="18">
        <f>I2*'GS&lt;50 Predicted Monthly'!$V$13</f>
        <v>6073414.4667839156</v>
      </c>
      <c r="Q2" s="271">
        <f t="shared" ref="Q2:Q33" ca="1" si="0">SUM(K2:P2)</f>
        <v>12248181.040129852</v>
      </c>
    </row>
    <row r="3" spans="1:17" x14ac:dyDescent="0.25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18">
        <f>'Monthly Data'!CG3</f>
        <v>0</v>
      </c>
      <c r="H3" s="4">
        <f>'Monthly Data'!CD3</f>
        <v>28</v>
      </c>
      <c r="I3" s="24">
        <f>'Monthly Data'!K3</f>
        <v>3993</v>
      </c>
      <c r="K3" s="18">
        <f>'GS&lt;50 Predicted Monthly'!$V$8</f>
        <v>-5601916.4558281703</v>
      </c>
      <c r="L3" s="18">
        <f ca="1">E3*'GS&lt;50 Predicted Monthly'!$V$9</f>
        <v>3066830.7028158205</v>
      </c>
      <c r="M3" s="18">
        <f ca="1">F3*'GS&lt;50 Predicted Monthly'!$V$10</f>
        <v>0</v>
      </c>
      <c r="N3" s="18">
        <f>G3*'GS&lt;50 Predicted Monthly'!$V$11</f>
        <v>0</v>
      </c>
      <c r="O3" s="18">
        <f>H3*'GS&lt;50 Predicted Monthly'!$V$12</f>
        <v>7536702.8709635315</v>
      </c>
      <c r="P3" s="18">
        <f>I3*'GS&lt;50 Predicted Monthly'!$V$13</f>
        <v>6073414.4667839156</v>
      </c>
      <c r="Q3" s="271">
        <f t="shared" ca="1" si="0"/>
        <v>11075031.584735097</v>
      </c>
    </row>
    <row r="4" spans="1:17" x14ac:dyDescent="0.25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18">
        <f>'Monthly Data'!CG4</f>
        <v>0</v>
      </c>
      <c r="H4" s="4">
        <f>'Monthly Data'!CD4</f>
        <v>31</v>
      </c>
      <c r="I4" s="24">
        <f>'Monthly Data'!K4</f>
        <v>3986</v>
      </c>
      <c r="K4" s="18">
        <f>'GS&lt;50 Predicted Monthly'!$V$8</f>
        <v>-5601916.4558281703</v>
      </c>
      <c r="L4" s="18">
        <f ca="1">E4*'GS&lt;50 Predicted Monthly'!$V$9</f>
        <v>2615591.9844400249</v>
      </c>
      <c r="M4" s="18">
        <f ca="1">F4*'GS&lt;50 Predicted Monthly'!$V$10</f>
        <v>0</v>
      </c>
      <c r="N4" s="18">
        <f>G4*'GS&lt;50 Predicted Monthly'!$V$11</f>
        <v>0</v>
      </c>
      <c r="O4" s="18">
        <f>H4*'GS&lt;50 Predicted Monthly'!$V$12</f>
        <v>8344206.7499953387</v>
      </c>
      <c r="P4" s="18">
        <f>I4*'GS&lt;50 Predicted Monthly'!$V$13</f>
        <v>6062767.3590284716</v>
      </c>
      <c r="Q4" s="271">
        <f t="shared" ca="1" si="0"/>
        <v>11420649.637635665</v>
      </c>
    </row>
    <row r="5" spans="1:17" x14ac:dyDescent="0.25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18">
        <f>'Monthly Data'!CG5</f>
        <v>0</v>
      </c>
      <c r="H5" s="4">
        <f>'Monthly Data'!CD5</f>
        <v>30</v>
      </c>
      <c r="I5" s="24">
        <f>'Monthly Data'!K5</f>
        <v>3993</v>
      </c>
      <c r="K5" s="18">
        <f>'GS&lt;50 Predicted Monthly'!$V$8</f>
        <v>-5601916.4558281703</v>
      </c>
      <c r="L5" s="18">
        <f ca="1">E5*'GS&lt;50 Predicted Monthly'!$V$9</f>
        <v>1581950.2694702349</v>
      </c>
      <c r="M5" s="18">
        <f ca="1">F5*'GS&lt;50 Predicted Monthly'!$V$10</f>
        <v>27654.961846176375</v>
      </c>
      <c r="N5" s="18">
        <f>G5*'GS&lt;50 Predicted Monthly'!$V$11</f>
        <v>0</v>
      </c>
      <c r="O5" s="18">
        <f>H5*'GS&lt;50 Predicted Monthly'!$V$12</f>
        <v>8075038.79031807</v>
      </c>
      <c r="P5" s="18">
        <f>I5*'GS&lt;50 Predicted Monthly'!$V$13</f>
        <v>6073414.4667839156</v>
      </c>
      <c r="Q5" s="271">
        <f t="shared" ca="1" si="0"/>
        <v>10156142.032590227</v>
      </c>
    </row>
    <row r="6" spans="1:17" x14ac:dyDescent="0.25">
      <c r="A6" s="3">
        <f>'Monthly Data'!A6</f>
        <v>42125</v>
      </c>
      <c r="B6" s="1">
        <f t="shared" ref="B6:B69" si="1">YEAR(A6)</f>
        <v>2015</v>
      </c>
      <c r="C6" s="1">
        <f t="shared" ref="C6:C69" si="2">MONTH(A6)</f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18">
        <f>'Monthly Data'!CG6</f>
        <v>0</v>
      </c>
      <c r="H6" s="4">
        <f>'Monthly Data'!CD6</f>
        <v>31</v>
      </c>
      <c r="I6" s="24">
        <f>'Monthly Data'!K6</f>
        <v>3998</v>
      </c>
      <c r="K6" s="18">
        <f>'GS&lt;50 Predicted Monthly'!$V$8</f>
        <v>-5601916.4558281703</v>
      </c>
      <c r="L6" s="18">
        <f ca="1">E6*'GS&lt;50 Predicted Monthly'!$V$9</f>
        <v>557872.41371752578</v>
      </c>
      <c r="M6" s="18">
        <f ca="1">F6*'GS&lt;50 Predicted Monthly'!$V$10</f>
        <v>662550.63406212477</v>
      </c>
      <c r="N6" s="18">
        <f>G6*'GS&lt;50 Predicted Monthly'!$V$11</f>
        <v>0</v>
      </c>
      <c r="O6" s="18">
        <f>H6*'GS&lt;50 Predicted Monthly'!$V$12</f>
        <v>8344206.7499953387</v>
      </c>
      <c r="P6" s="18">
        <f>I6*'GS&lt;50 Predicted Monthly'!$V$13</f>
        <v>6081019.5437520901</v>
      </c>
      <c r="Q6" s="271">
        <f t="shared" ca="1" si="0"/>
        <v>10043732.885698909</v>
      </c>
    </row>
    <row r="7" spans="1:17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18">
        <f>'Monthly Data'!CG7</f>
        <v>0</v>
      </c>
      <c r="H7" s="4">
        <f>'Monthly Data'!CD7</f>
        <v>30</v>
      </c>
      <c r="I7" s="24">
        <f>'Monthly Data'!K7</f>
        <v>4011</v>
      </c>
      <c r="K7" s="18">
        <f>'GS&lt;50 Predicted Monthly'!$V$8</f>
        <v>-5601916.4558281703</v>
      </c>
      <c r="L7" s="18">
        <f ca="1">E7*'GS&lt;50 Predicted Monthly'!$V$9</f>
        <v>64241.059697088072</v>
      </c>
      <c r="M7" s="18">
        <f ca="1">F7*'GS&lt;50 Predicted Monthly'!$V$10</f>
        <v>1737617.5415600708</v>
      </c>
      <c r="N7" s="18">
        <f>G7*'GS&lt;50 Predicted Monthly'!$V$11</f>
        <v>0</v>
      </c>
      <c r="O7" s="18">
        <f>H7*'GS&lt;50 Predicted Monthly'!$V$12</f>
        <v>8075038.79031807</v>
      </c>
      <c r="P7" s="18">
        <f>I7*'GS&lt;50 Predicted Monthly'!$V$13</f>
        <v>6100792.7438693428</v>
      </c>
      <c r="Q7" s="271">
        <f t="shared" ca="1" si="0"/>
        <v>10375773.679616401</v>
      </c>
    </row>
    <row r="8" spans="1:17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18">
        <f>'Monthly Data'!CG8</f>
        <v>0</v>
      </c>
      <c r="H8" s="4">
        <f>'Monthly Data'!CD8</f>
        <v>31</v>
      </c>
      <c r="I8" s="24">
        <f>'Monthly Data'!K8</f>
        <v>4021</v>
      </c>
      <c r="K8" s="18">
        <f>'GS&lt;50 Predicted Monthly'!$V$8</f>
        <v>-5601916.4558281703</v>
      </c>
      <c r="L8" s="18">
        <f ca="1">E8*'GS&lt;50 Predicted Monthly'!$V$9</f>
        <v>402.94624249810443</v>
      </c>
      <c r="M8" s="18">
        <f ca="1">F8*'GS&lt;50 Predicted Monthly'!$V$10</f>
        <v>2978371.5873122169</v>
      </c>
      <c r="N8" s="18">
        <f>G8*'GS&lt;50 Predicted Monthly'!$V$11</f>
        <v>0</v>
      </c>
      <c r="O8" s="18">
        <f>H8*'GS&lt;50 Predicted Monthly'!$V$12</f>
        <v>8344206.7499953387</v>
      </c>
      <c r="P8" s="18">
        <f>I8*'GS&lt;50 Predicted Monthly'!$V$13</f>
        <v>6116002.8978056917</v>
      </c>
      <c r="Q8" s="271">
        <f t="shared" ca="1" si="0"/>
        <v>11837067.725527575</v>
      </c>
    </row>
    <row r="9" spans="1:17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18">
        <f>'Monthly Data'!CG9</f>
        <v>0</v>
      </c>
      <c r="H9" s="4">
        <f>'Monthly Data'!CD9</f>
        <v>31</v>
      </c>
      <c r="I9" s="24">
        <f>'Monthly Data'!K9</f>
        <v>4021</v>
      </c>
      <c r="K9" s="18">
        <f>'GS&lt;50 Predicted Monthly'!$V$8</f>
        <v>-5601916.4558281703</v>
      </c>
      <c r="L9" s="18">
        <f ca="1">E9*'GS&lt;50 Predicted Monthly'!$V$9</f>
        <v>4054.2244845759205</v>
      </c>
      <c r="M9" s="18">
        <f ca="1">F9*'GS&lt;50 Predicted Monthly'!$V$10</f>
        <v>2663025.615275396</v>
      </c>
      <c r="N9" s="18">
        <f>G9*'GS&lt;50 Predicted Monthly'!$V$11</f>
        <v>0</v>
      </c>
      <c r="O9" s="18">
        <f>H9*'GS&lt;50 Predicted Monthly'!$V$12</f>
        <v>8344206.7499953387</v>
      </c>
      <c r="P9" s="18">
        <f>I9*'GS&lt;50 Predicted Monthly'!$V$13</f>
        <v>6116002.8978056917</v>
      </c>
      <c r="Q9" s="271">
        <f t="shared" ca="1" si="0"/>
        <v>11525373.031732831</v>
      </c>
    </row>
    <row r="10" spans="1:17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18">
        <f>'Monthly Data'!CG10</f>
        <v>0</v>
      </c>
      <c r="H10" s="4">
        <f>'Monthly Data'!CD10</f>
        <v>30</v>
      </c>
      <c r="I10" s="24">
        <f>'Monthly Data'!K10</f>
        <v>4033</v>
      </c>
      <c r="K10" s="18">
        <f>'GS&lt;50 Predicted Monthly'!$V$8</f>
        <v>-5601916.4558281703</v>
      </c>
      <c r="L10" s="18">
        <f ca="1">E10*'GS&lt;50 Predicted Monthly'!$V$9</f>
        <v>142319.00772077637</v>
      </c>
      <c r="M10" s="18">
        <f ca="1">F10*'GS&lt;50 Predicted Monthly'!$V$10</f>
        <v>1343292.848557675</v>
      </c>
      <c r="N10" s="18">
        <f>G10*'GS&lt;50 Predicted Monthly'!$V$11</f>
        <v>0</v>
      </c>
      <c r="O10" s="18">
        <f>H10*'GS&lt;50 Predicted Monthly'!$V$12</f>
        <v>8075038.79031807</v>
      </c>
      <c r="P10" s="18">
        <f>I10*'GS&lt;50 Predicted Monthly'!$V$13</f>
        <v>6134255.0825293092</v>
      </c>
      <c r="Q10" s="271">
        <f t="shared" ca="1" si="0"/>
        <v>10092989.27329766</v>
      </c>
    </row>
    <row r="11" spans="1:17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18">
        <f>'Monthly Data'!CG11</f>
        <v>0</v>
      </c>
      <c r="H11" s="4">
        <f>'Monthly Data'!CD11</f>
        <v>31</v>
      </c>
      <c r="I11" s="24">
        <f>'Monthly Data'!K11</f>
        <v>4052</v>
      </c>
      <c r="K11" s="18">
        <f>'GS&lt;50 Predicted Monthly'!$V$8</f>
        <v>-5601916.4558281703</v>
      </c>
      <c r="L11" s="18">
        <f ca="1">E11*'GS&lt;50 Predicted Monthly'!$V$9</f>
        <v>979839.98335111968</v>
      </c>
      <c r="M11" s="18">
        <f ca="1">F11*'GS&lt;50 Predicted Monthly'!$V$10</f>
        <v>227051.54962677584</v>
      </c>
      <c r="N11" s="18">
        <f>G11*'GS&lt;50 Predicted Monthly'!$V$11</f>
        <v>0</v>
      </c>
      <c r="O11" s="18">
        <f>H11*'GS&lt;50 Predicted Monthly'!$V$12</f>
        <v>8344206.7499953387</v>
      </c>
      <c r="P11" s="18">
        <f>I11*'GS&lt;50 Predicted Monthly'!$V$13</f>
        <v>6163154.3750083717</v>
      </c>
      <c r="Q11" s="271">
        <f t="shared" ca="1" si="0"/>
        <v>10112336.202153437</v>
      </c>
    </row>
    <row r="12" spans="1:17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18">
        <f>'Monthly Data'!CG12</f>
        <v>0</v>
      </c>
      <c r="H12" s="4">
        <f>'Monthly Data'!CD12</f>
        <v>30</v>
      </c>
      <c r="I12" s="24">
        <f>'Monthly Data'!K12</f>
        <v>4065</v>
      </c>
      <c r="K12" s="18">
        <f>'GS&lt;50 Predicted Monthly'!$V$8</f>
        <v>-5601916.4558281703</v>
      </c>
      <c r="L12" s="18">
        <f ca="1">E12*'GS&lt;50 Predicted Monthly'!$V$9</f>
        <v>1981578.8516675723</v>
      </c>
      <c r="M12" s="18">
        <f ca="1">F12*'GS&lt;50 Predicted Monthly'!$V$10</f>
        <v>10203.618482613561</v>
      </c>
      <c r="N12" s="18">
        <f>G12*'GS&lt;50 Predicted Monthly'!$V$11</f>
        <v>0</v>
      </c>
      <c r="O12" s="18">
        <f>H12*'GS&lt;50 Predicted Monthly'!$V$12</f>
        <v>8075038.79031807</v>
      </c>
      <c r="P12" s="18">
        <f>I12*'GS&lt;50 Predicted Monthly'!$V$13</f>
        <v>6182927.5751256244</v>
      </c>
      <c r="Q12" s="271">
        <f t="shared" ca="1" si="0"/>
        <v>10647832.37976571</v>
      </c>
    </row>
    <row r="13" spans="1:17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18">
        <f>'Monthly Data'!CG13</f>
        <v>0</v>
      </c>
      <c r="H13" s="4">
        <f>'Monthly Data'!CD13</f>
        <v>31</v>
      </c>
      <c r="I13" s="24">
        <f>'Monthly Data'!K13</f>
        <v>4074</v>
      </c>
      <c r="K13" s="18">
        <f>'GS&lt;50 Predicted Monthly'!$V$8</f>
        <v>-5601916.4558281703</v>
      </c>
      <c r="L13" s="18">
        <f ca="1">E13*'GS&lt;50 Predicted Monthly'!$V$9</f>
        <v>2787368.740819619</v>
      </c>
      <c r="M13" s="18">
        <f ca="1">F13*'GS&lt;50 Predicted Monthly'!$V$10</f>
        <v>0</v>
      </c>
      <c r="N13" s="18">
        <f>G13*'GS&lt;50 Predicted Monthly'!$V$11</f>
        <v>0</v>
      </c>
      <c r="O13" s="18">
        <f>H13*'GS&lt;50 Predicted Monthly'!$V$12</f>
        <v>8344206.7499953387</v>
      </c>
      <c r="P13" s="18">
        <f>I13*'GS&lt;50 Predicted Monthly'!$V$13</f>
        <v>6196616.713668338</v>
      </c>
      <c r="Q13" s="271">
        <f t="shared" ca="1" si="0"/>
        <v>11726275.748655125</v>
      </c>
    </row>
    <row r="14" spans="1:17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Data'!J14</f>
        <v>12581251.383190688</v>
      </c>
      <c r="E14" s="269">
        <f t="shared" ref="E14:F33" ca="1" si="3">E2</f>
        <v>635.33418478260876</v>
      </c>
      <c r="F14" s="269">
        <f t="shared" ca="1" si="3"/>
        <v>0</v>
      </c>
      <c r="G14" s="18">
        <f>'Monthly Data'!CG14</f>
        <v>0</v>
      </c>
      <c r="H14" s="4">
        <f>'Monthly Data'!CD14</f>
        <v>31</v>
      </c>
      <c r="I14" s="24">
        <f>'Monthly Data'!K14</f>
        <v>4082</v>
      </c>
      <c r="K14" s="18">
        <f>'GS&lt;50 Predicted Monthly'!$V$8</f>
        <v>-5601916.4558281703</v>
      </c>
      <c r="L14" s="18">
        <f ca="1">E14*'GS&lt;50 Predicted Monthly'!$V$9</f>
        <v>3432476.2791787665</v>
      </c>
      <c r="M14" s="18">
        <f ca="1">F14*'GS&lt;50 Predicted Monthly'!$V$10</f>
        <v>0</v>
      </c>
      <c r="N14" s="18">
        <f>G14*'GS&lt;50 Predicted Monthly'!$V$11</f>
        <v>0</v>
      </c>
      <c r="O14" s="18">
        <f>H14*'GS&lt;50 Predicted Monthly'!$V$12</f>
        <v>8344206.7499953387</v>
      </c>
      <c r="P14" s="18">
        <f>I14*'GS&lt;50 Predicted Monthly'!$V$13</f>
        <v>6208784.8368174164</v>
      </c>
      <c r="Q14" s="271">
        <f t="shared" ca="1" si="0"/>
        <v>12383551.41016335</v>
      </c>
    </row>
    <row r="15" spans="1:17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18">
        <f>'Monthly Data'!CG15</f>
        <v>0</v>
      </c>
      <c r="H15" s="4">
        <f>'Monthly Data'!CD15</f>
        <v>29</v>
      </c>
      <c r="I15" s="24">
        <f>'Monthly Data'!K15</f>
        <v>4129</v>
      </c>
      <c r="K15" s="18">
        <f>'GS&lt;50 Predicted Monthly'!$V$8</f>
        <v>-5601916.4558281703</v>
      </c>
      <c r="L15" s="18">
        <f ca="1">E15*'GS&lt;50 Predicted Monthly'!$V$9</f>
        <v>3066830.7028158205</v>
      </c>
      <c r="M15" s="18">
        <f ca="1">F15*'GS&lt;50 Predicted Monthly'!$V$10</f>
        <v>0</v>
      </c>
      <c r="N15" s="18">
        <f>G15*'GS&lt;50 Predicted Monthly'!$V$11</f>
        <v>0</v>
      </c>
      <c r="O15" s="18">
        <f>H15*'GS&lt;50 Predicted Monthly'!$V$12</f>
        <v>7805870.8306408003</v>
      </c>
      <c r="P15" s="18">
        <f>I15*'GS&lt;50 Predicted Monthly'!$V$13</f>
        <v>6280272.5603182539</v>
      </c>
      <c r="Q15" s="271">
        <f t="shared" ca="1" si="0"/>
        <v>11551057.637946704</v>
      </c>
    </row>
    <row r="16" spans="1:17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18">
        <f>'Monthly Data'!CG16</f>
        <v>0</v>
      </c>
      <c r="H16" s="4">
        <f>'Monthly Data'!CD16</f>
        <v>31</v>
      </c>
      <c r="I16" s="24">
        <f>'Monthly Data'!K16</f>
        <v>4147</v>
      </c>
      <c r="K16" s="18">
        <f>'GS&lt;50 Predicted Monthly'!$V$8</f>
        <v>-5601916.4558281703</v>
      </c>
      <c r="L16" s="18">
        <f ca="1">E16*'GS&lt;50 Predicted Monthly'!$V$9</f>
        <v>2615591.9844400249</v>
      </c>
      <c r="M16" s="18">
        <f ca="1">F16*'GS&lt;50 Predicted Monthly'!$V$10</f>
        <v>0</v>
      </c>
      <c r="N16" s="18">
        <f>G16*'GS&lt;50 Predicted Monthly'!$V$11</f>
        <v>0</v>
      </c>
      <c r="O16" s="18">
        <f>H16*'GS&lt;50 Predicted Monthly'!$V$12</f>
        <v>8344206.7499953387</v>
      </c>
      <c r="P16" s="18">
        <f>I16*'GS&lt;50 Predicted Monthly'!$V$13</f>
        <v>6307650.8374036811</v>
      </c>
      <c r="Q16" s="271">
        <f t="shared" ca="1" si="0"/>
        <v>11665533.116010875</v>
      </c>
    </row>
    <row r="17" spans="1:17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18">
        <f>'Monthly Data'!CG17</f>
        <v>0</v>
      </c>
      <c r="H17" s="4">
        <f>'Monthly Data'!CD17</f>
        <v>30</v>
      </c>
      <c r="I17" s="24">
        <f>'Monthly Data'!K17</f>
        <v>4159</v>
      </c>
      <c r="K17" s="18">
        <f>'GS&lt;50 Predicted Monthly'!$V$8</f>
        <v>-5601916.4558281703</v>
      </c>
      <c r="L17" s="18">
        <f ca="1">E17*'GS&lt;50 Predicted Monthly'!$V$9</f>
        <v>1581950.2694702349</v>
      </c>
      <c r="M17" s="18">
        <f ca="1">F17*'GS&lt;50 Predicted Monthly'!$V$10</f>
        <v>27654.961846176375</v>
      </c>
      <c r="N17" s="18">
        <f>G17*'GS&lt;50 Predicted Monthly'!$V$11</f>
        <v>0</v>
      </c>
      <c r="O17" s="18">
        <f>H17*'GS&lt;50 Predicted Monthly'!$V$12</f>
        <v>8075038.79031807</v>
      </c>
      <c r="P17" s="18">
        <f>I17*'GS&lt;50 Predicted Monthly'!$V$13</f>
        <v>6325903.0221272996</v>
      </c>
      <c r="Q17" s="271">
        <f t="shared" ca="1" si="0"/>
        <v>10408630.587933611</v>
      </c>
    </row>
    <row r="18" spans="1:17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18">
        <f>'Monthly Data'!CG18</f>
        <v>0</v>
      </c>
      <c r="H18" s="4">
        <f>'Monthly Data'!CD18</f>
        <v>31</v>
      </c>
      <c r="I18" s="24">
        <f>'Monthly Data'!K18</f>
        <v>4156</v>
      </c>
      <c r="K18" s="18">
        <f>'GS&lt;50 Predicted Monthly'!$V$8</f>
        <v>-5601916.4558281703</v>
      </c>
      <c r="L18" s="18">
        <f ca="1">E18*'GS&lt;50 Predicted Monthly'!$V$9</f>
        <v>557872.41371752578</v>
      </c>
      <c r="M18" s="18">
        <f ca="1">F18*'GS&lt;50 Predicted Monthly'!$V$10</f>
        <v>662550.63406212477</v>
      </c>
      <c r="N18" s="18">
        <f>G18*'GS&lt;50 Predicted Monthly'!$V$11</f>
        <v>0</v>
      </c>
      <c r="O18" s="18">
        <f>H18*'GS&lt;50 Predicted Monthly'!$V$12</f>
        <v>8344206.7499953387</v>
      </c>
      <c r="P18" s="18">
        <f>I18*'GS&lt;50 Predicted Monthly'!$V$13</f>
        <v>6321339.9759463947</v>
      </c>
      <c r="Q18" s="271">
        <f t="shared" ca="1" si="0"/>
        <v>10284053.317893215</v>
      </c>
    </row>
    <row r="19" spans="1:17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18">
        <f>'Monthly Data'!CG19</f>
        <v>0</v>
      </c>
      <c r="H19" s="4">
        <f>'Monthly Data'!CD19</f>
        <v>30</v>
      </c>
      <c r="I19" s="24">
        <f>'Monthly Data'!K19</f>
        <v>4153</v>
      </c>
      <c r="K19" s="18">
        <f>'GS&lt;50 Predicted Monthly'!$V$8</f>
        <v>-5601916.4558281703</v>
      </c>
      <c r="L19" s="18">
        <f ca="1">E19*'GS&lt;50 Predicted Monthly'!$V$9</f>
        <v>64241.059697088072</v>
      </c>
      <c r="M19" s="18">
        <f ca="1">F19*'GS&lt;50 Predicted Monthly'!$V$10</f>
        <v>1737617.5415600708</v>
      </c>
      <c r="N19" s="18">
        <f>G19*'GS&lt;50 Predicted Monthly'!$V$11</f>
        <v>0</v>
      </c>
      <c r="O19" s="18">
        <f>H19*'GS&lt;50 Predicted Monthly'!$V$12</f>
        <v>8075038.79031807</v>
      </c>
      <c r="P19" s="18">
        <f>I19*'GS&lt;50 Predicted Monthly'!$V$13</f>
        <v>6316776.9297654899</v>
      </c>
      <c r="Q19" s="271">
        <f t="shared" ca="1" si="0"/>
        <v>10591757.865512548</v>
      </c>
    </row>
    <row r="20" spans="1:17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18">
        <f>'Monthly Data'!CG20</f>
        <v>0</v>
      </c>
      <c r="H20" s="4">
        <f>'Monthly Data'!CD20</f>
        <v>31</v>
      </c>
      <c r="I20" s="24">
        <f>'Monthly Data'!K20</f>
        <v>4177</v>
      </c>
      <c r="K20" s="18">
        <f>'GS&lt;50 Predicted Monthly'!$V$8</f>
        <v>-5601916.4558281703</v>
      </c>
      <c r="L20" s="18">
        <f ca="1">E20*'GS&lt;50 Predicted Monthly'!$V$9</f>
        <v>402.94624249810443</v>
      </c>
      <c r="M20" s="18">
        <f ca="1">F20*'GS&lt;50 Predicted Monthly'!$V$10</f>
        <v>2978371.5873122169</v>
      </c>
      <c r="N20" s="18">
        <f>G20*'GS&lt;50 Predicted Monthly'!$V$11</f>
        <v>0</v>
      </c>
      <c r="O20" s="18">
        <f>H20*'GS&lt;50 Predicted Monthly'!$V$12</f>
        <v>8344206.7499953387</v>
      </c>
      <c r="P20" s="18">
        <f>I20*'GS&lt;50 Predicted Monthly'!$V$13</f>
        <v>6353281.2992127268</v>
      </c>
      <c r="Q20" s="271">
        <f t="shared" ca="1" si="0"/>
        <v>12074346.12693461</v>
      </c>
    </row>
    <row r="21" spans="1:17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18">
        <f>'Monthly Data'!CG21</f>
        <v>0</v>
      </c>
      <c r="H21" s="4">
        <f>'Monthly Data'!CD21</f>
        <v>31</v>
      </c>
      <c r="I21" s="24">
        <f>'Monthly Data'!K21</f>
        <v>4165</v>
      </c>
      <c r="K21" s="18">
        <f>'GS&lt;50 Predicted Monthly'!$V$8</f>
        <v>-5601916.4558281703</v>
      </c>
      <c r="L21" s="18">
        <f ca="1">E21*'GS&lt;50 Predicted Monthly'!$V$9</f>
        <v>4054.2244845759205</v>
      </c>
      <c r="M21" s="18">
        <f ca="1">F21*'GS&lt;50 Predicted Monthly'!$V$10</f>
        <v>2663025.615275396</v>
      </c>
      <c r="N21" s="18">
        <f>G21*'GS&lt;50 Predicted Monthly'!$V$11</f>
        <v>0</v>
      </c>
      <c r="O21" s="18">
        <f>H21*'GS&lt;50 Predicted Monthly'!$V$12</f>
        <v>8344206.7499953387</v>
      </c>
      <c r="P21" s="18">
        <f>I21*'GS&lt;50 Predicted Monthly'!$V$13</f>
        <v>6335029.1144891083</v>
      </c>
      <c r="Q21" s="271">
        <f t="shared" ca="1" si="0"/>
        <v>11744399.248416249</v>
      </c>
    </row>
    <row r="22" spans="1:17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18">
        <f>'Monthly Data'!CG22</f>
        <v>0</v>
      </c>
      <c r="H22" s="4">
        <f>'Monthly Data'!CD22</f>
        <v>30</v>
      </c>
      <c r="I22" s="24">
        <f>'Monthly Data'!K22</f>
        <v>4177</v>
      </c>
      <c r="K22" s="18">
        <f>'GS&lt;50 Predicted Monthly'!$V$8</f>
        <v>-5601916.4558281703</v>
      </c>
      <c r="L22" s="18">
        <f ca="1">E22*'GS&lt;50 Predicted Monthly'!$V$9</f>
        <v>142319.00772077637</v>
      </c>
      <c r="M22" s="18">
        <f ca="1">F22*'GS&lt;50 Predicted Monthly'!$V$10</f>
        <v>1343292.848557675</v>
      </c>
      <c r="N22" s="18">
        <f>G22*'GS&lt;50 Predicted Monthly'!$V$11</f>
        <v>0</v>
      </c>
      <c r="O22" s="18">
        <f>H22*'GS&lt;50 Predicted Monthly'!$V$12</f>
        <v>8075038.79031807</v>
      </c>
      <c r="P22" s="18">
        <f>I22*'GS&lt;50 Predicted Monthly'!$V$13</f>
        <v>6353281.2992127268</v>
      </c>
      <c r="Q22" s="271">
        <f t="shared" ca="1" si="0"/>
        <v>10312015.489981078</v>
      </c>
    </row>
    <row r="23" spans="1:17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18">
        <f>'Monthly Data'!CG23</f>
        <v>0</v>
      </c>
      <c r="H23" s="4">
        <f>'Monthly Data'!CD23</f>
        <v>31</v>
      </c>
      <c r="I23" s="24">
        <f>'Monthly Data'!K23</f>
        <v>4154</v>
      </c>
      <c r="K23" s="18">
        <f>'GS&lt;50 Predicted Monthly'!$V$8</f>
        <v>-5601916.4558281703</v>
      </c>
      <c r="L23" s="18">
        <f ca="1">E23*'GS&lt;50 Predicted Monthly'!$V$9</f>
        <v>979839.98335111968</v>
      </c>
      <c r="M23" s="18">
        <f ca="1">F23*'GS&lt;50 Predicted Monthly'!$V$10</f>
        <v>227051.54962677584</v>
      </c>
      <c r="N23" s="18">
        <f>G23*'GS&lt;50 Predicted Monthly'!$V$11</f>
        <v>0</v>
      </c>
      <c r="O23" s="18">
        <f>H23*'GS&lt;50 Predicted Monthly'!$V$12</f>
        <v>8344206.7499953387</v>
      </c>
      <c r="P23" s="18">
        <f>I23*'GS&lt;50 Predicted Monthly'!$V$13</f>
        <v>6318297.9451591251</v>
      </c>
      <c r="Q23" s="271">
        <f t="shared" ca="1" si="0"/>
        <v>10267479.772304188</v>
      </c>
    </row>
    <row r="24" spans="1:17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18">
        <f>'Monthly Data'!CG24</f>
        <v>0</v>
      </c>
      <c r="H24" s="4">
        <f>'Monthly Data'!CD24</f>
        <v>30</v>
      </c>
      <c r="I24" s="24">
        <f>'Monthly Data'!K24</f>
        <v>4148</v>
      </c>
      <c r="K24" s="18">
        <f>'GS&lt;50 Predicted Monthly'!$V$8</f>
        <v>-5601916.4558281703</v>
      </c>
      <c r="L24" s="18">
        <f ca="1">E24*'GS&lt;50 Predicted Monthly'!$V$9</f>
        <v>1981578.8516675723</v>
      </c>
      <c r="M24" s="18">
        <f ca="1">F24*'GS&lt;50 Predicted Monthly'!$V$10</f>
        <v>10203.618482613561</v>
      </c>
      <c r="N24" s="18">
        <f>G24*'GS&lt;50 Predicted Monthly'!$V$11</f>
        <v>0</v>
      </c>
      <c r="O24" s="18">
        <f>H24*'GS&lt;50 Predicted Monthly'!$V$12</f>
        <v>8075038.79031807</v>
      </c>
      <c r="P24" s="18">
        <f>I24*'GS&lt;50 Predicted Monthly'!$V$13</f>
        <v>6309171.8527973164</v>
      </c>
      <c r="Q24" s="271">
        <f t="shared" ca="1" si="0"/>
        <v>10774076.657437403</v>
      </c>
    </row>
    <row r="25" spans="1:17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18">
        <f>'Monthly Data'!CG25</f>
        <v>0</v>
      </c>
      <c r="H25" s="4">
        <f>'Monthly Data'!CD25</f>
        <v>31</v>
      </c>
      <c r="I25" s="24">
        <f>'Monthly Data'!K25</f>
        <v>4150</v>
      </c>
      <c r="K25" s="18">
        <f>'GS&lt;50 Predicted Monthly'!$V$8</f>
        <v>-5601916.4558281703</v>
      </c>
      <c r="L25" s="18">
        <f ca="1">E25*'GS&lt;50 Predicted Monthly'!$V$9</f>
        <v>2787368.740819619</v>
      </c>
      <c r="M25" s="18">
        <f ca="1">F25*'GS&lt;50 Predicted Monthly'!$V$10</f>
        <v>0</v>
      </c>
      <c r="N25" s="18">
        <f>G25*'GS&lt;50 Predicted Monthly'!$V$11</f>
        <v>0</v>
      </c>
      <c r="O25" s="18">
        <f>H25*'GS&lt;50 Predicted Monthly'!$V$12</f>
        <v>8344206.7499953387</v>
      </c>
      <c r="P25" s="18">
        <f>I25*'GS&lt;50 Predicted Monthly'!$V$13</f>
        <v>6312213.883584586</v>
      </c>
      <c r="Q25" s="271">
        <f t="shared" ca="1" si="0"/>
        <v>11841872.918571373</v>
      </c>
    </row>
    <row r="26" spans="1:17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Data'!J26</f>
        <v>12355535.106722897</v>
      </c>
      <c r="E26" s="269">
        <f t="shared" ca="1" si="3"/>
        <v>635.33418478260876</v>
      </c>
      <c r="F26" s="269">
        <f t="shared" ca="1" si="3"/>
        <v>0</v>
      </c>
      <c r="G26" s="18">
        <f>'Monthly Data'!CG26</f>
        <v>0</v>
      </c>
      <c r="H26" s="4">
        <f>'Monthly Data'!CD26</f>
        <v>31</v>
      </c>
      <c r="I26" s="24">
        <f>'Monthly Data'!K26</f>
        <v>4150</v>
      </c>
      <c r="K26" s="18">
        <f>'GS&lt;50 Predicted Monthly'!$V$8</f>
        <v>-5601916.4558281703</v>
      </c>
      <c r="L26" s="18">
        <f ca="1">E26*'GS&lt;50 Predicted Monthly'!$V$9</f>
        <v>3432476.2791787665</v>
      </c>
      <c r="M26" s="18">
        <f ca="1">F26*'GS&lt;50 Predicted Monthly'!$V$10</f>
        <v>0</v>
      </c>
      <c r="N26" s="18">
        <f>G26*'GS&lt;50 Predicted Monthly'!$V$11</f>
        <v>0</v>
      </c>
      <c r="O26" s="18">
        <f>H26*'GS&lt;50 Predicted Monthly'!$V$12</f>
        <v>8344206.7499953387</v>
      </c>
      <c r="P26" s="18">
        <f>I26*'GS&lt;50 Predicted Monthly'!$V$13</f>
        <v>6312213.883584586</v>
      </c>
      <c r="Q26" s="271">
        <f t="shared" ca="1" si="0"/>
        <v>12486980.456930522</v>
      </c>
    </row>
    <row r="27" spans="1:17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Data'!J27</f>
        <v>11059039.500129096</v>
      </c>
      <c r="E27" s="269">
        <f t="shared" ca="1" si="3"/>
        <v>567.65501811594208</v>
      </c>
      <c r="F27" s="269">
        <f t="shared" ca="1" si="3"/>
        <v>0</v>
      </c>
      <c r="G27" s="18">
        <f>'Monthly Data'!CG27</f>
        <v>0</v>
      </c>
      <c r="H27" s="4">
        <f>'Monthly Data'!CD27</f>
        <v>28</v>
      </c>
      <c r="I27" s="24">
        <f>'Monthly Data'!K27</f>
        <v>4144</v>
      </c>
      <c r="K27" s="18">
        <f>'GS&lt;50 Predicted Monthly'!$V$8</f>
        <v>-5601916.4558281703</v>
      </c>
      <c r="L27" s="18">
        <f ca="1">E27*'GS&lt;50 Predicted Monthly'!$V$9</f>
        <v>3066830.7028158205</v>
      </c>
      <c r="M27" s="18">
        <f ca="1">F27*'GS&lt;50 Predicted Monthly'!$V$10</f>
        <v>0</v>
      </c>
      <c r="N27" s="18">
        <f>G27*'GS&lt;50 Predicted Monthly'!$V$11</f>
        <v>0</v>
      </c>
      <c r="O27" s="18">
        <f>H27*'GS&lt;50 Predicted Monthly'!$V$12</f>
        <v>7536702.8709635315</v>
      </c>
      <c r="P27" s="18">
        <f>I27*'GS&lt;50 Predicted Monthly'!$V$13</f>
        <v>6303087.7912227763</v>
      </c>
      <c r="Q27" s="271">
        <f t="shared" ca="1" si="0"/>
        <v>11304704.909173958</v>
      </c>
    </row>
    <row r="28" spans="1:17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Data'!J28</f>
        <v>12183406.064573791</v>
      </c>
      <c r="E28" s="269">
        <f t="shared" ca="1" si="3"/>
        <v>484.13298913043479</v>
      </c>
      <c r="F28" s="269">
        <f t="shared" ca="1" si="3"/>
        <v>0</v>
      </c>
      <c r="G28" s="18">
        <f>'Monthly Data'!CG28</f>
        <v>0</v>
      </c>
      <c r="H28" s="4">
        <f>'Monthly Data'!CD28</f>
        <v>31</v>
      </c>
      <c r="I28" s="24">
        <f>'Monthly Data'!K28</f>
        <v>4150</v>
      </c>
      <c r="K28" s="18">
        <f>'GS&lt;50 Predicted Monthly'!$V$8</f>
        <v>-5601916.4558281703</v>
      </c>
      <c r="L28" s="18">
        <f ca="1">E28*'GS&lt;50 Predicted Monthly'!$V$9</f>
        <v>2615591.9844400249</v>
      </c>
      <c r="M28" s="18">
        <f ca="1">F28*'GS&lt;50 Predicted Monthly'!$V$10</f>
        <v>0</v>
      </c>
      <c r="N28" s="18">
        <f>G28*'GS&lt;50 Predicted Monthly'!$V$11</f>
        <v>0</v>
      </c>
      <c r="O28" s="18">
        <f>H28*'GS&lt;50 Predicted Monthly'!$V$12</f>
        <v>8344206.7499953387</v>
      </c>
      <c r="P28" s="18">
        <f>I28*'GS&lt;50 Predicted Monthly'!$V$13</f>
        <v>6312213.883584586</v>
      </c>
      <c r="Q28" s="271">
        <f t="shared" ca="1" si="0"/>
        <v>11670096.162191778</v>
      </c>
    </row>
    <row r="29" spans="1:17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Data'!J29</f>
        <v>10307837.783077231</v>
      </c>
      <c r="E29" s="269">
        <f t="shared" ca="1" si="3"/>
        <v>292.81107954545462</v>
      </c>
      <c r="F29" s="269">
        <f t="shared" ca="1" si="3"/>
        <v>2.1908333333333347</v>
      </c>
      <c r="G29" s="18">
        <f>'Monthly Data'!CG29</f>
        <v>0</v>
      </c>
      <c r="H29" s="4">
        <f>'Monthly Data'!CD29</f>
        <v>30</v>
      </c>
      <c r="I29" s="24">
        <f>'Monthly Data'!K29</f>
        <v>4151</v>
      </c>
      <c r="K29" s="18">
        <f>'GS&lt;50 Predicted Monthly'!$V$8</f>
        <v>-5601916.4558281703</v>
      </c>
      <c r="L29" s="18">
        <f ca="1">E29*'GS&lt;50 Predicted Monthly'!$V$9</f>
        <v>1581950.2694702349</v>
      </c>
      <c r="M29" s="18">
        <f ca="1">F29*'GS&lt;50 Predicted Monthly'!$V$10</f>
        <v>27654.961846176375</v>
      </c>
      <c r="N29" s="18">
        <f>G29*'GS&lt;50 Predicted Monthly'!$V$11</f>
        <v>0</v>
      </c>
      <c r="O29" s="18">
        <f>H29*'GS&lt;50 Predicted Monthly'!$V$12</f>
        <v>8075038.79031807</v>
      </c>
      <c r="P29" s="18">
        <f>I29*'GS&lt;50 Predicted Monthly'!$V$13</f>
        <v>6313734.8989782203</v>
      </c>
      <c r="Q29" s="271">
        <f t="shared" ca="1" si="0"/>
        <v>10396462.464784531</v>
      </c>
    </row>
    <row r="30" spans="1:17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Data'!J30</f>
        <v>10255191.139574682</v>
      </c>
      <c r="E30" s="269">
        <f t="shared" ca="1" si="3"/>
        <v>103.25939244851259</v>
      </c>
      <c r="F30" s="269">
        <f t="shared" ca="1" si="3"/>
        <v>52.487435064935063</v>
      </c>
      <c r="G30" s="18">
        <f>'Monthly Data'!CG30</f>
        <v>0</v>
      </c>
      <c r="H30" s="4">
        <f>'Monthly Data'!CD30</f>
        <v>31</v>
      </c>
      <c r="I30" s="24">
        <f>'Monthly Data'!K30</f>
        <v>4160</v>
      </c>
      <c r="K30" s="18">
        <f>'GS&lt;50 Predicted Monthly'!$V$8</f>
        <v>-5601916.4558281703</v>
      </c>
      <c r="L30" s="18">
        <f ca="1">E30*'GS&lt;50 Predicted Monthly'!$V$9</f>
        <v>557872.41371752578</v>
      </c>
      <c r="M30" s="18">
        <f ca="1">F30*'GS&lt;50 Predicted Monthly'!$V$10</f>
        <v>662550.63406212477</v>
      </c>
      <c r="N30" s="18">
        <f>G30*'GS&lt;50 Predicted Monthly'!$V$11</f>
        <v>0</v>
      </c>
      <c r="O30" s="18">
        <f>H30*'GS&lt;50 Predicted Monthly'!$V$12</f>
        <v>8344206.7499953387</v>
      </c>
      <c r="P30" s="18">
        <f>I30*'GS&lt;50 Predicted Monthly'!$V$13</f>
        <v>6327424.0375209339</v>
      </c>
      <c r="Q30" s="271">
        <f t="shared" ca="1" si="0"/>
        <v>10290137.379467752</v>
      </c>
    </row>
    <row r="31" spans="1:17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Data'!J31</f>
        <v>10271714.846599523</v>
      </c>
      <c r="E31" s="269">
        <f t="shared" ca="1" si="3"/>
        <v>11.89069871794872</v>
      </c>
      <c r="F31" s="269">
        <f t="shared" ca="1" si="3"/>
        <v>137.65451754405018</v>
      </c>
      <c r="G31" s="18">
        <f>'Monthly Data'!CG31</f>
        <v>0</v>
      </c>
      <c r="H31" s="4">
        <f>'Monthly Data'!CD31</f>
        <v>30</v>
      </c>
      <c r="I31" s="24">
        <f>'Monthly Data'!K31</f>
        <v>4154</v>
      </c>
      <c r="K31" s="18">
        <f>'GS&lt;50 Predicted Monthly'!$V$8</f>
        <v>-5601916.4558281703</v>
      </c>
      <c r="L31" s="18">
        <f ca="1">E31*'GS&lt;50 Predicted Monthly'!$V$9</f>
        <v>64241.059697088072</v>
      </c>
      <c r="M31" s="18">
        <f ca="1">F31*'GS&lt;50 Predicted Monthly'!$V$10</f>
        <v>1737617.5415600708</v>
      </c>
      <c r="N31" s="18">
        <f>G31*'GS&lt;50 Predicted Monthly'!$V$11</f>
        <v>0</v>
      </c>
      <c r="O31" s="18">
        <f>H31*'GS&lt;50 Predicted Monthly'!$V$12</f>
        <v>8075038.79031807</v>
      </c>
      <c r="P31" s="18">
        <f>I31*'GS&lt;50 Predicted Monthly'!$V$13</f>
        <v>6318297.9451591251</v>
      </c>
      <c r="Q31" s="271">
        <f t="shared" ca="1" si="0"/>
        <v>10593278.880906183</v>
      </c>
    </row>
    <row r="32" spans="1:17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Data'!J32</f>
        <v>11368071.321868924</v>
      </c>
      <c r="E32" s="269">
        <f t="shared" ca="1" si="3"/>
        <v>7.4583333333333002E-2</v>
      </c>
      <c r="F32" s="269">
        <f t="shared" ca="1" si="3"/>
        <v>235.94737858727848</v>
      </c>
      <c r="G32" s="18">
        <f>'Monthly Data'!CG32</f>
        <v>0</v>
      </c>
      <c r="H32" s="4">
        <f>'Monthly Data'!CD32</f>
        <v>31</v>
      </c>
      <c r="I32" s="24">
        <f>'Monthly Data'!K32</f>
        <v>4158</v>
      </c>
      <c r="K32" s="18">
        <f>'GS&lt;50 Predicted Monthly'!$V$8</f>
        <v>-5601916.4558281703</v>
      </c>
      <c r="L32" s="18">
        <f ca="1">E32*'GS&lt;50 Predicted Monthly'!$V$9</f>
        <v>402.94624249810443</v>
      </c>
      <c r="M32" s="18">
        <f ca="1">F32*'GS&lt;50 Predicted Monthly'!$V$10</f>
        <v>2978371.5873122169</v>
      </c>
      <c r="N32" s="18">
        <f>G32*'GS&lt;50 Predicted Monthly'!$V$11</f>
        <v>0</v>
      </c>
      <c r="O32" s="18">
        <f>H32*'GS&lt;50 Predicted Monthly'!$V$12</f>
        <v>8344206.7499953387</v>
      </c>
      <c r="P32" s="18">
        <f>I32*'GS&lt;50 Predicted Monthly'!$V$13</f>
        <v>6324382.0067336643</v>
      </c>
      <c r="Q32" s="271">
        <f t="shared" ca="1" si="0"/>
        <v>12045446.834455548</v>
      </c>
    </row>
    <row r="33" spans="1:17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Data'!J33</f>
        <v>11009225.659270091</v>
      </c>
      <c r="E33" s="269">
        <f t="shared" ca="1" si="3"/>
        <v>0.75041666666666718</v>
      </c>
      <c r="F33" s="269">
        <f t="shared" ca="1" si="3"/>
        <v>210.96558794466404</v>
      </c>
      <c r="G33" s="18">
        <f>'Monthly Data'!CG33</f>
        <v>0</v>
      </c>
      <c r="H33" s="4">
        <f>'Monthly Data'!CD33</f>
        <v>31</v>
      </c>
      <c r="I33" s="24">
        <f>'Monthly Data'!K33</f>
        <v>4157</v>
      </c>
      <c r="K33" s="18">
        <f>'GS&lt;50 Predicted Monthly'!$V$8</f>
        <v>-5601916.4558281703</v>
      </c>
      <c r="L33" s="18">
        <f ca="1">E33*'GS&lt;50 Predicted Monthly'!$V$9</f>
        <v>4054.2244845759205</v>
      </c>
      <c r="M33" s="18">
        <f ca="1">F33*'GS&lt;50 Predicted Monthly'!$V$10</f>
        <v>2663025.615275396</v>
      </c>
      <c r="N33" s="18">
        <f>G33*'GS&lt;50 Predicted Monthly'!$V$11</f>
        <v>0</v>
      </c>
      <c r="O33" s="18">
        <f>H33*'GS&lt;50 Predicted Monthly'!$V$12</f>
        <v>8344206.7499953387</v>
      </c>
      <c r="P33" s="18">
        <f>I33*'GS&lt;50 Predicted Monthly'!$V$13</f>
        <v>6322860.99134003</v>
      </c>
      <c r="Q33" s="271">
        <f t="shared" ca="1" si="0"/>
        <v>11732231.12526717</v>
      </c>
    </row>
    <row r="34" spans="1:17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Data'!J34</f>
        <v>10614412.668142477</v>
      </c>
      <c r="E34" s="269">
        <f t="shared" ref="E34:F53" ca="1" si="4">E22</f>
        <v>26.342536231884061</v>
      </c>
      <c r="F34" s="269">
        <f t="shared" ca="1" si="4"/>
        <v>106.4160119047619</v>
      </c>
      <c r="G34" s="18">
        <f>'Monthly Data'!CG34</f>
        <v>0</v>
      </c>
      <c r="H34" s="4">
        <f>'Monthly Data'!CD34</f>
        <v>30</v>
      </c>
      <c r="I34" s="24">
        <f>'Monthly Data'!K34</f>
        <v>4169</v>
      </c>
      <c r="K34" s="18">
        <f>'GS&lt;50 Predicted Monthly'!$V$8</f>
        <v>-5601916.4558281703</v>
      </c>
      <c r="L34" s="18">
        <f ca="1">E34*'GS&lt;50 Predicted Monthly'!$V$9</f>
        <v>142319.00772077637</v>
      </c>
      <c r="M34" s="18">
        <f ca="1">F34*'GS&lt;50 Predicted Monthly'!$V$10</f>
        <v>1343292.848557675</v>
      </c>
      <c r="N34" s="18">
        <f>G34*'GS&lt;50 Predicted Monthly'!$V$11</f>
        <v>0</v>
      </c>
      <c r="O34" s="18">
        <f>H34*'GS&lt;50 Predicted Monthly'!$V$12</f>
        <v>8075038.79031807</v>
      </c>
      <c r="P34" s="18">
        <f>I34*'GS&lt;50 Predicted Monthly'!$V$13</f>
        <v>6341113.1760636475</v>
      </c>
      <c r="Q34" s="271">
        <f t="shared" ref="Q34:Q65" ca="1" si="5">SUM(K34:P34)</f>
        <v>10299847.366831999</v>
      </c>
    </row>
    <row r="35" spans="1:17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Data'!J35</f>
        <v>10086644.014943147</v>
      </c>
      <c r="E35" s="269">
        <f t="shared" ca="1" si="4"/>
        <v>181.36347826086953</v>
      </c>
      <c r="F35" s="269">
        <f t="shared" ca="1" si="4"/>
        <v>17.987083333333334</v>
      </c>
      <c r="G35" s="18">
        <f>'Monthly Data'!CG35</f>
        <v>0</v>
      </c>
      <c r="H35" s="4">
        <f>'Monthly Data'!CD35</f>
        <v>31</v>
      </c>
      <c r="I35" s="24">
        <f>'Monthly Data'!K35</f>
        <v>4175</v>
      </c>
      <c r="K35" s="18">
        <f>'GS&lt;50 Predicted Monthly'!$V$8</f>
        <v>-5601916.4558281703</v>
      </c>
      <c r="L35" s="18">
        <f ca="1">E35*'GS&lt;50 Predicted Monthly'!$V$9</f>
        <v>979839.98335111968</v>
      </c>
      <c r="M35" s="18">
        <f ca="1">F35*'GS&lt;50 Predicted Monthly'!$V$10</f>
        <v>227051.54962677584</v>
      </c>
      <c r="N35" s="18">
        <f>G35*'GS&lt;50 Predicted Monthly'!$V$11</f>
        <v>0</v>
      </c>
      <c r="O35" s="18">
        <f>H35*'GS&lt;50 Predicted Monthly'!$V$12</f>
        <v>8344206.7499953387</v>
      </c>
      <c r="P35" s="18">
        <f>I35*'GS&lt;50 Predicted Monthly'!$V$13</f>
        <v>6350239.2684254572</v>
      </c>
      <c r="Q35" s="271">
        <f t="shared" ca="1" si="5"/>
        <v>10299421.095570521</v>
      </c>
    </row>
    <row r="36" spans="1:17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Data'!J36</f>
        <v>11102990.29685051</v>
      </c>
      <c r="E36" s="269">
        <f t="shared" ca="1" si="4"/>
        <v>366.78033055712399</v>
      </c>
      <c r="F36" s="269">
        <f t="shared" ca="1" si="4"/>
        <v>0.8083333333333329</v>
      </c>
      <c r="G36" s="18">
        <f>'Monthly Data'!CG36</f>
        <v>0</v>
      </c>
      <c r="H36" s="4">
        <f>'Monthly Data'!CD36</f>
        <v>30</v>
      </c>
      <c r="I36" s="24">
        <f>'Monthly Data'!K36</f>
        <v>4189</v>
      </c>
      <c r="K36" s="18">
        <f>'GS&lt;50 Predicted Monthly'!$V$8</f>
        <v>-5601916.4558281703</v>
      </c>
      <c r="L36" s="18">
        <f ca="1">E36*'GS&lt;50 Predicted Monthly'!$V$9</f>
        <v>1981578.8516675723</v>
      </c>
      <c r="M36" s="18">
        <f ca="1">F36*'GS&lt;50 Predicted Monthly'!$V$10</f>
        <v>10203.618482613561</v>
      </c>
      <c r="N36" s="18">
        <f>G36*'GS&lt;50 Predicted Monthly'!$V$11</f>
        <v>0</v>
      </c>
      <c r="O36" s="18">
        <f>H36*'GS&lt;50 Predicted Monthly'!$V$12</f>
        <v>8075038.79031807</v>
      </c>
      <c r="P36" s="18">
        <f>I36*'GS&lt;50 Predicted Monthly'!$V$13</f>
        <v>6371533.4839363443</v>
      </c>
      <c r="Q36" s="271">
        <f t="shared" ca="1" si="5"/>
        <v>10836438.28857643</v>
      </c>
    </row>
    <row r="37" spans="1:17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Data'!J37</f>
        <v>12738018.510544082</v>
      </c>
      <c r="E37" s="269">
        <f t="shared" ca="1" si="4"/>
        <v>515.92800724637686</v>
      </c>
      <c r="F37" s="269">
        <f t="shared" ca="1" si="4"/>
        <v>0</v>
      </c>
      <c r="G37" s="18">
        <f>'Monthly Data'!CG37</f>
        <v>0</v>
      </c>
      <c r="H37" s="4">
        <f>'Monthly Data'!CD37</f>
        <v>31</v>
      </c>
      <c r="I37" s="24">
        <f>'Monthly Data'!K37</f>
        <v>4186</v>
      </c>
      <c r="K37" s="18">
        <f>'GS&lt;50 Predicted Monthly'!$V$8</f>
        <v>-5601916.4558281703</v>
      </c>
      <c r="L37" s="18">
        <f ca="1">E37*'GS&lt;50 Predicted Monthly'!$V$9</f>
        <v>2787368.740819619</v>
      </c>
      <c r="M37" s="18">
        <f ca="1">F37*'GS&lt;50 Predicted Monthly'!$V$10</f>
        <v>0</v>
      </c>
      <c r="N37" s="18">
        <f>G37*'GS&lt;50 Predicted Monthly'!$V$11</f>
        <v>0</v>
      </c>
      <c r="O37" s="18">
        <f>H37*'GS&lt;50 Predicted Monthly'!$V$12</f>
        <v>8344206.7499953387</v>
      </c>
      <c r="P37" s="18">
        <f>I37*'GS&lt;50 Predicted Monthly'!$V$13</f>
        <v>6366970.4377554404</v>
      </c>
      <c r="Q37" s="271">
        <f t="shared" ca="1" si="5"/>
        <v>11896629.472742228</v>
      </c>
    </row>
    <row r="38" spans="1:17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Data'!J38</f>
        <v>13743847.236236988</v>
      </c>
      <c r="E38" s="269">
        <f t="shared" ca="1" si="4"/>
        <v>635.33418478260876</v>
      </c>
      <c r="F38" s="269">
        <f t="shared" ca="1" si="4"/>
        <v>0</v>
      </c>
      <c r="G38" s="18">
        <f>'Monthly Data'!CG38</f>
        <v>0</v>
      </c>
      <c r="H38" s="4">
        <f>'Monthly Data'!CD38</f>
        <v>31</v>
      </c>
      <c r="I38" s="24">
        <f>'Monthly Data'!K38</f>
        <v>4200</v>
      </c>
      <c r="K38" s="18">
        <f>'GS&lt;50 Predicted Monthly'!$V$8</f>
        <v>-5601916.4558281703</v>
      </c>
      <c r="L38" s="18">
        <f ca="1">E38*'GS&lt;50 Predicted Monthly'!$V$9</f>
        <v>3432476.2791787665</v>
      </c>
      <c r="M38" s="18">
        <f ca="1">F38*'GS&lt;50 Predicted Monthly'!$V$10</f>
        <v>0</v>
      </c>
      <c r="N38" s="18">
        <f>G38*'GS&lt;50 Predicted Monthly'!$V$11</f>
        <v>0</v>
      </c>
      <c r="O38" s="18">
        <f>H38*'GS&lt;50 Predicted Monthly'!$V$12</f>
        <v>8344206.7499953387</v>
      </c>
      <c r="P38" s="18">
        <f>I38*'GS&lt;50 Predicted Monthly'!$V$13</f>
        <v>6388264.6532663275</v>
      </c>
      <c r="Q38" s="271">
        <f t="shared" ca="1" si="5"/>
        <v>12563031.226612262</v>
      </c>
    </row>
    <row r="39" spans="1:17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Data'!J39</f>
        <v>11791318.027232353</v>
      </c>
      <c r="E39" s="269">
        <f t="shared" ca="1" si="4"/>
        <v>567.65501811594208</v>
      </c>
      <c r="F39" s="269">
        <f t="shared" ca="1" si="4"/>
        <v>0</v>
      </c>
      <c r="G39" s="18">
        <f>'Monthly Data'!CG39</f>
        <v>0</v>
      </c>
      <c r="H39" s="4">
        <f>'Monthly Data'!CD39</f>
        <v>28</v>
      </c>
      <c r="I39" s="24">
        <f>'Monthly Data'!K39</f>
        <v>4210</v>
      </c>
      <c r="K39" s="18">
        <f>'GS&lt;50 Predicted Monthly'!$V$8</f>
        <v>-5601916.4558281703</v>
      </c>
      <c r="L39" s="18">
        <f ca="1">E39*'GS&lt;50 Predicted Monthly'!$V$9</f>
        <v>3066830.7028158205</v>
      </c>
      <c r="M39" s="18">
        <f ca="1">F39*'GS&lt;50 Predicted Monthly'!$V$10</f>
        <v>0</v>
      </c>
      <c r="N39" s="18">
        <f>G39*'GS&lt;50 Predicted Monthly'!$V$11</f>
        <v>0</v>
      </c>
      <c r="O39" s="18">
        <f>H39*'GS&lt;50 Predicted Monthly'!$V$12</f>
        <v>7536702.8709635315</v>
      </c>
      <c r="P39" s="18">
        <f>I39*'GS&lt;50 Predicted Monthly'!$V$13</f>
        <v>6403474.8072026763</v>
      </c>
      <c r="Q39" s="271">
        <f t="shared" ca="1" si="5"/>
        <v>11405091.925153859</v>
      </c>
    </row>
    <row r="40" spans="1:17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Data'!J40</f>
        <v>12122391.504287651</v>
      </c>
      <c r="E40" s="269">
        <f t="shared" ca="1" si="4"/>
        <v>484.13298913043479</v>
      </c>
      <c r="F40" s="269">
        <f t="shared" ca="1" si="4"/>
        <v>0</v>
      </c>
      <c r="G40" s="18">
        <f>'Monthly Data'!CG40</f>
        <v>0</v>
      </c>
      <c r="H40" s="4">
        <f>'Monthly Data'!CD40</f>
        <v>31</v>
      </c>
      <c r="I40" s="24">
        <f>'Monthly Data'!K40</f>
        <v>4215</v>
      </c>
      <c r="K40" s="18">
        <f>'GS&lt;50 Predicted Monthly'!$V$8</f>
        <v>-5601916.4558281703</v>
      </c>
      <c r="L40" s="18">
        <f ca="1">E40*'GS&lt;50 Predicted Monthly'!$V$9</f>
        <v>2615591.9844400249</v>
      </c>
      <c r="M40" s="18">
        <f ca="1">F40*'GS&lt;50 Predicted Monthly'!$V$10</f>
        <v>0</v>
      </c>
      <c r="N40" s="18">
        <f>G40*'GS&lt;50 Predicted Monthly'!$V$11</f>
        <v>0</v>
      </c>
      <c r="O40" s="18">
        <f>H40*'GS&lt;50 Predicted Monthly'!$V$12</f>
        <v>8344206.7499953387</v>
      </c>
      <c r="P40" s="18">
        <f>I40*'GS&lt;50 Predicted Monthly'!$V$13</f>
        <v>6411079.8841708507</v>
      </c>
      <c r="Q40" s="271">
        <f t="shared" ca="1" si="5"/>
        <v>11768962.162778044</v>
      </c>
    </row>
    <row r="41" spans="1:17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Data'!J41</f>
        <v>11217887.058367977</v>
      </c>
      <c r="E41" s="269">
        <f t="shared" ca="1" si="4"/>
        <v>292.81107954545462</v>
      </c>
      <c r="F41" s="269">
        <f t="shared" ca="1" si="4"/>
        <v>2.1908333333333347</v>
      </c>
      <c r="G41" s="18">
        <f>'Monthly Data'!CG41</f>
        <v>0</v>
      </c>
      <c r="H41" s="4">
        <f>'Monthly Data'!CD41</f>
        <v>30</v>
      </c>
      <c r="I41" s="24">
        <f>'Monthly Data'!K41</f>
        <v>4218</v>
      </c>
      <c r="K41" s="18">
        <f>'GS&lt;50 Predicted Monthly'!$V$8</f>
        <v>-5601916.4558281703</v>
      </c>
      <c r="L41" s="18">
        <f ca="1">E41*'GS&lt;50 Predicted Monthly'!$V$9</f>
        <v>1581950.2694702349</v>
      </c>
      <c r="M41" s="18">
        <f ca="1">F41*'GS&lt;50 Predicted Monthly'!$V$10</f>
        <v>27654.961846176375</v>
      </c>
      <c r="N41" s="18">
        <f>G41*'GS&lt;50 Predicted Monthly'!$V$11</f>
        <v>0</v>
      </c>
      <c r="O41" s="18">
        <f>H41*'GS&lt;50 Predicted Monthly'!$V$12</f>
        <v>8075038.79031807</v>
      </c>
      <c r="P41" s="18">
        <f>I41*'GS&lt;50 Predicted Monthly'!$V$13</f>
        <v>6415642.9303517547</v>
      </c>
      <c r="Q41" s="271">
        <f t="shared" ca="1" si="5"/>
        <v>10498370.496158065</v>
      </c>
    </row>
    <row r="42" spans="1:17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Data'!J42</f>
        <v>10536315.185701128</v>
      </c>
      <c r="E42" s="269">
        <f t="shared" ca="1" si="4"/>
        <v>103.25939244851259</v>
      </c>
      <c r="F42" s="269">
        <f t="shared" ca="1" si="4"/>
        <v>52.487435064935063</v>
      </c>
      <c r="G42" s="18">
        <f>'Monthly Data'!CG42</f>
        <v>0</v>
      </c>
      <c r="H42" s="4">
        <f>'Monthly Data'!CD42</f>
        <v>31</v>
      </c>
      <c r="I42" s="24">
        <f>'Monthly Data'!K42</f>
        <v>4162</v>
      </c>
      <c r="K42" s="18">
        <f>'GS&lt;50 Predicted Monthly'!$V$8</f>
        <v>-5601916.4558281703</v>
      </c>
      <c r="L42" s="18">
        <f ca="1">E42*'GS&lt;50 Predicted Monthly'!$V$9</f>
        <v>557872.41371752578</v>
      </c>
      <c r="M42" s="18">
        <f ca="1">F42*'GS&lt;50 Predicted Monthly'!$V$10</f>
        <v>662550.63406212477</v>
      </c>
      <c r="N42" s="18">
        <f>G42*'GS&lt;50 Predicted Monthly'!$V$11</f>
        <v>0</v>
      </c>
      <c r="O42" s="18">
        <f>H42*'GS&lt;50 Predicted Monthly'!$V$12</f>
        <v>8344206.7499953387</v>
      </c>
      <c r="P42" s="18">
        <f>I42*'GS&lt;50 Predicted Monthly'!$V$13</f>
        <v>6330466.0683082035</v>
      </c>
      <c r="Q42" s="271">
        <f t="shared" ca="1" si="5"/>
        <v>10293179.410255022</v>
      </c>
    </row>
    <row r="43" spans="1:17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Data'!J43</f>
        <v>10734643.372216791</v>
      </c>
      <c r="E43" s="269">
        <f t="shared" ca="1" si="4"/>
        <v>11.89069871794872</v>
      </c>
      <c r="F43" s="269">
        <f t="shared" ca="1" si="4"/>
        <v>137.65451754405018</v>
      </c>
      <c r="G43" s="18">
        <f>'Monthly Data'!CG43</f>
        <v>0</v>
      </c>
      <c r="H43" s="4">
        <f>'Monthly Data'!CD43</f>
        <v>30</v>
      </c>
      <c r="I43" s="24">
        <f>'Monthly Data'!K43</f>
        <v>4160</v>
      </c>
      <c r="K43" s="18">
        <f>'GS&lt;50 Predicted Monthly'!$V$8</f>
        <v>-5601916.4558281703</v>
      </c>
      <c r="L43" s="18">
        <f ca="1">E43*'GS&lt;50 Predicted Monthly'!$V$9</f>
        <v>64241.059697088072</v>
      </c>
      <c r="M43" s="18">
        <f ca="1">F43*'GS&lt;50 Predicted Monthly'!$V$10</f>
        <v>1737617.5415600708</v>
      </c>
      <c r="N43" s="18">
        <f>G43*'GS&lt;50 Predicted Monthly'!$V$11</f>
        <v>0</v>
      </c>
      <c r="O43" s="18">
        <f>H43*'GS&lt;50 Predicted Monthly'!$V$12</f>
        <v>8075038.79031807</v>
      </c>
      <c r="P43" s="18">
        <f>I43*'GS&lt;50 Predicted Monthly'!$V$13</f>
        <v>6327424.0375209339</v>
      </c>
      <c r="Q43" s="271">
        <f t="shared" ca="1" si="5"/>
        <v>10602404.973267991</v>
      </c>
    </row>
    <row r="44" spans="1:17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Data'!J44</f>
        <v>12267261.026286196</v>
      </c>
      <c r="E44" s="269">
        <f t="shared" ca="1" si="4"/>
        <v>7.4583333333333002E-2</v>
      </c>
      <c r="F44" s="269">
        <f t="shared" ca="1" si="4"/>
        <v>235.94737858727848</v>
      </c>
      <c r="G44" s="18">
        <f>'Monthly Data'!CG44</f>
        <v>0</v>
      </c>
      <c r="H44" s="4">
        <f>'Monthly Data'!CD44</f>
        <v>31</v>
      </c>
      <c r="I44" s="24">
        <f>'Monthly Data'!K44</f>
        <v>4168</v>
      </c>
      <c r="K44" s="18">
        <f>'GS&lt;50 Predicted Monthly'!$V$8</f>
        <v>-5601916.4558281703</v>
      </c>
      <c r="L44" s="18">
        <f ca="1">E44*'GS&lt;50 Predicted Monthly'!$V$9</f>
        <v>402.94624249810443</v>
      </c>
      <c r="M44" s="18">
        <f ca="1">F44*'GS&lt;50 Predicted Monthly'!$V$10</f>
        <v>2978371.5873122169</v>
      </c>
      <c r="N44" s="18">
        <f>G44*'GS&lt;50 Predicted Monthly'!$V$11</f>
        <v>0</v>
      </c>
      <c r="O44" s="18">
        <f>H44*'GS&lt;50 Predicted Monthly'!$V$12</f>
        <v>8344206.7499953387</v>
      </c>
      <c r="P44" s="18">
        <f>I44*'GS&lt;50 Predicted Monthly'!$V$13</f>
        <v>6339592.1606700132</v>
      </c>
      <c r="Q44" s="271">
        <f t="shared" ca="1" si="5"/>
        <v>12060656.988391897</v>
      </c>
    </row>
    <row r="45" spans="1:17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Data'!J45</f>
        <v>12704659.584958429</v>
      </c>
      <c r="E45" s="269">
        <f t="shared" ca="1" si="4"/>
        <v>0.75041666666666718</v>
      </c>
      <c r="F45" s="269">
        <f t="shared" ca="1" si="4"/>
        <v>210.96558794466404</v>
      </c>
      <c r="G45" s="18">
        <f>'Monthly Data'!CG45</f>
        <v>0</v>
      </c>
      <c r="H45" s="4">
        <f>'Monthly Data'!CD45</f>
        <v>31</v>
      </c>
      <c r="I45" s="24">
        <f>'Monthly Data'!K45</f>
        <v>4184</v>
      </c>
      <c r="K45" s="18">
        <f>'GS&lt;50 Predicted Monthly'!$V$8</f>
        <v>-5601916.4558281703</v>
      </c>
      <c r="L45" s="18">
        <f ca="1">E45*'GS&lt;50 Predicted Monthly'!$V$9</f>
        <v>4054.2244845759205</v>
      </c>
      <c r="M45" s="18">
        <f ca="1">F45*'GS&lt;50 Predicted Monthly'!$V$10</f>
        <v>2663025.615275396</v>
      </c>
      <c r="N45" s="18">
        <f>G45*'GS&lt;50 Predicted Monthly'!$V$11</f>
        <v>0</v>
      </c>
      <c r="O45" s="18">
        <f>H45*'GS&lt;50 Predicted Monthly'!$V$12</f>
        <v>8344206.7499953387</v>
      </c>
      <c r="P45" s="18">
        <f>I45*'GS&lt;50 Predicted Monthly'!$V$13</f>
        <v>6363928.4069681698</v>
      </c>
      <c r="Q45" s="271">
        <f t="shared" ca="1" si="5"/>
        <v>11773298.540895309</v>
      </c>
    </row>
    <row r="46" spans="1:17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Data'!J46</f>
        <v>11179301.159690389</v>
      </c>
      <c r="E46" s="269">
        <f t="shared" ca="1" si="4"/>
        <v>26.342536231884061</v>
      </c>
      <c r="F46" s="269">
        <f t="shared" ca="1" si="4"/>
        <v>106.4160119047619</v>
      </c>
      <c r="G46" s="18">
        <f>'Monthly Data'!CG46</f>
        <v>0</v>
      </c>
      <c r="H46" s="4">
        <f>'Monthly Data'!CD46</f>
        <v>30</v>
      </c>
      <c r="I46" s="24">
        <f>'Monthly Data'!K46</f>
        <v>4221</v>
      </c>
      <c r="K46" s="18">
        <f>'GS&lt;50 Predicted Monthly'!$V$8</f>
        <v>-5601916.4558281703</v>
      </c>
      <c r="L46" s="18">
        <f ca="1">E46*'GS&lt;50 Predicted Monthly'!$V$9</f>
        <v>142319.00772077637</v>
      </c>
      <c r="M46" s="18">
        <f ca="1">F46*'GS&lt;50 Predicted Monthly'!$V$10</f>
        <v>1343292.848557675</v>
      </c>
      <c r="N46" s="18">
        <f>G46*'GS&lt;50 Predicted Monthly'!$V$11</f>
        <v>0</v>
      </c>
      <c r="O46" s="18">
        <f>H46*'GS&lt;50 Predicted Monthly'!$V$12</f>
        <v>8075038.79031807</v>
      </c>
      <c r="P46" s="18">
        <f>I46*'GS&lt;50 Predicted Monthly'!$V$13</f>
        <v>6420205.9765326595</v>
      </c>
      <c r="Q46" s="271">
        <f t="shared" ca="1" si="5"/>
        <v>10378940.16730101</v>
      </c>
    </row>
    <row r="47" spans="1:17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Data'!J47</f>
        <v>11018001.264524272</v>
      </c>
      <c r="E47" s="269">
        <f t="shared" ca="1" si="4"/>
        <v>181.36347826086953</v>
      </c>
      <c r="F47" s="269">
        <f t="shared" ca="1" si="4"/>
        <v>17.987083333333334</v>
      </c>
      <c r="G47" s="18">
        <f>'Monthly Data'!CG47</f>
        <v>0</v>
      </c>
      <c r="H47" s="4">
        <f>'Monthly Data'!CD47</f>
        <v>31</v>
      </c>
      <c r="I47" s="24">
        <f>'Monthly Data'!K47</f>
        <v>4238</v>
      </c>
      <c r="K47" s="18">
        <f>'GS&lt;50 Predicted Monthly'!$V$8</f>
        <v>-5601916.4558281703</v>
      </c>
      <c r="L47" s="18">
        <f ca="1">E47*'GS&lt;50 Predicted Monthly'!$V$9</f>
        <v>979839.98335111968</v>
      </c>
      <c r="M47" s="18">
        <f ca="1">F47*'GS&lt;50 Predicted Monthly'!$V$10</f>
        <v>227051.54962677584</v>
      </c>
      <c r="N47" s="18">
        <f>G47*'GS&lt;50 Predicted Monthly'!$V$11</f>
        <v>0</v>
      </c>
      <c r="O47" s="18">
        <f>H47*'GS&lt;50 Predicted Monthly'!$V$12</f>
        <v>8344206.7499953387</v>
      </c>
      <c r="P47" s="18">
        <f>I47*'GS&lt;50 Predicted Monthly'!$V$13</f>
        <v>6446063.2382244514</v>
      </c>
      <c r="Q47" s="271">
        <f t="shared" ca="1" si="5"/>
        <v>10395245.065369517</v>
      </c>
    </row>
    <row r="48" spans="1:17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Data'!J48</f>
        <v>11411106.129039779</v>
      </c>
      <c r="E48" s="269">
        <f t="shared" ca="1" si="4"/>
        <v>366.78033055712399</v>
      </c>
      <c r="F48" s="269">
        <f t="shared" ca="1" si="4"/>
        <v>0.8083333333333329</v>
      </c>
      <c r="G48" s="18">
        <f>'Monthly Data'!CG48</f>
        <v>0</v>
      </c>
      <c r="H48" s="4">
        <f>'Monthly Data'!CD48</f>
        <v>30</v>
      </c>
      <c r="I48" s="24">
        <f>'Monthly Data'!K48</f>
        <v>4206</v>
      </c>
      <c r="K48" s="18">
        <f>'GS&lt;50 Predicted Monthly'!$V$8</f>
        <v>-5601916.4558281703</v>
      </c>
      <c r="L48" s="18">
        <f ca="1">E48*'GS&lt;50 Predicted Monthly'!$V$9</f>
        <v>1981578.8516675723</v>
      </c>
      <c r="M48" s="18">
        <f ca="1">F48*'GS&lt;50 Predicted Monthly'!$V$10</f>
        <v>10203.618482613561</v>
      </c>
      <c r="N48" s="18">
        <f>G48*'GS&lt;50 Predicted Monthly'!$V$11</f>
        <v>0</v>
      </c>
      <c r="O48" s="18">
        <f>H48*'GS&lt;50 Predicted Monthly'!$V$12</f>
        <v>8075038.79031807</v>
      </c>
      <c r="P48" s="18">
        <f>I48*'GS&lt;50 Predicted Monthly'!$V$13</f>
        <v>6397390.7456281371</v>
      </c>
      <c r="Q48" s="271">
        <f t="shared" ca="1" si="5"/>
        <v>10862295.550268222</v>
      </c>
    </row>
    <row r="49" spans="1:17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Data'!J49</f>
        <v>11879583.682943571</v>
      </c>
      <c r="E49" s="269">
        <f t="shared" ca="1" si="4"/>
        <v>515.92800724637686</v>
      </c>
      <c r="F49" s="269">
        <f t="shared" ca="1" si="4"/>
        <v>0</v>
      </c>
      <c r="G49" s="18">
        <f>'Monthly Data'!CG49</f>
        <v>0</v>
      </c>
      <c r="H49" s="4">
        <f>'Monthly Data'!CD49</f>
        <v>31</v>
      </c>
      <c r="I49" s="24">
        <f>'Monthly Data'!K49</f>
        <v>4210</v>
      </c>
      <c r="K49" s="18">
        <f>'GS&lt;50 Predicted Monthly'!$V$8</f>
        <v>-5601916.4558281703</v>
      </c>
      <c r="L49" s="18">
        <f ca="1">E49*'GS&lt;50 Predicted Monthly'!$V$9</f>
        <v>2787368.740819619</v>
      </c>
      <c r="M49" s="18">
        <f ca="1">F49*'GS&lt;50 Predicted Monthly'!$V$10</f>
        <v>0</v>
      </c>
      <c r="N49" s="18">
        <f>G49*'GS&lt;50 Predicted Monthly'!$V$11</f>
        <v>0</v>
      </c>
      <c r="O49" s="18">
        <f>H49*'GS&lt;50 Predicted Monthly'!$V$12</f>
        <v>8344206.7499953387</v>
      </c>
      <c r="P49" s="18">
        <f>I49*'GS&lt;50 Predicted Monthly'!$V$13</f>
        <v>6403474.8072026763</v>
      </c>
      <c r="Q49" s="271">
        <f t="shared" ca="1" si="5"/>
        <v>11933133.842189465</v>
      </c>
    </row>
    <row r="50" spans="1:17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Data'!J50</f>
        <v>12427019.357755447</v>
      </c>
      <c r="E50" s="269">
        <f t="shared" ca="1" si="4"/>
        <v>635.33418478260876</v>
      </c>
      <c r="F50" s="269">
        <f t="shared" ca="1" si="4"/>
        <v>0</v>
      </c>
      <c r="G50" s="18">
        <f>'Monthly Data'!CG50</f>
        <v>0</v>
      </c>
      <c r="H50" s="4">
        <f>'Monthly Data'!CD50</f>
        <v>31</v>
      </c>
      <c r="I50" s="24">
        <f>'Monthly Data'!K50</f>
        <v>4216</v>
      </c>
      <c r="K50" s="18">
        <f>'GS&lt;50 Predicted Monthly'!$V$8</f>
        <v>-5601916.4558281703</v>
      </c>
      <c r="L50" s="18">
        <f ca="1">E50*'GS&lt;50 Predicted Monthly'!$V$9</f>
        <v>3432476.2791787665</v>
      </c>
      <c r="M50" s="18">
        <f ca="1">F50*'GS&lt;50 Predicted Monthly'!$V$10</f>
        <v>0</v>
      </c>
      <c r="N50" s="18">
        <f>G50*'GS&lt;50 Predicted Monthly'!$V$11</f>
        <v>0</v>
      </c>
      <c r="O50" s="18">
        <f>H50*'GS&lt;50 Predicted Monthly'!$V$12</f>
        <v>8344206.7499953387</v>
      </c>
      <c r="P50" s="18">
        <f>I50*'GS&lt;50 Predicted Monthly'!$V$13</f>
        <v>6412600.8995644851</v>
      </c>
      <c r="Q50" s="271">
        <f t="shared" ca="1" si="5"/>
        <v>12587367.472910419</v>
      </c>
    </row>
    <row r="51" spans="1:17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Data'!J51</f>
        <v>10817934.01399897</v>
      </c>
      <c r="E51" s="269">
        <f t="shared" ca="1" si="4"/>
        <v>567.65501811594208</v>
      </c>
      <c r="F51" s="269">
        <f t="shared" ca="1" si="4"/>
        <v>0</v>
      </c>
      <c r="G51" s="18">
        <f>'Monthly Data'!CG51</f>
        <v>0</v>
      </c>
      <c r="H51" s="4">
        <f>'Monthly Data'!CD51</f>
        <v>28</v>
      </c>
      <c r="I51" s="24">
        <f>'Monthly Data'!K51</f>
        <v>4209</v>
      </c>
      <c r="K51" s="18">
        <f>'GS&lt;50 Predicted Monthly'!$V$8</f>
        <v>-5601916.4558281703</v>
      </c>
      <c r="L51" s="18">
        <f ca="1">E51*'GS&lt;50 Predicted Monthly'!$V$9</f>
        <v>3066830.7028158205</v>
      </c>
      <c r="M51" s="18">
        <f ca="1">F51*'GS&lt;50 Predicted Monthly'!$V$10</f>
        <v>0</v>
      </c>
      <c r="N51" s="18">
        <f>G51*'GS&lt;50 Predicted Monthly'!$V$11</f>
        <v>0</v>
      </c>
      <c r="O51" s="18">
        <f>H51*'GS&lt;50 Predicted Monthly'!$V$12</f>
        <v>7536702.8709635315</v>
      </c>
      <c r="P51" s="18">
        <f>I51*'GS&lt;50 Predicted Monthly'!$V$13</f>
        <v>6401953.7918090411</v>
      </c>
      <c r="Q51" s="271">
        <f t="shared" ca="1" si="5"/>
        <v>11403570.909760222</v>
      </c>
    </row>
    <row r="52" spans="1:17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Data'!J52</f>
        <v>11178126.224762458</v>
      </c>
      <c r="E52" s="269">
        <f t="shared" ca="1" si="4"/>
        <v>484.13298913043479</v>
      </c>
      <c r="F52" s="269">
        <f t="shared" ca="1" si="4"/>
        <v>0</v>
      </c>
      <c r="G52" s="18">
        <f>'Monthly Data'!CG52</f>
        <v>0</v>
      </c>
      <c r="H52" s="4">
        <f>'Monthly Data'!CD52</f>
        <v>31</v>
      </c>
      <c r="I52" s="24">
        <f>'Monthly Data'!K52</f>
        <v>4202</v>
      </c>
      <c r="K52" s="18">
        <f>'GS&lt;50 Predicted Monthly'!$V$8</f>
        <v>-5601916.4558281703</v>
      </c>
      <c r="L52" s="18">
        <f ca="1">E52*'GS&lt;50 Predicted Monthly'!$V$9</f>
        <v>2615591.9844400249</v>
      </c>
      <c r="M52" s="18">
        <f ca="1">F52*'GS&lt;50 Predicted Monthly'!$V$10</f>
        <v>0</v>
      </c>
      <c r="N52" s="18">
        <f>G52*'GS&lt;50 Predicted Monthly'!$V$11</f>
        <v>0</v>
      </c>
      <c r="O52" s="18">
        <f>H52*'GS&lt;50 Predicted Monthly'!$V$12</f>
        <v>8344206.7499953387</v>
      </c>
      <c r="P52" s="18">
        <f>I52*'GS&lt;50 Predicted Monthly'!$V$13</f>
        <v>6391306.684053597</v>
      </c>
      <c r="Q52" s="271">
        <f t="shared" ca="1" si="5"/>
        <v>11749188.962660789</v>
      </c>
    </row>
    <row r="53" spans="1:17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Data'!J53</f>
        <v>9605223.0161340497</v>
      </c>
      <c r="E53" s="269">
        <f t="shared" ca="1" si="4"/>
        <v>292.81107954545462</v>
      </c>
      <c r="F53" s="269">
        <f t="shared" ca="1" si="4"/>
        <v>2.1908333333333347</v>
      </c>
      <c r="G53" s="18">
        <f>'Monthly Data'!CG53</f>
        <v>0</v>
      </c>
      <c r="H53" s="4">
        <f>'Monthly Data'!CD53</f>
        <v>30</v>
      </c>
      <c r="I53" s="24">
        <f>'Monthly Data'!K53</f>
        <v>4202</v>
      </c>
      <c r="K53" s="18">
        <f>'GS&lt;50 Predicted Monthly'!$V$8</f>
        <v>-5601916.4558281703</v>
      </c>
      <c r="L53" s="18">
        <f ca="1">E53*'GS&lt;50 Predicted Monthly'!$V$9</f>
        <v>1581950.2694702349</v>
      </c>
      <c r="M53" s="18">
        <f ca="1">F53*'GS&lt;50 Predicted Monthly'!$V$10</f>
        <v>27654.961846176375</v>
      </c>
      <c r="N53" s="18">
        <f>G53*'GS&lt;50 Predicted Monthly'!$V$11</f>
        <v>0</v>
      </c>
      <c r="O53" s="18">
        <f>H53*'GS&lt;50 Predicted Monthly'!$V$12</f>
        <v>8075038.79031807</v>
      </c>
      <c r="P53" s="18">
        <f>I53*'GS&lt;50 Predicted Monthly'!$V$13</f>
        <v>6391306.684053597</v>
      </c>
      <c r="Q53" s="271">
        <f t="shared" ca="1" si="5"/>
        <v>10474034.249859909</v>
      </c>
    </row>
    <row r="54" spans="1:17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Data'!J54</f>
        <v>9221277.1523471624</v>
      </c>
      <c r="E54" s="269">
        <f t="shared" ref="E54:F73" ca="1" si="6">E42</f>
        <v>103.25939244851259</v>
      </c>
      <c r="F54" s="269">
        <f t="shared" ca="1" si="6"/>
        <v>52.487435064935063</v>
      </c>
      <c r="G54" s="18">
        <f>'Monthly Data'!CG54</f>
        <v>0</v>
      </c>
      <c r="H54" s="4">
        <f>'Monthly Data'!CD54</f>
        <v>31</v>
      </c>
      <c r="I54" s="24">
        <f>'Monthly Data'!K54</f>
        <v>4196</v>
      </c>
      <c r="K54" s="18">
        <f>'GS&lt;50 Predicted Monthly'!$V$8</f>
        <v>-5601916.4558281703</v>
      </c>
      <c r="L54" s="18">
        <f ca="1">E54*'GS&lt;50 Predicted Monthly'!$V$9</f>
        <v>557872.41371752578</v>
      </c>
      <c r="M54" s="18">
        <f ca="1">F54*'GS&lt;50 Predicted Monthly'!$V$10</f>
        <v>662550.63406212477</v>
      </c>
      <c r="N54" s="18">
        <f>G54*'GS&lt;50 Predicted Monthly'!$V$11</f>
        <v>0</v>
      </c>
      <c r="O54" s="18">
        <f>H54*'GS&lt;50 Predicted Monthly'!$V$12</f>
        <v>8344206.7499953387</v>
      </c>
      <c r="P54" s="18">
        <f>I54*'GS&lt;50 Predicted Monthly'!$V$13</f>
        <v>6382180.5916917883</v>
      </c>
      <c r="Q54" s="271">
        <f t="shared" ca="1" si="5"/>
        <v>10344893.933638606</v>
      </c>
    </row>
    <row r="55" spans="1:17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Data'!J55</f>
        <v>9417230.9671708588</v>
      </c>
      <c r="E55" s="269">
        <f t="shared" ca="1" si="6"/>
        <v>11.89069871794872</v>
      </c>
      <c r="F55" s="269">
        <f t="shared" ca="1" si="6"/>
        <v>137.65451754405018</v>
      </c>
      <c r="G55" s="18">
        <f>'Monthly Data'!CG55</f>
        <v>0</v>
      </c>
      <c r="H55" s="4">
        <f>'Monthly Data'!CD55</f>
        <v>30</v>
      </c>
      <c r="I55" s="24">
        <f>'Monthly Data'!K55</f>
        <v>4194</v>
      </c>
      <c r="K55" s="18">
        <f>'GS&lt;50 Predicted Monthly'!$V$8</f>
        <v>-5601916.4558281703</v>
      </c>
      <c r="L55" s="18">
        <f ca="1">E55*'GS&lt;50 Predicted Monthly'!$V$9</f>
        <v>64241.059697088072</v>
      </c>
      <c r="M55" s="18">
        <f ca="1">F55*'GS&lt;50 Predicted Monthly'!$V$10</f>
        <v>1737617.5415600708</v>
      </c>
      <c r="N55" s="18">
        <f>G55*'GS&lt;50 Predicted Monthly'!$V$11</f>
        <v>0</v>
      </c>
      <c r="O55" s="18">
        <f>H55*'GS&lt;50 Predicted Monthly'!$V$12</f>
        <v>8075038.79031807</v>
      </c>
      <c r="P55" s="18">
        <f>I55*'GS&lt;50 Predicted Monthly'!$V$13</f>
        <v>6379138.5609045187</v>
      </c>
      <c r="Q55" s="271">
        <f t="shared" ca="1" si="5"/>
        <v>10654119.496651577</v>
      </c>
    </row>
    <row r="56" spans="1:17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Data'!J56</f>
        <v>11222943.646553386</v>
      </c>
      <c r="E56" s="269">
        <f t="shared" ca="1" si="6"/>
        <v>7.4583333333333002E-2</v>
      </c>
      <c r="F56" s="269">
        <f t="shared" ca="1" si="6"/>
        <v>235.94737858727848</v>
      </c>
      <c r="G56" s="18">
        <f>'Monthly Data'!CG56</f>
        <v>0</v>
      </c>
      <c r="H56" s="4">
        <f>'Monthly Data'!CD56</f>
        <v>31</v>
      </c>
      <c r="I56" s="24">
        <f>'Monthly Data'!K56</f>
        <v>4188</v>
      </c>
      <c r="K56" s="18">
        <f>'GS&lt;50 Predicted Monthly'!$V$8</f>
        <v>-5601916.4558281703</v>
      </c>
      <c r="L56" s="18">
        <f ca="1">E56*'GS&lt;50 Predicted Monthly'!$V$9</f>
        <v>402.94624249810443</v>
      </c>
      <c r="M56" s="18">
        <f ca="1">F56*'GS&lt;50 Predicted Monthly'!$V$10</f>
        <v>2978371.5873122169</v>
      </c>
      <c r="N56" s="18">
        <f>G56*'GS&lt;50 Predicted Monthly'!$V$11</f>
        <v>0</v>
      </c>
      <c r="O56" s="18">
        <f>H56*'GS&lt;50 Predicted Monthly'!$V$12</f>
        <v>8344206.7499953387</v>
      </c>
      <c r="P56" s="18">
        <f>I56*'GS&lt;50 Predicted Monthly'!$V$13</f>
        <v>6370012.4685427099</v>
      </c>
      <c r="Q56" s="271">
        <f t="shared" ca="1" si="5"/>
        <v>12091077.296264593</v>
      </c>
    </row>
    <row r="57" spans="1:17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Data'!J57</f>
        <v>10444170.994703799</v>
      </c>
      <c r="E57" s="269">
        <f t="shared" ca="1" si="6"/>
        <v>0.75041666666666718</v>
      </c>
      <c r="F57" s="269">
        <f t="shared" ca="1" si="6"/>
        <v>210.96558794466404</v>
      </c>
      <c r="G57" s="18">
        <f>'Monthly Data'!CG57</f>
        <v>0</v>
      </c>
      <c r="H57" s="4">
        <f>'Monthly Data'!CD57</f>
        <v>31</v>
      </c>
      <c r="I57" s="24">
        <f>'Monthly Data'!K57</f>
        <v>4187</v>
      </c>
      <c r="K57" s="18">
        <f>'GS&lt;50 Predicted Monthly'!$V$8</f>
        <v>-5601916.4558281703</v>
      </c>
      <c r="L57" s="18">
        <f ca="1">E57*'GS&lt;50 Predicted Monthly'!$V$9</f>
        <v>4054.2244845759205</v>
      </c>
      <c r="M57" s="18">
        <f ca="1">F57*'GS&lt;50 Predicted Monthly'!$V$10</f>
        <v>2663025.615275396</v>
      </c>
      <c r="N57" s="18">
        <f>G57*'GS&lt;50 Predicted Monthly'!$V$11</f>
        <v>0</v>
      </c>
      <c r="O57" s="18">
        <f>H57*'GS&lt;50 Predicted Monthly'!$V$12</f>
        <v>8344206.7499953387</v>
      </c>
      <c r="P57" s="18">
        <f>I57*'GS&lt;50 Predicted Monthly'!$V$13</f>
        <v>6368491.4531490747</v>
      </c>
      <c r="Q57" s="271">
        <f t="shared" ca="1" si="5"/>
        <v>11777861.587076215</v>
      </c>
    </row>
    <row r="58" spans="1:17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Data'!J58</f>
        <v>9115439.8190174215</v>
      </c>
      <c r="E58" s="269">
        <f t="shared" ca="1" si="6"/>
        <v>26.342536231884061</v>
      </c>
      <c r="F58" s="269">
        <f t="shared" ca="1" si="6"/>
        <v>106.4160119047619</v>
      </c>
      <c r="G58" s="18">
        <f>'Monthly Data'!CG58</f>
        <v>0</v>
      </c>
      <c r="H58" s="4">
        <f>'Monthly Data'!CD58</f>
        <v>30</v>
      </c>
      <c r="I58" s="24">
        <f>'Monthly Data'!K58</f>
        <v>4186</v>
      </c>
      <c r="K58" s="18">
        <f>'GS&lt;50 Predicted Monthly'!$V$8</f>
        <v>-5601916.4558281703</v>
      </c>
      <c r="L58" s="18">
        <f ca="1">E58*'GS&lt;50 Predicted Monthly'!$V$9</f>
        <v>142319.00772077637</v>
      </c>
      <c r="M58" s="18">
        <f ca="1">F58*'GS&lt;50 Predicted Monthly'!$V$10</f>
        <v>1343292.848557675</v>
      </c>
      <c r="N58" s="18">
        <f>G58*'GS&lt;50 Predicted Monthly'!$V$11</f>
        <v>0</v>
      </c>
      <c r="O58" s="18">
        <f>H58*'GS&lt;50 Predicted Monthly'!$V$12</f>
        <v>8075038.79031807</v>
      </c>
      <c r="P58" s="18">
        <f>I58*'GS&lt;50 Predicted Monthly'!$V$13</f>
        <v>6366970.4377554404</v>
      </c>
      <c r="Q58" s="271">
        <f t="shared" ca="1" si="5"/>
        <v>10325704.628523793</v>
      </c>
    </row>
    <row r="59" spans="1:17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Data'!J59</f>
        <v>9056576.7105109673</v>
      </c>
      <c r="E59" s="269">
        <f t="shared" ca="1" si="6"/>
        <v>181.36347826086953</v>
      </c>
      <c r="F59" s="269">
        <f t="shared" ca="1" si="6"/>
        <v>17.987083333333334</v>
      </c>
      <c r="G59" s="18">
        <f>'Monthly Data'!CG59</f>
        <v>0</v>
      </c>
      <c r="H59" s="4">
        <f>'Monthly Data'!CD59</f>
        <v>31</v>
      </c>
      <c r="I59" s="24">
        <f>'Monthly Data'!K59</f>
        <v>4187</v>
      </c>
      <c r="K59" s="18">
        <f>'GS&lt;50 Predicted Monthly'!$V$8</f>
        <v>-5601916.4558281703</v>
      </c>
      <c r="L59" s="18">
        <f ca="1">E59*'GS&lt;50 Predicted Monthly'!$V$9</f>
        <v>979839.98335111968</v>
      </c>
      <c r="M59" s="18">
        <f ca="1">F59*'GS&lt;50 Predicted Monthly'!$V$10</f>
        <v>227051.54962677584</v>
      </c>
      <c r="N59" s="18">
        <f>G59*'GS&lt;50 Predicted Monthly'!$V$11</f>
        <v>0</v>
      </c>
      <c r="O59" s="18">
        <f>H59*'GS&lt;50 Predicted Monthly'!$V$12</f>
        <v>8344206.7499953387</v>
      </c>
      <c r="P59" s="18">
        <f>I59*'GS&lt;50 Predicted Monthly'!$V$13</f>
        <v>6368491.4531490747</v>
      </c>
      <c r="Q59" s="271">
        <f t="shared" ca="1" si="5"/>
        <v>10317673.280294139</v>
      </c>
    </row>
    <row r="60" spans="1:17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Data'!J60</f>
        <v>10350429.699744491</v>
      </c>
      <c r="E60" s="269">
        <f t="shared" ca="1" si="6"/>
        <v>366.78033055712399</v>
      </c>
      <c r="F60" s="269">
        <f t="shared" ca="1" si="6"/>
        <v>0.8083333333333329</v>
      </c>
      <c r="G60" s="18">
        <f>'Monthly Data'!CG60</f>
        <v>0</v>
      </c>
      <c r="H60" s="4">
        <f>'Monthly Data'!CD60</f>
        <v>30</v>
      </c>
      <c r="I60" s="24">
        <f>'Monthly Data'!K60</f>
        <v>4184</v>
      </c>
      <c r="K60" s="18">
        <f>'GS&lt;50 Predicted Monthly'!$V$8</f>
        <v>-5601916.4558281703</v>
      </c>
      <c r="L60" s="18">
        <f ca="1">E60*'GS&lt;50 Predicted Monthly'!$V$9</f>
        <v>1981578.8516675723</v>
      </c>
      <c r="M60" s="18">
        <f ca="1">F60*'GS&lt;50 Predicted Monthly'!$V$10</f>
        <v>10203.618482613561</v>
      </c>
      <c r="N60" s="18">
        <f>G60*'GS&lt;50 Predicted Monthly'!$V$11</f>
        <v>0</v>
      </c>
      <c r="O60" s="18">
        <f>H60*'GS&lt;50 Predicted Monthly'!$V$12</f>
        <v>8075038.79031807</v>
      </c>
      <c r="P60" s="18">
        <f>I60*'GS&lt;50 Predicted Monthly'!$V$13</f>
        <v>6363928.4069681698</v>
      </c>
      <c r="Q60" s="271">
        <f t="shared" ca="1" si="5"/>
        <v>10828833.211608255</v>
      </c>
    </row>
    <row r="61" spans="1:17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Data'!J61</f>
        <v>11008452.135093993</v>
      </c>
      <c r="E61" s="269">
        <f t="shared" ca="1" si="6"/>
        <v>515.92800724637686</v>
      </c>
      <c r="F61" s="269">
        <f t="shared" ca="1" si="6"/>
        <v>0</v>
      </c>
      <c r="G61" s="18">
        <f>'Monthly Data'!CG61</f>
        <v>0</v>
      </c>
      <c r="H61" s="4">
        <f>'Monthly Data'!CD61</f>
        <v>31</v>
      </c>
      <c r="I61" s="24">
        <f>'Monthly Data'!K61</f>
        <v>4187</v>
      </c>
      <c r="K61" s="18">
        <f>'GS&lt;50 Predicted Monthly'!$V$8</f>
        <v>-5601916.4558281703</v>
      </c>
      <c r="L61" s="18">
        <f ca="1">E61*'GS&lt;50 Predicted Monthly'!$V$9</f>
        <v>2787368.740819619</v>
      </c>
      <c r="M61" s="18">
        <f ca="1">F61*'GS&lt;50 Predicted Monthly'!$V$10</f>
        <v>0</v>
      </c>
      <c r="N61" s="18">
        <f>G61*'GS&lt;50 Predicted Monthly'!$V$11</f>
        <v>0</v>
      </c>
      <c r="O61" s="18">
        <f>H61*'GS&lt;50 Predicted Monthly'!$V$12</f>
        <v>8344206.7499953387</v>
      </c>
      <c r="P61" s="18">
        <f>I61*'GS&lt;50 Predicted Monthly'!$V$13</f>
        <v>6368491.4531490747</v>
      </c>
      <c r="Q61" s="271">
        <f t="shared" ca="1" si="5"/>
        <v>11898150.488135863</v>
      </c>
    </row>
    <row r="62" spans="1:17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Data'!J62</f>
        <v>12171705.298896791</v>
      </c>
      <c r="E62" s="269">
        <f t="shared" ca="1" si="6"/>
        <v>635.33418478260876</v>
      </c>
      <c r="F62" s="269">
        <f t="shared" ca="1" si="6"/>
        <v>0</v>
      </c>
      <c r="G62" s="18">
        <f>'Monthly Data'!CG62</f>
        <v>0</v>
      </c>
      <c r="H62" s="4">
        <f>'Monthly Data'!CD62</f>
        <v>31</v>
      </c>
      <c r="I62" s="24">
        <f>'Monthly Data'!K62</f>
        <v>4193</v>
      </c>
      <c r="K62" s="18">
        <f>'GS&lt;50 Predicted Monthly'!$V$8</f>
        <v>-5601916.4558281703</v>
      </c>
      <c r="L62" s="18">
        <f ca="1">E62*'GS&lt;50 Predicted Monthly'!$V$9</f>
        <v>3432476.2791787665</v>
      </c>
      <c r="M62" s="18">
        <f ca="1">F62*'GS&lt;50 Predicted Monthly'!$V$10</f>
        <v>0</v>
      </c>
      <c r="N62" s="18">
        <f>G62*'GS&lt;50 Predicted Monthly'!$V$11</f>
        <v>0</v>
      </c>
      <c r="O62" s="18">
        <f>H62*'GS&lt;50 Predicted Monthly'!$V$12</f>
        <v>8344206.7499953387</v>
      </c>
      <c r="P62" s="18">
        <f>I62*'GS&lt;50 Predicted Monthly'!$V$13</f>
        <v>6377617.5455108834</v>
      </c>
      <c r="Q62" s="271">
        <f t="shared" ca="1" si="5"/>
        <v>12552384.118856817</v>
      </c>
    </row>
    <row r="63" spans="1:17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Data'!J63</f>
        <v>11320017.388098987</v>
      </c>
      <c r="E63" s="269">
        <f t="shared" ca="1" si="6"/>
        <v>567.65501811594208</v>
      </c>
      <c r="F63" s="269">
        <f t="shared" ca="1" si="6"/>
        <v>0</v>
      </c>
      <c r="G63" s="18">
        <f>'Monthly Data'!CG63</f>
        <v>0</v>
      </c>
      <c r="H63" s="4">
        <f>'Monthly Data'!CD63</f>
        <v>29</v>
      </c>
      <c r="I63" s="24">
        <f>'Monthly Data'!K63</f>
        <v>4199</v>
      </c>
      <c r="K63" s="18">
        <f>'GS&lt;50 Predicted Monthly'!$V$8</f>
        <v>-5601916.4558281703</v>
      </c>
      <c r="L63" s="18">
        <f ca="1">E63*'GS&lt;50 Predicted Monthly'!$V$9</f>
        <v>3066830.7028158205</v>
      </c>
      <c r="M63" s="18">
        <f ca="1">F63*'GS&lt;50 Predicted Monthly'!$V$10</f>
        <v>0</v>
      </c>
      <c r="N63" s="18">
        <f>G63*'GS&lt;50 Predicted Monthly'!$V$11</f>
        <v>0</v>
      </c>
      <c r="O63" s="18">
        <f>H63*'GS&lt;50 Predicted Monthly'!$V$12</f>
        <v>7805870.8306408003</v>
      </c>
      <c r="P63" s="18">
        <f>I63*'GS&lt;50 Predicted Monthly'!$V$13</f>
        <v>6386743.6378726931</v>
      </c>
      <c r="Q63" s="271">
        <f t="shared" ca="1" si="5"/>
        <v>11657528.715501145</v>
      </c>
    </row>
    <row r="64" spans="1:17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Data'!J64</f>
        <v>10567020.275292698</v>
      </c>
      <c r="E64" s="269">
        <f t="shared" ca="1" si="6"/>
        <v>484.13298913043479</v>
      </c>
      <c r="F64" s="269">
        <f t="shared" ca="1" si="6"/>
        <v>0</v>
      </c>
      <c r="G64" s="18">
        <f>'Monthly Data'!CG64</f>
        <v>0.5</v>
      </c>
      <c r="H64" s="4">
        <f>'Monthly Data'!CD64</f>
        <v>31</v>
      </c>
      <c r="I64" s="24">
        <f>'Monthly Data'!K64</f>
        <v>4202</v>
      </c>
      <c r="K64" s="18">
        <f>'GS&lt;50 Predicted Monthly'!$V$8</f>
        <v>-5601916.4558281703</v>
      </c>
      <c r="L64" s="18">
        <f ca="1">E64*'GS&lt;50 Predicted Monthly'!$V$9</f>
        <v>2615591.9844400249</v>
      </c>
      <c r="M64" s="18">
        <f ca="1">F64*'GS&lt;50 Predicted Monthly'!$V$10</f>
        <v>0</v>
      </c>
      <c r="N64" s="18">
        <f>G64*'GS&lt;50 Predicted Monthly'!$V$11</f>
        <v>-781889.76208335499</v>
      </c>
      <c r="O64" s="18">
        <f>H64*'GS&lt;50 Predicted Monthly'!$V$12</f>
        <v>8344206.7499953387</v>
      </c>
      <c r="P64" s="18">
        <f>I64*'GS&lt;50 Predicted Monthly'!$V$13</f>
        <v>6391306.684053597</v>
      </c>
      <c r="Q64" s="271">
        <f t="shared" ca="1" si="5"/>
        <v>10967299.200577434</v>
      </c>
    </row>
    <row r="65" spans="1:17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Data'!J65</f>
        <v>8512616.9184663724</v>
      </c>
      <c r="E65" s="269">
        <f t="shared" ca="1" si="6"/>
        <v>292.81107954545462</v>
      </c>
      <c r="F65" s="269">
        <f t="shared" ca="1" si="6"/>
        <v>2.1908333333333347</v>
      </c>
      <c r="G65" s="18">
        <f>'Monthly Data'!CG65</f>
        <v>1</v>
      </c>
      <c r="H65" s="4">
        <f>'Monthly Data'!CD65</f>
        <v>30</v>
      </c>
      <c r="I65" s="24">
        <f>'Monthly Data'!K65</f>
        <v>4201</v>
      </c>
      <c r="K65" s="18">
        <f>'GS&lt;50 Predicted Monthly'!$V$8</f>
        <v>-5601916.4558281703</v>
      </c>
      <c r="L65" s="18">
        <f ca="1">E65*'GS&lt;50 Predicted Monthly'!$V$9</f>
        <v>1581950.2694702349</v>
      </c>
      <c r="M65" s="18">
        <f ca="1">F65*'GS&lt;50 Predicted Monthly'!$V$10</f>
        <v>27654.961846176375</v>
      </c>
      <c r="N65" s="18">
        <f>G65*'GS&lt;50 Predicted Monthly'!$V$11</f>
        <v>-1563779.52416671</v>
      </c>
      <c r="O65" s="18">
        <f>H65*'GS&lt;50 Predicted Monthly'!$V$12</f>
        <v>8075038.79031807</v>
      </c>
      <c r="P65" s="18">
        <f>I65*'GS&lt;50 Predicted Monthly'!$V$13</f>
        <v>6389785.6686599627</v>
      </c>
      <c r="Q65" s="271">
        <f t="shared" ca="1" si="5"/>
        <v>8908733.7102995627</v>
      </c>
    </row>
    <row r="66" spans="1:17" x14ac:dyDescent="0.25">
      <c r="A66" s="3">
        <f>'Monthly Data'!A66</f>
        <v>43952</v>
      </c>
      <c r="B66" s="1">
        <f t="shared" si="1"/>
        <v>2020</v>
      </c>
      <c r="C66" s="1">
        <f t="shared" si="2"/>
        <v>5</v>
      </c>
      <c r="D66" s="259">
        <f>'Monthly Data'!J66</f>
        <v>8422331.1027372573</v>
      </c>
      <c r="E66" s="269">
        <f t="shared" ca="1" si="6"/>
        <v>103.25939244851259</v>
      </c>
      <c r="F66" s="269">
        <f t="shared" ca="1" si="6"/>
        <v>52.487435064935063</v>
      </c>
      <c r="G66" s="18">
        <f>'Monthly Data'!CG66</f>
        <v>1</v>
      </c>
      <c r="H66" s="4">
        <f>'Monthly Data'!CD66</f>
        <v>31</v>
      </c>
      <c r="I66" s="24">
        <f>'Monthly Data'!K66</f>
        <v>4201</v>
      </c>
      <c r="K66" s="18">
        <f>'GS&lt;50 Predicted Monthly'!$V$8</f>
        <v>-5601916.4558281703</v>
      </c>
      <c r="L66" s="18">
        <f ca="1">E66*'GS&lt;50 Predicted Monthly'!$V$9</f>
        <v>557872.41371752578</v>
      </c>
      <c r="M66" s="18">
        <f ca="1">F66*'GS&lt;50 Predicted Monthly'!$V$10</f>
        <v>662550.63406212477</v>
      </c>
      <c r="N66" s="18">
        <f>G66*'GS&lt;50 Predicted Monthly'!$V$11</f>
        <v>-1563779.52416671</v>
      </c>
      <c r="O66" s="18">
        <f>H66*'GS&lt;50 Predicted Monthly'!$V$12</f>
        <v>8344206.7499953387</v>
      </c>
      <c r="P66" s="18">
        <f>I66*'GS&lt;50 Predicted Monthly'!$V$13</f>
        <v>6389785.6686599627</v>
      </c>
      <c r="Q66" s="271">
        <f t="shared" ref="Q66:Q97" ca="1" si="7">SUM(K66:P66)</f>
        <v>8788719.4864400718</v>
      </c>
    </row>
    <row r="67" spans="1:17" x14ac:dyDescent="0.25">
      <c r="A67" s="3">
        <f>'Monthly Data'!A67</f>
        <v>43983</v>
      </c>
      <c r="B67" s="1">
        <f t="shared" si="1"/>
        <v>2020</v>
      </c>
      <c r="C67" s="1">
        <f t="shared" si="2"/>
        <v>6</v>
      </c>
      <c r="D67" s="259">
        <f>'Monthly Data'!J67</f>
        <v>9420600.9622815214</v>
      </c>
      <c r="E67" s="269">
        <f t="shared" ca="1" si="6"/>
        <v>11.89069871794872</v>
      </c>
      <c r="F67" s="269">
        <f t="shared" ca="1" si="6"/>
        <v>137.65451754405018</v>
      </c>
      <c r="G67" s="18">
        <f>'Monthly Data'!CG67</f>
        <v>0.5</v>
      </c>
      <c r="H67" s="4">
        <f>'Monthly Data'!CD67</f>
        <v>30</v>
      </c>
      <c r="I67" s="24">
        <f>'Monthly Data'!K67</f>
        <v>4205</v>
      </c>
      <c r="K67" s="18">
        <f>'GS&lt;50 Predicted Monthly'!$V$8</f>
        <v>-5601916.4558281703</v>
      </c>
      <c r="L67" s="18">
        <f ca="1">E67*'GS&lt;50 Predicted Monthly'!$V$9</f>
        <v>64241.059697088072</v>
      </c>
      <c r="M67" s="18">
        <f ca="1">F67*'GS&lt;50 Predicted Monthly'!$V$10</f>
        <v>1737617.5415600708</v>
      </c>
      <c r="N67" s="18">
        <f>G67*'GS&lt;50 Predicted Monthly'!$V$11</f>
        <v>-781889.76208335499</v>
      </c>
      <c r="O67" s="18">
        <f>H67*'GS&lt;50 Predicted Monthly'!$V$12</f>
        <v>8075038.79031807</v>
      </c>
      <c r="P67" s="18">
        <f>I67*'GS&lt;50 Predicted Monthly'!$V$13</f>
        <v>6395869.7302345019</v>
      </c>
      <c r="Q67" s="271">
        <f t="shared" ca="1" si="7"/>
        <v>9888960.9038982056</v>
      </c>
    </row>
    <row r="68" spans="1:17" x14ac:dyDescent="0.25">
      <c r="A68" s="3">
        <f>'Monthly Data'!A68</f>
        <v>44013</v>
      </c>
      <c r="B68" s="1">
        <f t="shared" si="1"/>
        <v>2020</v>
      </c>
      <c r="C68" s="1">
        <f t="shared" si="2"/>
        <v>7</v>
      </c>
      <c r="D68" s="259">
        <f>'Monthly Data'!J68</f>
        <v>11675848.915550508</v>
      </c>
      <c r="E68" s="269">
        <f t="shared" ca="1" si="6"/>
        <v>7.4583333333333002E-2</v>
      </c>
      <c r="F68" s="269">
        <f t="shared" ca="1" si="6"/>
        <v>235.94737858727848</v>
      </c>
      <c r="G68" s="18">
        <f>'Monthly Data'!CG68</f>
        <v>0.5</v>
      </c>
      <c r="H68" s="4">
        <f>'Monthly Data'!CD68</f>
        <v>31</v>
      </c>
      <c r="I68" s="24">
        <f>'Monthly Data'!K68</f>
        <v>4208</v>
      </c>
      <c r="K68" s="18">
        <f>'GS&lt;50 Predicted Monthly'!$V$8</f>
        <v>-5601916.4558281703</v>
      </c>
      <c r="L68" s="18">
        <f ca="1">E68*'GS&lt;50 Predicted Monthly'!$V$9</f>
        <v>402.94624249810443</v>
      </c>
      <c r="M68" s="18">
        <f ca="1">F68*'GS&lt;50 Predicted Monthly'!$V$10</f>
        <v>2978371.5873122169</v>
      </c>
      <c r="N68" s="18">
        <f>G68*'GS&lt;50 Predicted Monthly'!$V$11</f>
        <v>-781889.76208335499</v>
      </c>
      <c r="O68" s="18">
        <f>H68*'GS&lt;50 Predicted Monthly'!$V$12</f>
        <v>8344206.7499953387</v>
      </c>
      <c r="P68" s="18">
        <f>I68*'GS&lt;50 Predicted Monthly'!$V$13</f>
        <v>6400432.7764154067</v>
      </c>
      <c r="Q68" s="271">
        <f t="shared" ca="1" si="7"/>
        <v>11339607.842053935</v>
      </c>
    </row>
    <row r="69" spans="1:17" x14ac:dyDescent="0.25">
      <c r="A69" s="3">
        <f>'Monthly Data'!A69</f>
        <v>44044</v>
      </c>
      <c r="B69" s="1">
        <f t="shared" si="1"/>
        <v>2020</v>
      </c>
      <c r="C69" s="1">
        <f t="shared" si="2"/>
        <v>8</v>
      </c>
      <c r="D69" s="259">
        <f>'Monthly Data'!J69</f>
        <v>10788969.833497668</v>
      </c>
      <c r="E69" s="269">
        <f t="shared" ca="1" si="6"/>
        <v>0.75041666666666718</v>
      </c>
      <c r="F69" s="269">
        <f t="shared" ca="1" si="6"/>
        <v>210.96558794466404</v>
      </c>
      <c r="G69" s="18">
        <f>'Monthly Data'!CG69</f>
        <v>0.5</v>
      </c>
      <c r="H69" s="4">
        <f>'Monthly Data'!CD69</f>
        <v>31</v>
      </c>
      <c r="I69" s="24">
        <f>'Monthly Data'!K69</f>
        <v>4205</v>
      </c>
      <c r="K69" s="18">
        <f>'GS&lt;50 Predicted Monthly'!$V$8</f>
        <v>-5601916.4558281703</v>
      </c>
      <c r="L69" s="18">
        <f ca="1">E69*'GS&lt;50 Predicted Monthly'!$V$9</f>
        <v>4054.2244845759205</v>
      </c>
      <c r="M69" s="18">
        <f ca="1">F69*'GS&lt;50 Predicted Monthly'!$V$10</f>
        <v>2663025.615275396</v>
      </c>
      <c r="N69" s="18">
        <f>G69*'GS&lt;50 Predicted Monthly'!$V$11</f>
        <v>-781889.76208335499</v>
      </c>
      <c r="O69" s="18">
        <f>H69*'GS&lt;50 Predicted Monthly'!$V$12</f>
        <v>8344206.7499953387</v>
      </c>
      <c r="P69" s="18">
        <f>I69*'GS&lt;50 Predicted Monthly'!$V$13</f>
        <v>6395869.7302345019</v>
      </c>
      <c r="Q69" s="271">
        <f t="shared" ca="1" si="7"/>
        <v>11023350.102078287</v>
      </c>
    </row>
    <row r="70" spans="1:17" x14ac:dyDescent="0.25">
      <c r="A70" s="3">
        <f>'Monthly Data'!A70</f>
        <v>44075</v>
      </c>
      <c r="B70" s="1">
        <f t="shared" ref="B70:B85" si="8">YEAR(A70)</f>
        <v>2020</v>
      </c>
      <c r="C70" s="1">
        <f t="shared" ref="C70:C85" si="9">MONTH(A70)</f>
        <v>9</v>
      </c>
      <c r="D70" s="259">
        <f>'Monthly Data'!J70</f>
        <v>9145054.428370472</v>
      </c>
      <c r="E70" s="269">
        <f t="shared" ca="1" si="6"/>
        <v>26.342536231884061</v>
      </c>
      <c r="F70" s="269">
        <f t="shared" ca="1" si="6"/>
        <v>106.4160119047619</v>
      </c>
      <c r="G70" s="18">
        <f>'Monthly Data'!CG70</f>
        <v>0.5</v>
      </c>
      <c r="H70" s="4">
        <f>'Monthly Data'!CD70</f>
        <v>30</v>
      </c>
      <c r="I70" s="24">
        <f>'Monthly Data'!K70</f>
        <v>4229</v>
      </c>
      <c r="K70" s="18">
        <f>'GS&lt;50 Predicted Monthly'!$V$8</f>
        <v>-5601916.4558281703</v>
      </c>
      <c r="L70" s="18">
        <f ca="1">E70*'GS&lt;50 Predicted Monthly'!$V$9</f>
        <v>142319.00772077637</v>
      </c>
      <c r="M70" s="18">
        <f ca="1">F70*'GS&lt;50 Predicted Monthly'!$V$10</f>
        <v>1343292.848557675</v>
      </c>
      <c r="N70" s="18">
        <f>G70*'GS&lt;50 Predicted Monthly'!$V$11</f>
        <v>-781889.76208335499</v>
      </c>
      <c r="O70" s="18">
        <f>H70*'GS&lt;50 Predicted Monthly'!$V$12</f>
        <v>8075038.79031807</v>
      </c>
      <c r="P70" s="18">
        <f>I70*'GS&lt;50 Predicted Monthly'!$V$13</f>
        <v>6432374.0996817378</v>
      </c>
      <c r="Q70" s="271">
        <f t="shared" ca="1" si="7"/>
        <v>9609218.5283667333</v>
      </c>
    </row>
    <row r="71" spans="1:17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6"/>
        <v>181.36347826086953</v>
      </c>
      <c r="F71" s="269">
        <f t="shared" ca="1" si="6"/>
        <v>17.987083333333334</v>
      </c>
      <c r="G71" s="18">
        <f>'Monthly Data'!CG71</f>
        <v>0.5</v>
      </c>
      <c r="H71" s="4">
        <f>'Monthly Data'!CD71</f>
        <v>31</v>
      </c>
      <c r="I71" s="24">
        <f>'Monthly Data'!K71</f>
        <v>4208</v>
      </c>
      <c r="K71" s="18">
        <f>'GS&lt;50 Predicted Monthly'!$V$8</f>
        <v>-5601916.4558281703</v>
      </c>
      <c r="L71" s="18">
        <f ca="1">E71*'GS&lt;50 Predicted Monthly'!$V$9</f>
        <v>979839.98335111968</v>
      </c>
      <c r="M71" s="18">
        <f ca="1">F71*'GS&lt;50 Predicted Monthly'!$V$10</f>
        <v>227051.54962677584</v>
      </c>
      <c r="N71" s="18">
        <f>G71*'GS&lt;50 Predicted Monthly'!$V$11</f>
        <v>-781889.76208335499</v>
      </c>
      <c r="O71" s="18">
        <f>H71*'GS&lt;50 Predicted Monthly'!$V$12</f>
        <v>8344206.7499953387</v>
      </c>
      <c r="P71" s="18">
        <f>I71*'GS&lt;50 Predicted Monthly'!$V$13</f>
        <v>6400432.7764154067</v>
      </c>
      <c r="Q71" s="271">
        <f t="shared" ca="1" si="7"/>
        <v>9567724.8414771147</v>
      </c>
    </row>
    <row r="72" spans="1:17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6"/>
        <v>366.78033055712399</v>
      </c>
      <c r="F72" s="269">
        <f t="shared" ca="1" si="6"/>
        <v>0.8083333333333329</v>
      </c>
      <c r="G72" s="18">
        <f>'Monthly Data'!CG72</f>
        <v>0.5</v>
      </c>
      <c r="H72" s="4">
        <f>'Monthly Data'!CD72</f>
        <v>30</v>
      </c>
      <c r="I72" s="24">
        <f>'Monthly Data'!K72</f>
        <v>4241</v>
      </c>
      <c r="K72" s="18">
        <f>'GS&lt;50 Predicted Monthly'!$V$8</f>
        <v>-5601916.4558281703</v>
      </c>
      <c r="L72" s="18">
        <f ca="1">E72*'GS&lt;50 Predicted Monthly'!$V$9</f>
        <v>1981578.8516675723</v>
      </c>
      <c r="M72" s="18">
        <f ca="1">F72*'GS&lt;50 Predicted Monthly'!$V$10</f>
        <v>10203.618482613561</v>
      </c>
      <c r="N72" s="18">
        <f>G72*'GS&lt;50 Predicted Monthly'!$V$11</f>
        <v>-781889.76208335499</v>
      </c>
      <c r="O72" s="18">
        <f>H72*'GS&lt;50 Predicted Monthly'!$V$12</f>
        <v>8075038.79031807</v>
      </c>
      <c r="P72" s="18">
        <f>I72*'GS&lt;50 Predicted Monthly'!$V$13</f>
        <v>6450626.2844053563</v>
      </c>
      <c r="Q72" s="271">
        <f t="shared" ca="1" si="7"/>
        <v>10133641.326962087</v>
      </c>
    </row>
    <row r="73" spans="1:17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6"/>
        <v>515.92800724637686</v>
      </c>
      <c r="F73" s="269">
        <f t="shared" ca="1" si="6"/>
        <v>0</v>
      </c>
      <c r="G73" s="18">
        <f>'Monthly Data'!CG73</f>
        <v>0.5</v>
      </c>
      <c r="H73" s="4">
        <f>'Monthly Data'!CD73</f>
        <v>31</v>
      </c>
      <c r="I73" s="24">
        <f>'Monthly Data'!K73</f>
        <v>4248</v>
      </c>
      <c r="K73" s="18">
        <f>'GS&lt;50 Predicted Monthly'!$V$8</f>
        <v>-5601916.4558281703</v>
      </c>
      <c r="L73" s="18">
        <f ca="1">E73*'GS&lt;50 Predicted Monthly'!$V$9</f>
        <v>2787368.740819619</v>
      </c>
      <c r="M73" s="18">
        <f ca="1">F73*'GS&lt;50 Predicted Monthly'!$V$10</f>
        <v>0</v>
      </c>
      <c r="N73" s="18">
        <f>G73*'GS&lt;50 Predicted Monthly'!$V$11</f>
        <v>-781889.76208335499</v>
      </c>
      <c r="O73" s="18">
        <f>H73*'GS&lt;50 Predicted Monthly'!$V$12</f>
        <v>8344206.7499953387</v>
      </c>
      <c r="P73" s="18">
        <f>I73*'GS&lt;50 Predicted Monthly'!$V$13</f>
        <v>6461273.3921608003</v>
      </c>
      <c r="Q73" s="271">
        <f t="shared" ca="1" si="7"/>
        <v>11209042.665064234</v>
      </c>
    </row>
    <row r="74" spans="1:17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 ca="1">'Monthly Data'!J74</f>
        <v>10763346.682415618</v>
      </c>
      <c r="E74" s="269">
        <f t="shared" ref="E74:F93" ca="1" si="10">E62</f>
        <v>635.33418478260876</v>
      </c>
      <c r="F74" s="269">
        <f t="shared" ca="1" si="10"/>
        <v>0</v>
      </c>
      <c r="G74" s="18">
        <f>'Monthly Data'!CG74</f>
        <v>0.5</v>
      </c>
      <c r="H74" s="4">
        <f>'Monthly Data'!CD74</f>
        <v>31</v>
      </c>
      <c r="I74" s="24">
        <f>'Monthly Data'!K74</f>
        <v>4251</v>
      </c>
      <c r="K74" s="18">
        <f>'GS&lt;50 Predicted Monthly'!$V$8</f>
        <v>-5601916.4558281703</v>
      </c>
      <c r="L74" s="18">
        <f ca="1">E74*'GS&lt;50 Predicted Monthly'!$V$9</f>
        <v>3432476.2791787665</v>
      </c>
      <c r="M74" s="18">
        <f ca="1">F74*'GS&lt;50 Predicted Monthly'!$V$10</f>
        <v>0</v>
      </c>
      <c r="N74" s="18">
        <f>G74*'GS&lt;50 Predicted Monthly'!$V$11</f>
        <v>-781889.76208335499</v>
      </c>
      <c r="O74" s="18">
        <f>H74*'GS&lt;50 Predicted Monthly'!$V$12</f>
        <v>8344206.7499953387</v>
      </c>
      <c r="P74" s="18">
        <f>I74*'GS&lt;50 Predicted Monthly'!$V$13</f>
        <v>6465836.4383417042</v>
      </c>
      <c r="Q74" s="271">
        <f t="shared" ca="1" si="7"/>
        <v>11858713.249604285</v>
      </c>
    </row>
    <row r="75" spans="1:17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 ca="1"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18">
        <f>'Monthly Data'!CG75</f>
        <v>0.5</v>
      </c>
      <c r="H75" s="4">
        <f>'Monthly Data'!CD75</f>
        <v>28</v>
      </c>
      <c r="I75" s="24">
        <f>'Monthly Data'!K75</f>
        <v>4260</v>
      </c>
      <c r="K75" s="18">
        <f>'GS&lt;50 Predicted Monthly'!$V$8</f>
        <v>-5601916.4558281703</v>
      </c>
      <c r="L75" s="18">
        <f ca="1">E75*'GS&lt;50 Predicted Monthly'!$V$9</f>
        <v>3066830.7028158205</v>
      </c>
      <c r="M75" s="18">
        <f ca="1">F75*'GS&lt;50 Predicted Monthly'!$V$10</f>
        <v>0</v>
      </c>
      <c r="N75" s="18">
        <f>G75*'GS&lt;50 Predicted Monthly'!$V$11</f>
        <v>-781889.76208335499</v>
      </c>
      <c r="O75" s="18">
        <f>H75*'GS&lt;50 Predicted Monthly'!$V$12</f>
        <v>7536702.8709635315</v>
      </c>
      <c r="P75" s="18">
        <f>I75*'GS&lt;50 Predicted Monthly'!$V$13</f>
        <v>6479525.5768844178</v>
      </c>
      <c r="Q75" s="271">
        <f t="shared" ca="1" si="7"/>
        <v>10699252.932752244</v>
      </c>
    </row>
    <row r="76" spans="1:17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 ca="1"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18">
        <f>'Monthly Data'!CG76</f>
        <v>0.5</v>
      </c>
      <c r="H76" s="4">
        <f>'Monthly Data'!CD76</f>
        <v>31</v>
      </c>
      <c r="I76" s="24">
        <f>'Monthly Data'!K76</f>
        <v>4267</v>
      </c>
      <c r="K76" s="18">
        <f>'GS&lt;50 Predicted Monthly'!$V$8</f>
        <v>-5601916.4558281703</v>
      </c>
      <c r="L76" s="18">
        <f ca="1">E76*'GS&lt;50 Predicted Monthly'!$V$9</f>
        <v>2615591.9844400249</v>
      </c>
      <c r="M76" s="18">
        <f ca="1">F76*'GS&lt;50 Predicted Monthly'!$V$10</f>
        <v>0</v>
      </c>
      <c r="N76" s="18">
        <f>G76*'GS&lt;50 Predicted Monthly'!$V$11</f>
        <v>-781889.76208335499</v>
      </c>
      <c r="O76" s="18">
        <f>H76*'GS&lt;50 Predicted Monthly'!$V$12</f>
        <v>8344206.7499953387</v>
      </c>
      <c r="P76" s="18">
        <f>I76*'GS&lt;50 Predicted Monthly'!$V$13</f>
        <v>6490172.6846398618</v>
      </c>
      <c r="Q76" s="271">
        <f t="shared" ca="1" si="7"/>
        <v>11066165.2011637</v>
      </c>
    </row>
    <row r="77" spans="1:17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 ca="1"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18">
        <f>'Monthly Data'!CG77</f>
        <v>0.5</v>
      </c>
      <c r="H77" s="4">
        <f>'Monthly Data'!CD77</f>
        <v>30</v>
      </c>
      <c r="I77" s="24">
        <f>'Monthly Data'!K77</f>
        <v>4264</v>
      </c>
      <c r="K77" s="18">
        <f>'GS&lt;50 Predicted Monthly'!$V$8</f>
        <v>-5601916.4558281703</v>
      </c>
      <c r="L77" s="18">
        <f ca="1">E77*'GS&lt;50 Predicted Monthly'!$V$9</f>
        <v>1581950.2694702349</v>
      </c>
      <c r="M77" s="18">
        <f ca="1">F77*'GS&lt;50 Predicted Monthly'!$V$10</f>
        <v>27654.961846176375</v>
      </c>
      <c r="N77" s="18">
        <f>G77*'GS&lt;50 Predicted Monthly'!$V$11</f>
        <v>-781889.76208335499</v>
      </c>
      <c r="O77" s="18">
        <f>H77*'GS&lt;50 Predicted Monthly'!$V$12</f>
        <v>8075038.79031807</v>
      </c>
      <c r="P77" s="18">
        <f>I77*'GS&lt;50 Predicted Monthly'!$V$13</f>
        <v>6485609.6384589579</v>
      </c>
      <c r="Q77" s="271">
        <f t="shared" ca="1" si="7"/>
        <v>9786447.442181915</v>
      </c>
    </row>
    <row r="78" spans="1:17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 ca="1"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18">
        <f>'Monthly Data'!CG78</f>
        <v>0.5</v>
      </c>
      <c r="H78" s="4">
        <f>'Monthly Data'!CD78</f>
        <v>31</v>
      </c>
      <c r="I78" s="24">
        <f>'Monthly Data'!K78</f>
        <v>4268</v>
      </c>
      <c r="K78" s="18">
        <f>'GS&lt;50 Predicted Monthly'!$V$8</f>
        <v>-5601916.4558281703</v>
      </c>
      <c r="L78" s="18">
        <f ca="1">E78*'GS&lt;50 Predicted Monthly'!$V$9</f>
        <v>557872.41371752578</v>
      </c>
      <c r="M78" s="18">
        <f ca="1">F78*'GS&lt;50 Predicted Monthly'!$V$10</f>
        <v>662550.63406212477</v>
      </c>
      <c r="N78" s="18">
        <f>G78*'GS&lt;50 Predicted Monthly'!$V$11</f>
        <v>-781889.76208335499</v>
      </c>
      <c r="O78" s="18">
        <f>H78*'GS&lt;50 Predicted Monthly'!$V$12</f>
        <v>8344206.7499953387</v>
      </c>
      <c r="P78" s="18">
        <f>I78*'GS&lt;50 Predicted Monthly'!$V$13</f>
        <v>6491693.7000334971</v>
      </c>
      <c r="Q78" s="271">
        <f t="shared" ca="1" si="7"/>
        <v>9672517.2798969597</v>
      </c>
    </row>
    <row r="79" spans="1:17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 ca="1"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18">
        <f>'Monthly Data'!CG79</f>
        <v>0.5</v>
      </c>
      <c r="H79" s="4">
        <f>'Monthly Data'!CD79</f>
        <v>30</v>
      </c>
      <c r="I79" s="24">
        <f>'Monthly Data'!K79</f>
        <v>4270</v>
      </c>
      <c r="K79" s="18">
        <f>'GS&lt;50 Predicted Monthly'!$V$8</f>
        <v>-5601916.4558281703</v>
      </c>
      <c r="L79" s="18">
        <f ca="1">E79*'GS&lt;50 Predicted Monthly'!$V$9</f>
        <v>64241.059697088072</v>
      </c>
      <c r="M79" s="18">
        <f ca="1">F79*'GS&lt;50 Predicted Monthly'!$V$10</f>
        <v>1737617.5415600708</v>
      </c>
      <c r="N79" s="18">
        <f>G79*'GS&lt;50 Predicted Monthly'!$V$11</f>
        <v>-781889.76208335499</v>
      </c>
      <c r="O79" s="18">
        <f>H79*'GS&lt;50 Predicted Monthly'!$V$12</f>
        <v>8075038.79031807</v>
      </c>
      <c r="P79" s="18">
        <f>I79*'GS&lt;50 Predicted Monthly'!$V$13</f>
        <v>6494735.7308207667</v>
      </c>
      <c r="Q79" s="271">
        <f t="shared" ca="1" si="7"/>
        <v>9987826.9044844694</v>
      </c>
    </row>
    <row r="80" spans="1:17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 ca="1"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18">
        <f>'Monthly Data'!CG80</f>
        <v>0.5</v>
      </c>
      <c r="H80" s="4">
        <f>'Monthly Data'!CD80</f>
        <v>31</v>
      </c>
      <c r="I80" s="24">
        <f>'Monthly Data'!K80</f>
        <v>4273</v>
      </c>
      <c r="K80" s="18">
        <f>'GS&lt;50 Predicted Monthly'!$V$8</f>
        <v>-5601916.4558281703</v>
      </c>
      <c r="L80" s="18">
        <f ca="1">E80*'GS&lt;50 Predicted Monthly'!$V$9</f>
        <v>402.94624249810443</v>
      </c>
      <c r="M80" s="18">
        <f ca="1">F80*'GS&lt;50 Predicted Monthly'!$V$10</f>
        <v>2978371.5873122169</v>
      </c>
      <c r="N80" s="18">
        <f>G80*'GS&lt;50 Predicted Monthly'!$V$11</f>
        <v>-781889.76208335499</v>
      </c>
      <c r="O80" s="18">
        <f>H80*'GS&lt;50 Predicted Monthly'!$V$12</f>
        <v>8344206.7499953387</v>
      </c>
      <c r="P80" s="18">
        <f>I80*'GS&lt;50 Predicted Monthly'!$V$13</f>
        <v>6499298.7770016715</v>
      </c>
      <c r="Q80" s="271">
        <f t="shared" ca="1" si="7"/>
        <v>11438473.842640201</v>
      </c>
    </row>
    <row r="81" spans="1:17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 ca="1"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18">
        <f>'Monthly Data'!CG81</f>
        <v>0.5</v>
      </c>
      <c r="H81" s="4">
        <f>'Monthly Data'!CD81</f>
        <v>31</v>
      </c>
      <c r="I81" s="24">
        <f>'Monthly Data'!K81</f>
        <v>4277</v>
      </c>
      <c r="K81" s="18">
        <f>'GS&lt;50 Predicted Monthly'!$V$8</f>
        <v>-5601916.4558281703</v>
      </c>
      <c r="L81" s="18">
        <f ca="1">E81*'GS&lt;50 Predicted Monthly'!$V$9</f>
        <v>4054.2244845759205</v>
      </c>
      <c r="M81" s="18">
        <f ca="1">F81*'GS&lt;50 Predicted Monthly'!$V$10</f>
        <v>2663025.615275396</v>
      </c>
      <c r="N81" s="18">
        <f>G81*'GS&lt;50 Predicted Monthly'!$V$11</f>
        <v>-781889.76208335499</v>
      </c>
      <c r="O81" s="18">
        <f>H81*'GS&lt;50 Predicted Monthly'!$V$12</f>
        <v>8344206.7499953387</v>
      </c>
      <c r="P81" s="18">
        <f>I81*'GS&lt;50 Predicted Monthly'!$V$13</f>
        <v>6505382.8385762107</v>
      </c>
      <c r="Q81" s="271">
        <f t="shared" ca="1" si="7"/>
        <v>11132863.210419996</v>
      </c>
    </row>
    <row r="82" spans="1:17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 ca="1">'Monthly Data'!J82</f>
        <v>9946552.9282091726</v>
      </c>
      <c r="E82" s="269">
        <f t="shared" ca="1" si="10"/>
        <v>26.342536231884061</v>
      </c>
      <c r="F82" s="269">
        <f t="shared" ca="1" si="10"/>
        <v>106.4160119047619</v>
      </c>
      <c r="G82" s="18">
        <f>'Monthly Data'!CG82</f>
        <v>0.5</v>
      </c>
      <c r="H82" s="4">
        <f>'Monthly Data'!CD82</f>
        <v>30</v>
      </c>
      <c r="I82" s="24">
        <f>'Monthly Data'!K82</f>
        <v>4283</v>
      </c>
      <c r="K82" s="18">
        <f>'GS&lt;50 Predicted Monthly'!$V$8</f>
        <v>-5601916.4558281703</v>
      </c>
      <c r="L82" s="18">
        <f ca="1">E82*'GS&lt;50 Predicted Monthly'!$V$9</f>
        <v>142319.00772077637</v>
      </c>
      <c r="M82" s="18">
        <f ca="1">F82*'GS&lt;50 Predicted Monthly'!$V$10</f>
        <v>1343292.848557675</v>
      </c>
      <c r="N82" s="18">
        <f>G82*'GS&lt;50 Predicted Monthly'!$V$11</f>
        <v>-781889.76208335499</v>
      </c>
      <c r="O82" s="18">
        <f>H82*'GS&lt;50 Predicted Monthly'!$V$12</f>
        <v>8075038.79031807</v>
      </c>
      <c r="P82" s="18">
        <f>I82*'GS&lt;50 Predicted Monthly'!$V$13</f>
        <v>6514508.9309380194</v>
      </c>
      <c r="Q82" s="271">
        <f t="shared" ca="1" si="7"/>
        <v>9691353.3596230149</v>
      </c>
    </row>
    <row r="83" spans="1:17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 ca="1">'Monthly Data'!J83</f>
        <v>9633925.5435520504</v>
      </c>
      <c r="E83" s="269">
        <f t="shared" ca="1" si="10"/>
        <v>181.36347826086953</v>
      </c>
      <c r="F83" s="269">
        <f t="shared" ca="1" si="10"/>
        <v>17.987083333333334</v>
      </c>
      <c r="G83" s="18">
        <f>'Monthly Data'!CG83</f>
        <v>0.5</v>
      </c>
      <c r="H83" s="4">
        <f>'Monthly Data'!CD83</f>
        <v>31</v>
      </c>
      <c r="I83" s="24">
        <f>'Monthly Data'!K83</f>
        <v>4282</v>
      </c>
      <c r="K83" s="18">
        <f>'GS&lt;50 Predicted Monthly'!$V$8</f>
        <v>-5601916.4558281703</v>
      </c>
      <c r="L83" s="18">
        <f ca="1">E83*'GS&lt;50 Predicted Monthly'!$V$9</f>
        <v>979839.98335111968</v>
      </c>
      <c r="M83" s="18">
        <f ca="1">F83*'GS&lt;50 Predicted Monthly'!$V$10</f>
        <v>227051.54962677584</v>
      </c>
      <c r="N83" s="18">
        <f>G83*'GS&lt;50 Predicted Monthly'!$V$11</f>
        <v>-781889.76208335499</v>
      </c>
      <c r="O83" s="18">
        <f>H83*'GS&lt;50 Predicted Monthly'!$V$12</f>
        <v>8344206.7499953387</v>
      </c>
      <c r="P83" s="18">
        <f>I83*'GS&lt;50 Predicted Monthly'!$V$13</f>
        <v>6512987.9155443842</v>
      </c>
      <c r="Q83" s="271">
        <f t="shared" ca="1" si="7"/>
        <v>9680279.980606094</v>
      </c>
    </row>
    <row r="84" spans="1:17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 ca="1">'Monthly Data'!J84</f>
        <v>10325575.805831861</v>
      </c>
      <c r="E84" s="269">
        <f t="shared" ca="1" si="10"/>
        <v>366.78033055712399</v>
      </c>
      <c r="F84" s="269">
        <f t="shared" ca="1" si="10"/>
        <v>0.8083333333333329</v>
      </c>
      <c r="G84" s="18">
        <f>'Monthly Data'!CG84</f>
        <v>0.5</v>
      </c>
      <c r="H84" s="4">
        <f>'Monthly Data'!CD84</f>
        <v>30</v>
      </c>
      <c r="I84" s="24">
        <f>'Monthly Data'!K84</f>
        <v>4281</v>
      </c>
      <c r="K84" s="18">
        <f>'GS&lt;50 Predicted Monthly'!$V$8</f>
        <v>-5601916.4558281703</v>
      </c>
      <c r="L84" s="18">
        <f ca="1">E84*'GS&lt;50 Predicted Monthly'!$V$9</f>
        <v>1981578.8516675723</v>
      </c>
      <c r="M84" s="18">
        <f ca="1">F84*'GS&lt;50 Predicted Monthly'!$V$10</f>
        <v>10203.618482613561</v>
      </c>
      <c r="N84" s="18">
        <f>G84*'GS&lt;50 Predicted Monthly'!$V$11</f>
        <v>-781889.76208335499</v>
      </c>
      <c r="O84" s="18">
        <f>H84*'GS&lt;50 Predicted Monthly'!$V$12</f>
        <v>8075038.79031807</v>
      </c>
      <c r="P84" s="18">
        <f>I84*'GS&lt;50 Predicted Monthly'!$V$13</f>
        <v>6511466.9001507498</v>
      </c>
      <c r="Q84" s="271">
        <f t="shared" ca="1" si="7"/>
        <v>10194481.942707479</v>
      </c>
    </row>
    <row r="85" spans="1:17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 ca="1">'Monthly Data'!J85</f>
        <v>12083532.655526424</v>
      </c>
      <c r="E85" s="269">
        <f t="shared" ca="1" si="10"/>
        <v>515.92800724637686</v>
      </c>
      <c r="F85" s="269">
        <f t="shared" ca="1" si="10"/>
        <v>0</v>
      </c>
      <c r="G85" s="18">
        <f>'Monthly Data'!CG85</f>
        <v>0.5</v>
      </c>
      <c r="H85" s="4">
        <f>'Monthly Data'!CD85</f>
        <v>31</v>
      </c>
      <c r="I85" s="24">
        <f>'Monthly Data'!K85</f>
        <v>4277</v>
      </c>
      <c r="K85" s="18">
        <f>'GS&lt;50 Predicted Monthly'!$V$8</f>
        <v>-5601916.4558281703</v>
      </c>
      <c r="L85" s="18">
        <f ca="1">E85*'GS&lt;50 Predicted Monthly'!$V$9</f>
        <v>2787368.740819619</v>
      </c>
      <c r="M85" s="18">
        <f ca="1">F85*'GS&lt;50 Predicted Monthly'!$V$10</f>
        <v>0</v>
      </c>
      <c r="N85" s="18">
        <f>G85*'GS&lt;50 Predicted Monthly'!$V$11</f>
        <v>-781889.76208335499</v>
      </c>
      <c r="O85" s="18">
        <f>H85*'GS&lt;50 Predicted Monthly'!$V$12</f>
        <v>8344206.7499953387</v>
      </c>
      <c r="P85" s="18">
        <f>I85*'GS&lt;50 Predicted Monthly'!$V$13</f>
        <v>6505382.8385762107</v>
      </c>
      <c r="Q85" s="271">
        <f t="shared" ca="1" si="7"/>
        <v>11253152.111479644</v>
      </c>
    </row>
    <row r="86" spans="1:17" x14ac:dyDescent="0.25">
      <c r="A86" s="3">
        <f>'Monthly Data'!A86</f>
        <v>44562</v>
      </c>
      <c r="B86" s="1">
        <f t="shared" ref="B86:B145" si="11">YEAR(A86)</f>
        <v>2022</v>
      </c>
      <c r="C86" s="1">
        <f t="shared" ref="C86:C145" si="12">MONTH(A86)</f>
        <v>1</v>
      </c>
      <c r="D86" s="259">
        <f ca="1">'Monthly Data'!J86</f>
        <v>12661457.120738978</v>
      </c>
      <c r="E86" s="269">
        <f t="shared" ca="1" si="10"/>
        <v>635.33418478260876</v>
      </c>
      <c r="F86" s="269">
        <f t="shared" ca="1" si="10"/>
        <v>0</v>
      </c>
      <c r="G86" s="18">
        <f>'Monthly Data'!CG86</f>
        <v>0.25</v>
      </c>
      <c r="H86" s="4">
        <f>'Monthly Data'!CD86</f>
        <v>31</v>
      </c>
      <c r="I86" s="24">
        <f>'Monthly Data'!K86</f>
        <v>4288</v>
      </c>
      <c r="K86" s="18">
        <f>'GS&lt;50 Predicted Monthly'!$V$8</f>
        <v>-5601916.4558281703</v>
      </c>
      <c r="L86" s="18">
        <f ca="1">E86*'GS&lt;50 Predicted Monthly'!$V$9</f>
        <v>3432476.2791787665</v>
      </c>
      <c r="M86" s="18">
        <f ca="1">F86*'GS&lt;50 Predicted Monthly'!$V$10</f>
        <v>0</v>
      </c>
      <c r="N86" s="18">
        <f>G86*'GS&lt;50 Predicted Monthly'!$V$11</f>
        <v>-390944.88104167749</v>
      </c>
      <c r="O86" s="18">
        <f>H86*'GS&lt;50 Predicted Monthly'!$V$12</f>
        <v>8344206.7499953387</v>
      </c>
      <c r="P86" s="18">
        <f>I86*'GS&lt;50 Predicted Monthly'!$V$13</f>
        <v>6522114.0079061938</v>
      </c>
      <c r="Q86" s="271">
        <f t="shared" ca="1" si="7"/>
        <v>12305935.700210452</v>
      </c>
    </row>
    <row r="87" spans="1:17" x14ac:dyDescent="0.25">
      <c r="A87" s="3">
        <f>'Monthly Data'!A87</f>
        <v>44593</v>
      </c>
      <c r="B87" s="1">
        <f t="shared" si="11"/>
        <v>2022</v>
      </c>
      <c r="C87" s="1">
        <f t="shared" si="12"/>
        <v>2</v>
      </c>
      <c r="D87" s="259">
        <f ca="1">'Monthly Data'!J87</f>
        <v>11636323.473382473</v>
      </c>
      <c r="E87" s="269">
        <f t="shared" ca="1" si="10"/>
        <v>567.65501811594208</v>
      </c>
      <c r="F87" s="269">
        <f t="shared" ca="1" si="10"/>
        <v>0</v>
      </c>
      <c r="G87" s="18">
        <f>'Monthly Data'!CG87</f>
        <v>0.25</v>
      </c>
      <c r="H87" s="4">
        <f>'Monthly Data'!CD87</f>
        <v>28</v>
      </c>
      <c r="I87" s="24">
        <f>'Monthly Data'!K87</f>
        <v>4294</v>
      </c>
      <c r="K87" s="18">
        <f>'GS&lt;50 Predicted Monthly'!$V$8</f>
        <v>-5601916.4558281703</v>
      </c>
      <c r="L87" s="18">
        <f ca="1">E87*'GS&lt;50 Predicted Monthly'!$V$9</f>
        <v>3066830.7028158205</v>
      </c>
      <c r="M87" s="18">
        <f ca="1">F87*'GS&lt;50 Predicted Monthly'!$V$10</f>
        <v>0</v>
      </c>
      <c r="N87" s="18">
        <f>G87*'GS&lt;50 Predicted Monthly'!$V$11</f>
        <v>-390944.88104167749</v>
      </c>
      <c r="O87" s="18">
        <f>H87*'GS&lt;50 Predicted Monthly'!$V$12</f>
        <v>7536702.8709635315</v>
      </c>
      <c r="P87" s="18">
        <f>I87*'GS&lt;50 Predicted Monthly'!$V$13</f>
        <v>6531240.1002680026</v>
      </c>
      <c r="Q87" s="271">
        <f t="shared" ca="1" si="7"/>
        <v>11141912.337177508</v>
      </c>
    </row>
    <row r="88" spans="1:17" x14ac:dyDescent="0.25">
      <c r="A88" s="3">
        <f>'Monthly Data'!A88</f>
        <v>44621</v>
      </c>
      <c r="B88" s="1">
        <f t="shared" si="11"/>
        <v>2022</v>
      </c>
      <c r="C88" s="1">
        <f t="shared" si="12"/>
        <v>3</v>
      </c>
      <c r="D88" s="259">
        <f ca="1">'Monthly Data'!J88</f>
        <v>11910788.05307324</v>
      </c>
      <c r="E88" s="269">
        <f t="shared" ca="1" si="10"/>
        <v>484.13298913043479</v>
      </c>
      <c r="F88" s="269">
        <f t="shared" ca="1" si="10"/>
        <v>0</v>
      </c>
      <c r="G88" s="18">
        <f>'Monthly Data'!CG88</f>
        <v>0.25</v>
      </c>
      <c r="H88" s="4">
        <f>'Monthly Data'!CD88</f>
        <v>31</v>
      </c>
      <c r="I88" s="24">
        <f>'Monthly Data'!K88</f>
        <v>4283</v>
      </c>
      <c r="K88" s="18">
        <f>'GS&lt;50 Predicted Monthly'!$V$8</f>
        <v>-5601916.4558281703</v>
      </c>
      <c r="L88" s="18">
        <f ca="1">E88*'GS&lt;50 Predicted Monthly'!$V$9</f>
        <v>2615591.9844400249</v>
      </c>
      <c r="M88" s="18">
        <f ca="1">F88*'GS&lt;50 Predicted Monthly'!$V$10</f>
        <v>0</v>
      </c>
      <c r="N88" s="18">
        <f>G88*'GS&lt;50 Predicted Monthly'!$V$11</f>
        <v>-390944.88104167749</v>
      </c>
      <c r="O88" s="18">
        <f>H88*'GS&lt;50 Predicted Monthly'!$V$12</f>
        <v>8344206.7499953387</v>
      </c>
      <c r="P88" s="18">
        <f>I88*'GS&lt;50 Predicted Monthly'!$V$13</f>
        <v>6514508.9309380194</v>
      </c>
      <c r="Q88" s="271">
        <f t="shared" ca="1" si="7"/>
        <v>11481446.328503534</v>
      </c>
    </row>
    <row r="89" spans="1:17" x14ac:dyDescent="0.25">
      <c r="A89" s="3">
        <f>'Monthly Data'!A89</f>
        <v>44652</v>
      </c>
      <c r="B89" s="1">
        <f t="shared" si="11"/>
        <v>2022</v>
      </c>
      <c r="C89" s="1">
        <f t="shared" si="12"/>
        <v>4</v>
      </c>
      <c r="D89" s="259">
        <f ca="1">'Monthly Data'!J89</f>
        <v>10242680.969626591</v>
      </c>
      <c r="E89" s="269">
        <f t="shared" ca="1" si="10"/>
        <v>292.81107954545462</v>
      </c>
      <c r="F89" s="269">
        <f t="shared" ca="1" si="10"/>
        <v>2.1908333333333347</v>
      </c>
      <c r="G89" s="18">
        <f>'Monthly Data'!CG89</f>
        <v>0.25</v>
      </c>
      <c r="H89" s="4">
        <f>'Monthly Data'!CD89</f>
        <v>30</v>
      </c>
      <c r="I89" s="24">
        <f>'Monthly Data'!K89</f>
        <v>4284</v>
      </c>
      <c r="K89" s="18">
        <f>'GS&lt;50 Predicted Monthly'!$V$8</f>
        <v>-5601916.4558281703</v>
      </c>
      <c r="L89" s="18">
        <f ca="1">E89*'GS&lt;50 Predicted Monthly'!$V$9</f>
        <v>1581950.2694702349</v>
      </c>
      <c r="M89" s="18">
        <f ca="1">F89*'GS&lt;50 Predicted Monthly'!$V$10</f>
        <v>27654.961846176375</v>
      </c>
      <c r="N89" s="18">
        <f>G89*'GS&lt;50 Predicted Monthly'!$V$11</f>
        <v>-390944.88104167749</v>
      </c>
      <c r="O89" s="18">
        <f>H89*'GS&lt;50 Predicted Monthly'!$V$12</f>
        <v>8075038.79031807</v>
      </c>
      <c r="P89" s="18">
        <f>I89*'GS&lt;50 Predicted Monthly'!$V$13</f>
        <v>6516029.9463316547</v>
      </c>
      <c r="Q89" s="271">
        <f t="shared" ca="1" si="7"/>
        <v>10207812.631096289</v>
      </c>
    </row>
    <row r="90" spans="1:17" x14ac:dyDescent="0.25">
      <c r="A90" s="3">
        <f>'Monthly Data'!A90</f>
        <v>44682</v>
      </c>
      <c r="B90" s="1">
        <f t="shared" si="11"/>
        <v>2022</v>
      </c>
      <c r="C90" s="1">
        <f t="shared" si="12"/>
        <v>5</v>
      </c>
      <c r="D90" s="259">
        <f ca="1">'Monthly Data'!J90</f>
        <v>10163818.692467652</v>
      </c>
      <c r="E90" s="269">
        <f t="shared" ca="1" si="10"/>
        <v>103.25939244851259</v>
      </c>
      <c r="F90" s="269">
        <f t="shared" ca="1" si="10"/>
        <v>52.487435064935063</v>
      </c>
      <c r="G90" s="18">
        <f>'Monthly Data'!CG90</f>
        <v>0.25</v>
      </c>
      <c r="H90" s="4">
        <f>'Monthly Data'!CD90</f>
        <v>31</v>
      </c>
      <c r="I90" s="24">
        <f>'Monthly Data'!K90</f>
        <v>4290</v>
      </c>
      <c r="K90" s="18">
        <f>'GS&lt;50 Predicted Monthly'!$V$8</f>
        <v>-5601916.4558281703</v>
      </c>
      <c r="L90" s="18">
        <f ca="1">E90*'GS&lt;50 Predicted Monthly'!$V$9</f>
        <v>557872.41371752578</v>
      </c>
      <c r="M90" s="18">
        <f ca="1">F90*'GS&lt;50 Predicted Monthly'!$V$10</f>
        <v>662550.63406212477</v>
      </c>
      <c r="N90" s="18">
        <f>G90*'GS&lt;50 Predicted Monthly'!$V$11</f>
        <v>-390944.88104167749</v>
      </c>
      <c r="O90" s="18">
        <f>H90*'GS&lt;50 Predicted Monthly'!$V$12</f>
        <v>8344206.7499953387</v>
      </c>
      <c r="P90" s="18">
        <f>I90*'GS&lt;50 Predicted Monthly'!$V$13</f>
        <v>6525156.0386934634</v>
      </c>
      <c r="Q90" s="271">
        <f t="shared" ca="1" si="7"/>
        <v>10096924.499598604</v>
      </c>
    </row>
    <row r="91" spans="1:17" x14ac:dyDescent="0.25">
      <c r="A91" s="3">
        <f>'Monthly Data'!A91</f>
        <v>44713</v>
      </c>
      <c r="B91" s="1">
        <f t="shared" si="11"/>
        <v>2022</v>
      </c>
      <c r="C91" s="1">
        <f t="shared" si="12"/>
        <v>6</v>
      </c>
      <c r="D91" s="259">
        <f ca="1">'Monthly Data'!J91</f>
        <v>10484665.203940179</v>
      </c>
      <c r="E91" s="269">
        <f t="shared" ca="1" si="10"/>
        <v>11.89069871794872</v>
      </c>
      <c r="F91" s="269">
        <f t="shared" ca="1" si="10"/>
        <v>137.65451754405018</v>
      </c>
      <c r="G91" s="18">
        <f>'Monthly Data'!CG91</f>
        <v>0.25</v>
      </c>
      <c r="H91" s="4">
        <f>'Monthly Data'!CD91</f>
        <v>30</v>
      </c>
      <c r="I91" s="24">
        <f>'Monthly Data'!K91</f>
        <v>4306</v>
      </c>
      <c r="K91" s="18">
        <f>'GS&lt;50 Predicted Monthly'!$V$8</f>
        <v>-5601916.4558281703</v>
      </c>
      <c r="L91" s="18">
        <f ca="1">E91*'GS&lt;50 Predicted Monthly'!$V$9</f>
        <v>64241.059697088072</v>
      </c>
      <c r="M91" s="18">
        <f ca="1">F91*'GS&lt;50 Predicted Monthly'!$V$10</f>
        <v>1737617.5415600708</v>
      </c>
      <c r="N91" s="18">
        <f>G91*'GS&lt;50 Predicted Monthly'!$V$11</f>
        <v>-390944.88104167749</v>
      </c>
      <c r="O91" s="18">
        <f>H91*'GS&lt;50 Predicted Monthly'!$V$12</f>
        <v>8075038.79031807</v>
      </c>
      <c r="P91" s="18">
        <f>I91*'GS&lt;50 Predicted Monthly'!$V$13</f>
        <v>6549492.284991621</v>
      </c>
      <c r="Q91" s="271">
        <f t="shared" ca="1" si="7"/>
        <v>10433528.339697002</v>
      </c>
    </row>
    <row r="92" spans="1:17" x14ac:dyDescent="0.25">
      <c r="A92" s="3">
        <f>'Monthly Data'!A92</f>
        <v>44743</v>
      </c>
      <c r="B92" s="1">
        <f t="shared" si="11"/>
        <v>2022</v>
      </c>
      <c r="C92" s="1">
        <f t="shared" si="12"/>
        <v>7</v>
      </c>
      <c r="D92" s="259">
        <f ca="1">'Monthly Data'!J92</f>
        <v>11721265.66598122</v>
      </c>
      <c r="E92" s="269">
        <f t="shared" ca="1" si="10"/>
        <v>7.4583333333333002E-2</v>
      </c>
      <c r="F92" s="269">
        <f t="shared" ca="1" si="10"/>
        <v>235.94737858727848</v>
      </c>
      <c r="G92" s="18">
        <f>'Monthly Data'!CG92</f>
        <v>0.25</v>
      </c>
      <c r="H92" s="4">
        <f>'Monthly Data'!CD92</f>
        <v>31</v>
      </c>
      <c r="I92" s="24">
        <f>'Monthly Data'!K92</f>
        <v>4310</v>
      </c>
      <c r="K92" s="18">
        <f>'GS&lt;50 Predicted Monthly'!$V$8</f>
        <v>-5601916.4558281703</v>
      </c>
      <c r="L92" s="18">
        <f ca="1">E92*'GS&lt;50 Predicted Monthly'!$V$9</f>
        <v>402.94624249810443</v>
      </c>
      <c r="M92" s="18">
        <f ca="1">F92*'GS&lt;50 Predicted Monthly'!$V$10</f>
        <v>2978371.5873122169</v>
      </c>
      <c r="N92" s="18">
        <f>G92*'GS&lt;50 Predicted Monthly'!$V$11</f>
        <v>-390944.88104167749</v>
      </c>
      <c r="O92" s="18">
        <f>H92*'GS&lt;50 Predicted Monthly'!$V$12</f>
        <v>8344206.7499953387</v>
      </c>
      <c r="P92" s="18">
        <f>I92*'GS&lt;50 Predicted Monthly'!$V$13</f>
        <v>6555576.3465661602</v>
      </c>
      <c r="Q92" s="271">
        <f t="shared" ca="1" si="7"/>
        <v>11885696.293246366</v>
      </c>
    </row>
    <row r="93" spans="1:17" x14ac:dyDescent="0.25">
      <c r="A93" s="3">
        <f>'Monthly Data'!A93</f>
        <v>44774</v>
      </c>
      <c r="B93" s="1">
        <f t="shared" si="11"/>
        <v>2022</v>
      </c>
      <c r="C93" s="1">
        <f t="shared" si="12"/>
        <v>8</v>
      </c>
      <c r="D93" s="259">
        <f ca="1">'Monthly Data'!J93</f>
        <v>12184861.329755293</v>
      </c>
      <c r="E93" s="269">
        <f t="shared" ca="1" si="10"/>
        <v>0.75041666666666718</v>
      </c>
      <c r="F93" s="269">
        <f t="shared" ca="1" si="10"/>
        <v>210.96558794466404</v>
      </c>
      <c r="G93" s="18">
        <f>'Monthly Data'!CG93</f>
        <v>0.25</v>
      </c>
      <c r="H93" s="4">
        <f>'Monthly Data'!CD93</f>
        <v>31</v>
      </c>
      <c r="I93" s="24">
        <f>'Monthly Data'!K93</f>
        <v>4310</v>
      </c>
      <c r="K93" s="18">
        <f>'GS&lt;50 Predicted Monthly'!$V$8</f>
        <v>-5601916.4558281703</v>
      </c>
      <c r="L93" s="18">
        <f ca="1">E93*'GS&lt;50 Predicted Monthly'!$V$9</f>
        <v>4054.2244845759205</v>
      </c>
      <c r="M93" s="18">
        <f ca="1">F93*'GS&lt;50 Predicted Monthly'!$V$10</f>
        <v>2663025.615275396</v>
      </c>
      <c r="N93" s="18">
        <f>G93*'GS&lt;50 Predicted Monthly'!$V$11</f>
        <v>-390944.88104167749</v>
      </c>
      <c r="O93" s="18">
        <f>H93*'GS&lt;50 Predicted Monthly'!$V$12</f>
        <v>8344206.7499953387</v>
      </c>
      <c r="P93" s="18">
        <f>I93*'GS&lt;50 Predicted Monthly'!$V$13</f>
        <v>6555576.3465661602</v>
      </c>
      <c r="Q93" s="271">
        <f t="shared" ca="1" si="7"/>
        <v>11574001.599451624</v>
      </c>
    </row>
    <row r="94" spans="1:17" x14ac:dyDescent="0.25">
      <c r="A94" s="3">
        <f>'Monthly Data'!A94</f>
        <v>44805</v>
      </c>
      <c r="B94" s="1">
        <f t="shared" si="11"/>
        <v>2022</v>
      </c>
      <c r="C94" s="1">
        <f t="shared" si="12"/>
        <v>9</v>
      </c>
      <c r="D94" s="259">
        <f ca="1">'Monthly Data'!J94</f>
        <v>10446268.078779444</v>
      </c>
      <c r="E94" s="269">
        <f t="shared" ref="E94:F113" ca="1" si="13">E82</f>
        <v>26.342536231884061</v>
      </c>
      <c r="F94" s="269">
        <f t="shared" ca="1" si="13"/>
        <v>106.4160119047619</v>
      </c>
      <c r="G94" s="18">
        <f>'Monthly Data'!CG94</f>
        <v>0.25</v>
      </c>
      <c r="H94" s="4">
        <f>'Monthly Data'!CD94</f>
        <v>30</v>
      </c>
      <c r="I94" s="24">
        <f>'Monthly Data'!K94</f>
        <v>4317</v>
      </c>
      <c r="K94" s="18">
        <f>'GS&lt;50 Predicted Monthly'!$V$8</f>
        <v>-5601916.4558281703</v>
      </c>
      <c r="L94" s="18">
        <f ca="1">E94*'GS&lt;50 Predicted Monthly'!$V$9</f>
        <v>142319.00772077637</v>
      </c>
      <c r="M94" s="18">
        <f ca="1">F94*'GS&lt;50 Predicted Monthly'!$V$10</f>
        <v>1343292.848557675</v>
      </c>
      <c r="N94" s="18">
        <f>G94*'GS&lt;50 Predicted Monthly'!$V$11</f>
        <v>-390944.88104167749</v>
      </c>
      <c r="O94" s="18">
        <f>H94*'GS&lt;50 Predicted Monthly'!$V$12</f>
        <v>8075038.79031807</v>
      </c>
      <c r="P94" s="18">
        <f>I94*'GS&lt;50 Predicted Monthly'!$V$13</f>
        <v>6566223.4543216042</v>
      </c>
      <c r="Q94" s="271">
        <f t="shared" ca="1" si="7"/>
        <v>10134012.764048278</v>
      </c>
    </row>
    <row r="95" spans="1:17" x14ac:dyDescent="0.25">
      <c r="A95" s="3">
        <f>'Monthly Data'!A95</f>
        <v>44835</v>
      </c>
      <c r="B95" s="1">
        <f t="shared" si="11"/>
        <v>2022</v>
      </c>
      <c r="C95" s="1">
        <f t="shared" si="12"/>
        <v>10</v>
      </c>
      <c r="D95" s="259">
        <f ca="1">'Monthly Data'!J95</f>
        <v>9864109.8868810162</v>
      </c>
      <c r="E95" s="269">
        <f t="shared" ca="1" si="13"/>
        <v>181.36347826086953</v>
      </c>
      <c r="F95" s="269">
        <f t="shared" ca="1" si="13"/>
        <v>17.987083333333334</v>
      </c>
      <c r="G95" s="18">
        <f>'Monthly Data'!CG95</f>
        <v>0.25</v>
      </c>
      <c r="H95" s="4">
        <f>'Monthly Data'!CD95</f>
        <v>31</v>
      </c>
      <c r="I95" s="24">
        <f>'Monthly Data'!K95</f>
        <v>4318</v>
      </c>
      <c r="K95" s="18">
        <f>'GS&lt;50 Predicted Monthly'!$V$8</f>
        <v>-5601916.4558281703</v>
      </c>
      <c r="L95" s="18">
        <f ca="1">E95*'GS&lt;50 Predicted Monthly'!$V$9</f>
        <v>979839.98335111968</v>
      </c>
      <c r="M95" s="18">
        <f ca="1">F95*'GS&lt;50 Predicted Monthly'!$V$10</f>
        <v>227051.54962677584</v>
      </c>
      <c r="N95" s="18">
        <f>G95*'GS&lt;50 Predicted Monthly'!$V$11</f>
        <v>-390944.88104167749</v>
      </c>
      <c r="O95" s="18">
        <f>H95*'GS&lt;50 Predicted Monthly'!$V$12</f>
        <v>8344206.7499953387</v>
      </c>
      <c r="P95" s="18">
        <f>I95*'GS&lt;50 Predicted Monthly'!$V$13</f>
        <v>6567744.4697152385</v>
      </c>
      <c r="Q95" s="271">
        <f t="shared" ca="1" si="7"/>
        <v>10125981.415818624</v>
      </c>
    </row>
    <row r="96" spans="1:17" x14ac:dyDescent="0.25">
      <c r="A96" s="3">
        <f>'Monthly Data'!A96</f>
        <v>44866</v>
      </c>
      <c r="B96" s="1">
        <f t="shared" si="11"/>
        <v>2022</v>
      </c>
      <c r="C96" s="1">
        <f t="shared" si="12"/>
        <v>11</v>
      </c>
      <c r="D96" s="259">
        <f ca="1">'Monthly Data'!J96</f>
        <v>10711710.156730885</v>
      </c>
      <c r="E96" s="269">
        <f t="shared" ca="1" si="13"/>
        <v>366.78033055712399</v>
      </c>
      <c r="F96" s="269">
        <f t="shared" ca="1" si="13"/>
        <v>0.8083333333333329</v>
      </c>
      <c r="G96" s="18">
        <f>'Monthly Data'!CG96</f>
        <v>0.25</v>
      </c>
      <c r="H96" s="4">
        <f>'Monthly Data'!CD96</f>
        <v>30</v>
      </c>
      <c r="I96" s="24">
        <f>'Monthly Data'!K96</f>
        <v>4330</v>
      </c>
      <c r="K96" s="18">
        <f>'GS&lt;50 Predicted Monthly'!$V$8</f>
        <v>-5601916.4558281703</v>
      </c>
      <c r="L96" s="18">
        <f ca="1">E96*'GS&lt;50 Predicted Monthly'!$V$9</f>
        <v>1981578.8516675723</v>
      </c>
      <c r="M96" s="18">
        <f ca="1">F96*'GS&lt;50 Predicted Monthly'!$V$10</f>
        <v>10203.618482613561</v>
      </c>
      <c r="N96" s="18">
        <f>G96*'GS&lt;50 Predicted Monthly'!$V$11</f>
        <v>-390944.88104167749</v>
      </c>
      <c r="O96" s="18">
        <f>H96*'GS&lt;50 Predicted Monthly'!$V$12</f>
        <v>8075038.79031807</v>
      </c>
      <c r="P96" s="18">
        <f>I96*'GS&lt;50 Predicted Monthly'!$V$13</f>
        <v>6585996.654438857</v>
      </c>
      <c r="Q96" s="271">
        <f t="shared" ca="1" si="7"/>
        <v>10659956.578037266</v>
      </c>
    </row>
    <row r="97" spans="1:21" x14ac:dyDescent="0.25">
      <c r="A97" s="3">
        <f>'Monthly Data'!A97</f>
        <v>44896</v>
      </c>
      <c r="B97" s="1">
        <f t="shared" si="11"/>
        <v>2022</v>
      </c>
      <c r="C97" s="1">
        <f t="shared" si="12"/>
        <v>12</v>
      </c>
      <c r="D97" s="259">
        <f ca="1">'Monthly Data'!J97</f>
        <v>12176416.001356015</v>
      </c>
      <c r="E97" s="269">
        <f t="shared" ca="1" si="13"/>
        <v>515.92800724637686</v>
      </c>
      <c r="F97" s="269">
        <f t="shared" ca="1" si="13"/>
        <v>0</v>
      </c>
      <c r="G97" s="18">
        <f>'Monthly Data'!CG97</f>
        <v>0.25</v>
      </c>
      <c r="H97" s="4">
        <f>'Monthly Data'!CD97</f>
        <v>31</v>
      </c>
      <c r="I97" s="24">
        <f>'Monthly Data'!K97</f>
        <v>4328</v>
      </c>
      <c r="K97" s="18">
        <f>'GS&lt;50 Predicted Monthly'!$V$8</f>
        <v>-5601916.4558281703</v>
      </c>
      <c r="L97" s="18">
        <f ca="1">E97*'GS&lt;50 Predicted Monthly'!$V$9</f>
        <v>2787368.740819619</v>
      </c>
      <c r="M97" s="18">
        <f ca="1">F97*'GS&lt;50 Predicted Monthly'!$V$10</f>
        <v>0</v>
      </c>
      <c r="N97" s="18">
        <f>G97*'GS&lt;50 Predicted Monthly'!$V$11</f>
        <v>-390944.88104167749</v>
      </c>
      <c r="O97" s="18">
        <f>H97*'GS&lt;50 Predicted Monthly'!$V$12</f>
        <v>8344206.7499953387</v>
      </c>
      <c r="P97" s="18">
        <f>I97*'GS&lt;50 Predicted Monthly'!$V$13</f>
        <v>6582954.6236515874</v>
      </c>
      <c r="Q97" s="271">
        <f t="shared" ca="1" si="7"/>
        <v>11721668.777596697</v>
      </c>
    </row>
    <row r="98" spans="1:21" x14ac:dyDescent="0.25">
      <c r="A98" s="3">
        <f>'Monthly Data'!A98</f>
        <v>44927</v>
      </c>
      <c r="B98" s="1">
        <f t="shared" si="11"/>
        <v>2023</v>
      </c>
      <c r="C98" s="1">
        <f t="shared" si="12"/>
        <v>1</v>
      </c>
      <c r="D98" s="259">
        <f ca="1">'Monthly Data'!J98</f>
        <v>11917827.94576852</v>
      </c>
      <c r="E98" s="269">
        <f t="shared" ca="1" si="13"/>
        <v>635.33418478260876</v>
      </c>
      <c r="F98" s="269">
        <f t="shared" ca="1" si="13"/>
        <v>0</v>
      </c>
      <c r="G98" s="18">
        <f>'Monthly Data'!CG98</f>
        <v>0</v>
      </c>
      <c r="H98" s="4">
        <f>'Monthly Data'!CD98</f>
        <v>31</v>
      </c>
      <c r="I98" s="24">
        <f>'Monthly Data'!K98</f>
        <v>4326</v>
      </c>
      <c r="K98" s="18">
        <f>'GS&lt;50 Predicted Monthly'!$V$8</f>
        <v>-5601916.4558281703</v>
      </c>
      <c r="L98" s="18">
        <f ca="1">E98*'GS&lt;50 Predicted Monthly'!$V$9</f>
        <v>3432476.2791787665</v>
      </c>
      <c r="M98" s="18">
        <f ca="1">F98*'GS&lt;50 Predicted Monthly'!$V$10</f>
        <v>0</v>
      </c>
      <c r="N98" s="18">
        <f>G98*'GS&lt;50 Predicted Monthly'!$V$11</f>
        <v>0</v>
      </c>
      <c r="O98" s="18">
        <f>H98*'GS&lt;50 Predicted Monthly'!$V$12</f>
        <v>8344206.7499953387</v>
      </c>
      <c r="P98" s="18">
        <f>I98*'GS&lt;50 Predicted Monthly'!$V$13</f>
        <v>6579912.5928643178</v>
      </c>
      <c r="Q98" s="271">
        <f t="shared" ref="Q98:Q129" ca="1" si="14">SUM(K98:P98)</f>
        <v>12754679.166210253</v>
      </c>
    </row>
    <row r="99" spans="1:21" x14ac:dyDescent="0.25">
      <c r="A99" s="3">
        <f>'Monthly Data'!A99</f>
        <v>44958</v>
      </c>
      <c r="B99" s="1">
        <f t="shared" si="11"/>
        <v>2023</v>
      </c>
      <c r="C99" s="1">
        <f t="shared" si="12"/>
        <v>2</v>
      </c>
      <c r="D99" s="259">
        <f ca="1"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18">
        <f>'Monthly Data'!CG99</f>
        <v>0</v>
      </c>
      <c r="H99" s="4">
        <f>'Monthly Data'!CD99</f>
        <v>28</v>
      </c>
      <c r="I99" s="24">
        <f>'Monthly Data'!K99</f>
        <v>4326</v>
      </c>
      <c r="K99" s="18">
        <f>'GS&lt;50 Predicted Monthly'!$V$8</f>
        <v>-5601916.4558281703</v>
      </c>
      <c r="L99" s="18">
        <f ca="1">E99*'GS&lt;50 Predicted Monthly'!$V$9</f>
        <v>3066830.7028158205</v>
      </c>
      <c r="M99" s="18">
        <f ca="1">F99*'GS&lt;50 Predicted Monthly'!$V$10</f>
        <v>0</v>
      </c>
      <c r="N99" s="18">
        <f>G99*'GS&lt;50 Predicted Monthly'!$V$11</f>
        <v>0</v>
      </c>
      <c r="O99" s="18">
        <f>H99*'GS&lt;50 Predicted Monthly'!$V$12</f>
        <v>7536702.8709635315</v>
      </c>
      <c r="P99" s="18">
        <f>I99*'GS&lt;50 Predicted Monthly'!$V$13</f>
        <v>6579912.5928643178</v>
      </c>
      <c r="Q99" s="271">
        <f t="shared" ca="1" si="14"/>
        <v>11581529.7108155</v>
      </c>
    </row>
    <row r="100" spans="1:21" x14ac:dyDescent="0.25">
      <c r="A100" s="3">
        <f>'Monthly Data'!A100</f>
        <v>44986</v>
      </c>
      <c r="B100" s="1">
        <f t="shared" si="11"/>
        <v>2023</v>
      </c>
      <c r="C100" s="1">
        <f t="shared" si="12"/>
        <v>3</v>
      </c>
      <c r="D100" s="259">
        <f ca="1"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18">
        <f>'Monthly Data'!CG100</f>
        <v>0</v>
      </c>
      <c r="H100" s="4">
        <f>'Monthly Data'!CD100</f>
        <v>31</v>
      </c>
      <c r="I100" s="24">
        <f>'Monthly Data'!K100</f>
        <v>4323</v>
      </c>
      <c r="K100" s="18">
        <f>'GS&lt;50 Predicted Monthly'!$V$8</f>
        <v>-5601916.4558281703</v>
      </c>
      <c r="L100" s="18">
        <f ca="1">E100*'GS&lt;50 Predicted Monthly'!$V$9</f>
        <v>2615591.9844400249</v>
      </c>
      <c r="M100" s="18">
        <f ca="1">F100*'GS&lt;50 Predicted Monthly'!$V$10</f>
        <v>0</v>
      </c>
      <c r="N100" s="18">
        <f>G100*'GS&lt;50 Predicted Monthly'!$V$11</f>
        <v>0</v>
      </c>
      <c r="O100" s="18">
        <f>H100*'GS&lt;50 Predicted Monthly'!$V$12</f>
        <v>8344206.7499953387</v>
      </c>
      <c r="P100" s="18">
        <f>I100*'GS&lt;50 Predicted Monthly'!$V$13</f>
        <v>6575349.546683413</v>
      </c>
      <c r="Q100" s="271">
        <f t="shared" ca="1" si="14"/>
        <v>11933231.825290605</v>
      </c>
      <c r="T100" s="18"/>
      <c r="U100" s="276"/>
    </row>
    <row r="101" spans="1:21" x14ac:dyDescent="0.25">
      <c r="A101" s="3">
        <f>'Monthly Data'!A101</f>
        <v>45017</v>
      </c>
      <c r="B101" s="1">
        <f t="shared" si="11"/>
        <v>2023</v>
      </c>
      <c r="C101" s="1">
        <f t="shared" si="12"/>
        <v>4</v>
      </c>
      <c r="D101" s="259">
        <f ca="1"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18">
        <f>'Monthly Data'!CG101</f>
        <v>0</v>
      </c>
      <c r="H101" s="4">
        <f>'Monthly Data'!CD101</f>
        <v>30</v>
      </c>
      <c r="I101" s="24">
        <f>'Monthly Data'!K101</f>
        <v>4324</v>
      </c>
      <c r="K101" s="18">
        <f>'GS&lt;50 Predicted Monthly'!$V$8</f>
        <v>-5601916.4558281703</v>
      </c>
      <c r="L101" s="18">
        <f ca="1">E101*'GS&lt;50 Predicted Monthly'!$V$9</f>
        <v>1581950.2694702349</v>
      </c>
      <c r="M101" s="18">
        <f ca="1">F101*'GS&lt;50 Predicted Monthly'!$V$10</f>
        <v>27654.961846176375</v>
      </c>
      <c r="N101" s="18">
        <f>G101*'GS&lt;50 Predicted Monthly'!$V$11</f>
        <v>0</v>
      </c>
      <c r="O101" s="18">
        <f>H101*'GS&lt;50 Predicted Monthly'!$V$12</f>
        <v>8075038.79031807</v>
      </c>
      <c r="P101" s="18">
        <f>I101*'GS&lt;50 Predicted Monthly'!$V$13</f>
        <v>6576870.5620770482</v>
      </c>
      <c r="Q101" s="271">
        <f t="shared" ca="1" si="14"/>
        <v>10659598.12788336</v>
      </c>
      <c r="T101" s="18"/>
      <c r="U101" s="276"/>
    </row>
    <row r="102" spans="1:21" x14ac:dyDescent="0.25">
      <c r="A102" s="3">
        <f>'Monthly Data'!A102</f>
        <v>45047</v>
      </c>
      <c r="B102" s="1">
        <f t="shared" si="11"/>
        <v>2023</v>
      </c>
      <c r="C102" s="1">
        <f t="shared" si="12"/>
        <v>5</v>
      </c>
      <c r="D102" s="259">
        <f ca="1"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18">
        <f>'Monthly Data'!CG102</f>
        <v>0</v>
      </c>
      <c r="H102" s="4">
        <f>'Monthly Data'!CD102</f>
        <v>31</v>
      </c>
      <c r="I102" s="24">
        <f>'Monthly Data'!K102</f>
        <v>4331</v>
      </c>
      <c r="K102" s="18">
        <f>'GS&lt;50 Predicted Monthly'!$V$8</f>
        <v>-5601916.4558281703</v>
      </c>
      <c r="L102" s="18">
        <f ca="1">E102*'GS&lt;50 Predicted Monthly'!$V$9</f>
        <v>557872.41371752578</v>
      </c>
      <c r="M102" s="18">
        <f ca="1">F102*'GS&lt;50 Predicted Monthly'!$V$10</f>
        <v>662550.63406212477</v>
      </c>
      <c r="N102" s="18">
        <f>G102*'GS&lt;50 Predicted Monthly'!$V$11</f>
        <v>0</v>
      </c>
      <c r="O102" s="18">
        <f>H102*'GS&lt;50 Predicted Monthly'!$V$12</f>
        <v>8344206.7499953387</v>
      </c>
      <c r="P102" s="18">
        <f>I102*'GS&lt;50 Predicted Monthly'!$V$13</f>
        <v>6587517.6698324913</v>
      </c>
      <c r="Q102" s="271">
        <f t="shared" ca="1" si="14"/>
        <v>10550231.01177931</v>
      </c>
      <c r="T102" s="18"/>
      <c r="U102" s="276"/>
    </row>
    <row r="103" spans="1:21" x14ac:dyDescent="0.25">
      <c r="A103" s="3">
        <f>'Monthly Data'!A103</f>
        <v>45078</v>
      </c>
      <c r="B103" s="1">
        <f t="shared" si="11"/>
        <v>2023</v>
      </c>
      <c r="C103" s="1">
        <f t="shared" si="12"/>
        <v>6</v>
      </c>
      <c r="D103" s="259">
        <f ca="1"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18">
        <f>'Monthly Data'!CG103</f>
        <v>0</v>
      </c>
      <c r="H103" s="4">
        <f>'Monthly Data'!CD103</f>
        <v>30</v>
      </c>
      <c r="I103" s="24">
        <f>'Monthly Data'!K103</f>
        <v>4427</v>
      </c>
      <c r="K103" s="18">
        <f>'GS&lt;50 Predicted Monthly'!$V$8</f>
        <v>-5601916.4558281703</v>
      </c>
      <c r="L103" s="18">
        <f ca="1">E103*'GS&lt;50 Predicted Monthly'!$V$9</f>
        <v>64241.059697088072</v>
      </c>
      <c r="M103" s="18">
        <f ca="1">F103*'GS&lt;50 Predicted Monthly'!$V$10</f>
        <v>1737617.5415600708</v>
      </c>
      <c r="N103" s="18">
        <f>G103*'GS&lt;50 Predicted Monthly'!$V$11</f>
        <v>0</v>
      </c>
      <c r="O103" s="18">
        <f>H103*'GS&lt;50 Predicted Monthly'!$V$12</f>
        <v>8075038.79031807</v>
      </c>
      <c r="P103" s="18">
        <f>I103*'GS&lt;50 Predicted Monthly'!$V$13</f>
        <v>6733535.147621436</v>
      </c>
      <c r="Q103" s="271">
        <f t="shared" ca="1" si="14"/>
        <v>11008516.083368495</v>
      </c>
      <c r="T103" s="18"/>
      <c r="U103" s="276"/>
    </row>
    <row r="104" spans="1:21" x14ac:dyDescent="0.25">
      <c r="A104" s="3">
        <f>'Monthly Data'!A104</f>
        <v>45108</v>
      </c>
      <c r="B104" s="1">
        <f t="shared" si="11"/>
        <v>2023</v>
      </c>
      <c r="C104" s="1">
        <f t="shared" si="12"/>
        <v>7</v>
      </c>
      <c r="D104" s="259">
        <f ca="1"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18">
        <f>'Monthly Data'!CG104</f>
        <v>0</v>
      </c>
      <c r="H104" s="4">
        <f>'Monthly Data'!CD104</f>
        <v>31</v>
      </c>
      <c r="I104" s="24">
        <f>'Monthly Data'!K104</f>
        <v>4428</v>
      </c>
      <c r="K104" s="18">
        <f>'GS&lt;50 Predicted Monthly'!$V$8</f>
        <v>-5601916.4558281703</v>
      </c>
      <c r="L104" s="18">
        <f ca="1">E104*'GS&lt;50 Predicted Monthly'!$V$9</f>
        <v>402.94624249810443</v>
      </c>
      <c r="M104" s="18">
        <f ca="1">F104*'GS&lt;50 Predicted Monthly'!$V$10</f>
        <v>2978371.5873122169</v>
      </c>
      <c r="N104" s="18">
        <f>G104*'GS&lt;50 Predicted Monthly'!$V$11</f>
        <v>0</v>
      </c>
      <c r="O104" s="18">
        <f>H104*'GS&lt;50 Predicted Monthly'!$V$12</f>
        <v>8344206.7499953387</v>
      </c>
      <c r="P104" s="18">
        <f>I104*'GS&lt;50 Predicted Monthly'!$V$13</f>
        <v>6735056.1630150713</v>
      </c>
      <c r="Q104" s="271">
        <f t="shared" ca="1" si="14"/>
        <v>12456120.990736954</v>
      </c>
      <c r="T104" s="18"/>
      <c r="U104" s="276"/>
    </row>
    <row r="105" spans="1:21" x14ac:dyDescent="0.25">
      <c r="A105" s="3">
        <f>'Monthly Data'!A105</f>
        <v>45139</v>
      </c>
      <c r="B105" s="1">
        <f t="shared" si="11"/>
        <v>2023</v>
      </c>
      <c r="C105" s="1">
        <f t="shared" si="12"/>
        <v>8</v>
      </c>
      <c r="D105" s="259">
        <f ca="1"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18">
        <f>'Monthly Data'!CG105</f>
        <v>0</v>
      </c>
      <c r="H105" s="4">
        <f>'Monthly Data'!CD105</f>
        <v>31</v>
      </c>
      <c r="I105" s="24">
        <f>'Monthly Data'!K105</f>
        <v>4431</v>
      </c>
      <c r="K105" s="18">
        <f>'GS&lt;50 Predicted Monthly'!$V$8</f>
        <v>-5601916.4558281703</v>
      </c>
      <c r="L105" s="18">
        <f ca="1">E105*'GS&lt;50 Predicted Monthly'!$V$9</f>
        <v>4054.2244845759205</v>
      </c>
      <c r="M105" s="18">
        <f ca="1">F105*'GS&lt;50 Predicted Monthly'!$V$10</f>
        <v>2663025.615275396</v>
      </c>
      <c r="N105" s="18">
        <f>G105*'GS&lt;50 Predicted Monthly'!$V$11</f>
        <v>0</v>
      </c>
      <c r="O105" s="18">
        <f>H105*'GS&lt;50 Predicted Monthly'!$V$12</f>
        <v>8344206.7499953387</v>
      </c>
      <c r="P105" s="18">
        <f>I105*'GS&lt;50 Predicted Monthly'!$V$13</f>
        <v>6739619.2091959761</v>
      </c>
      <c r="Q105" s="271">
        <f t="shared" ca="1" si="14"/>
        <v>12148989.343123116</v>
      </c>
      <c r="T105" s="18"/>
      <c r="U105" s="276"/>
    </row>
    <row r="106" spans="1:21" x14ac:dyDescent="0.25">
      <c r="A106" s="3">
        <f>'Monthly Data'!A106</f>
        <v>45170</v>
      </c>
      <c r="B106" s="1">
        <f t="shared" si="11"/>
        <v>2023</v>
      </c>
      <c r="C106" s="1">
        <f t="shared" si="12"/>
        <v>9</v>
      </c>
      <c r="D106" s="259">
        <f ca="1"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18">
        <f>'Monthly Data'!CG106</f>
        <v>0</v>
      </c>
      <c r="H106" s="4">
        <f>'Monthly Data'!CD106</f>
        <v>30</v>
      </c>
      <c r="I106" s="24">
        <f>'Monthly Data'!K106</f>
        <v>4430</v>
      </c>
      <c r="K106" s="18">
        <f>'GS&lt;50 Predicted Monthly'!$V$8</f>
        <v>-5601916.4558281703</v>
      </c>
      <c r="L106" s="18">
        <f ca="1">E106*'GS&lt;50 Predicted Monthly'!$V$9</f>
        <v>142319.00772077637</v>
      </c>
      <c r="M106" s="18">
        <f ca="1">F106*'GS&lt;50 Predicted Monthly'!$V$10</f>
        <v>1343292.848557675</v>
      </c>
      <c r="N106" s="18">
        <f>G106*'GS&lt;50 Predicted Monthly'!$V$11</f>
        <v>0</v>
      </c>
      <c r="O106" s="18">
        <f>H106*'GS&lt;50 Predicted Monthly'!$V$12</f>
        <v>8075038.79031807</v>
      </c>
      <c r="P106" s="18">
        <f>I106*'GS&lt;50 Predicted Monthly'!$V$13</f>
        <v>6738098.1938023409</v>
      </c>
      <c r="Q106" s="271">
        <f t="shared" ca="1" si="14"/>
        <v>10696832.384570692</v>
      </c>
      <c r="T106" s="18"/>
      <c r="U106" s="276"/>
    </row>
    <row r="107" spans="1:21" x14ac:dyDescent="0.25">
      <c r="A107" s="3">
        <f>'Monthly Data'!A107</f>
        <v>45200</v>
      </c>
      <c r="B107" s="1">
        <f t="shared" si="11"/>
        <v>2023</v>
      </c>
      <c r="C107" s="1">
        <f t="shared" si="12"/>
        <v>10</v>
      </c>
      <c r="D107" s="259">
        <f ca="1"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18">
        <f>'Monthly Data'!CG107</f>
        <v>0</v>
      </c>
      <c r="H107" s="4">
        <f>'Monthly Data'!CD107</f>
        <v>31</v>
      </c>
      <c r="I107" s="24">
        <f>'Monthly Data'!K107</f>
        <v>4441</v>
      </c>
      <c r="K107" s="18">
        <f>'GS&lt;50 Predicted Monthly'!$V$8</f>
        <v>-5601916.4558281703</v>
      </c>
      <c r="L107" s="18">
        <f ca="1">E107*'GS&lt;50 Predicted Monthly'!$V$9</f>
        <v>979839.98335111968</v>
      </c>
      <c r="M107" s="18">
        <f ca="1">F107*'GS&lt;50 Predicted Monthly'!$V$10</f>
        <v>227051.54962677584</v>
      </c>
      <c r="N107" s="18">
        <f>G107*'GS&lt;50 Predicted Monthly'!$V$11</f>
        <v>0</v>
      </c>
      <c r="O107" s="18">
        <f>H107*'GS&lt;50 Predicted Monthly'!$V$12</f>
        <v>8344206.7499953387</v>
      </c>
      <c r="P107" s="18">
        <f>I107*'GS&lt;50 Predicted Monthly'!$V$13</f>
        <v>6754829.3631323241</v>
      </c>
      <c r="Q107" s="271">
        <f t="shared" ca="1" si="14"/>
        <v>10704011.190277388</v>
      </c>
      <c r="T107" s="18"/>
      <c r="U107" s="276"/>
    </row>
    <row r="108" spans="1:21" x14ac:dyDescent="0.25">
      <c r="A108" s="3">
        <f>'Monthly Data'!A108</f>
        <v>45231</v>
      </c>
      <c r="B108" s="1">
        <f t="shared" si="11"/>
        <v>2023</v>
      </c>
      <c r="C108" s="1">
        <f t="shared" si="12"/>
        <v>11</v>
      </c>
      <c r="D108" s="259">
        <f ca="1"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18">
        <f>'Monthly Data'!CG108</f>
        <v>0</v>
      </c>
      <c r="H108" s="4">
        <f>'Monthly Data'!CD108</f>
        <v>30</v>
      </c>
      <c r="I108" s="24">
        <f>'Monthly Data'!K108</f>
        <v>4460</v>
      </c>
      <c r="K108" s="18">
        <f>'GS&lt;50 Predicted Monthly'!$V$8</f>
        <v>-5601916.4558281703</v>
      </c>
      <c r="L108" s="18">
        <f ca="1">E108*'GS&lt;50 Predicted Monthly'!$V$9</f>
        <v>1981578.8516675723</v>
      </c>
      <c r="M108" s="18">
        <f ca="1">F108*'GS&lt;50 Predicted Monthly'!$V$10</f>
        <v>10203.618482613561</v>
      </c>
      <c r="N108" s="18">
        <f>G108*'GS&lt;50 Predicted Monthly'!$V$11</f>
        <v>0</v>
      </c>
      <c r="O108" s="18">
        <f>H108*'GS&lt;50 Predicted Monthly'!$V$12</f>
        <v>8075038.79031807</v>
      </c>
      <c r="P108" s="18">
        <f>I108*'GS&lt;50 Predicted Monthly'!$V$13</f>
        <v>6783728.6556113865</v>
      </c>
      <c r="Q108" s="271">
        <f t="shared" ca="1" si="14"/>
        <v>11248633.460251473</v>
      </c>
      <c r="T108" s="18"/>
      <c r="U108" s="276"/>
    </row>
    <row r="109" spans="1:21" x14ac:dyDescent="0.25">
      <c r="A109" s="3">
        <f>'Monthly Data'!A109</f>
        <v>45261</v>
      </c>
      <c r="B109" s="1">
        <f t="shared" si="11"/>
        <v>2023</v>
      </c>
      <c r="C109" s="1">
        <f t="shared" si="12"/>
        <v>12</v>
      </c>
      <c r="D109" s="259">
        <f ca="1"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18">
        <f>'Monthly Data'!CG109</f>
        <v>0</v>
      </c>
      <c r="H109" s="4">
        <f>'Monthly Data'!CD109</f>
        <v>31</v>
      </c>
      <c r="I109" s="24">
        <f>'Monthly Data'!K109</f>
        <v>4474</v>
      </c>
      <c r="K109" s="18">
        <f>'GS&lt;50 Predicted Monthly'!$V$8</f>
        <v>-5601916.4558281703</v>
      </c>
      <c r="L109" s="18">
        <f ca="1">E109*'GS&lt;50 Predicted Monthly'!$V$9</f>
        <v>2787368.740819619</v>
      </c>
      <c r="M109" s="18">
        <f ca="1">F109*'GS&lt;50 Predicted Monthly'!$V$10</f>
        <v>0</v>
      </c>
      <c r="N109" s="18">
        <f>G109*'GS&lt;50 Predicted Monthly'!$V$11</f>
        <v>0</v>
      </c>
      <c r="O109" s="18">
        <f>H109*'GS&lt;50 Predicted Monthly'!$V$12</f>
        <v>8344206.7499953387</v>
      </c>
      <c r="P109" s="18">
        <f>I109*'GS&lt;50 Predicted Monthly'!$V$13</f>
        <v>6805022.8711222736</v>
      </c>
      <c r="Q109" s="271">
        <f t="shared" ca="1" si="14"/>
        <v>12334681.906109061</v>
      </c>
      <c r="T109" s="18"/>
      <c r="U109" s="276"/>
    </row>
    <row r="110" spans="1:21" x14ac:dyDescent="0.25">
      <c r="A110" s="3">
        <f>'Monthly Data'!A110</f>
        <v>45292</v>
      </c>
      <c r="B110" s="1">
        <f t="shared" si="11"/>
        <v>2024</v>
      </c>
      <c r="C110" s="1">
        <f t="shared" si="12"/>
        <v>1</v>
      </c>
      <c r="D110" s="259">
        <f ca="1">'Monthly Data'!J110</f>
        <v>13014635.147972617</v>
      </c>
      <c r="E110" s="269">
        <f t="shared" ca="1" si="13"/>
        <v>635.33418478260876</v>
      </c>
      <c r="F110" s="269">
        <f t="shared" ca="1" si="13"/>
        <v>0</v>
      </c>
      <c r="G110" s="18">
        <f>'Monthly Data'!CG110</f>
        <v>0</v>
      </c>
      <c r="H110" s="4">
        <f>'Monthly Data'!CD110</f>
        <v>31</v>
      </c>
      <c r="I110" s="24">
        <f>'Monthly Data'!K110</f>
        <v>4429</v>
      </c>
      <c r="K110" s="18">
        <f>'GS&lt;50 Predicted Monthly'!$V$8</f>
        <v>-5601916.4558281703</v>
      </c>
      <c r="L110" s="18">
        <f ca="1">E110*'GS&lt;50 Predicted Monthly'!$V$9</f>
        <v>3432476.2791787665</v>
      </c>
      <c r="M110" s="18">
        <f ca="1">F110*'GS&lt;50 Predicted Monthly'!$V$10</f>
        <v>0</v>
      </c>
      <c r="N110" s="18">
        <f>G110*'GS&lt;50 Predicted Monthly'!$V$11</f>
        <v>0</v>
      </c>
      <c r="O110" s="18">
        <f>H110*'GS&lt;50 Predicted Monthly'!$V$12</f>
        <v>8344206.7499953387</v>
      </c>
      <c r="P110" s="18">
        <f>I110*'GS&lt;50 Predicted Monthly'!$V$13</f>
        <v>6736577.1784087056</v>
      </c>
      <c r="Q110" s="271">
        <f t="shared" ca="1" si="14"/>
        <v>12911343.751754642</v>
      </c>
      <c r="S110" s="259"/>
      <c r="T110" s="18"/>
      <c r="U110" s="276"/>
    </row>
    <row r="111" spans="1:21" x14ac:dyDescent="0.25">
      <c r="A111" s="3">
        <f>'Monthly Data'!A111</f>
        <v>45323</v>
      </c>
      <c r="B111" s="1">
        <f t="shared" si="11"/>
        <v>2024</v>
      </c>
      <c r="C111" s="1">
        <f t="shared" si="12"/>
        <v>2</v>
      </c>
      <c r="D111" s="259">
        <f ca="1">'Monthly Data'!J111</f>
        <v>11809067.11452879</v>
      </c>
      <c r="E111" s="269">
        <f t="shared" ca="1" si="13"/>
        <v>567.65501811594208</v>
      </c>
      <c r="F111" s="269">
        <f t="shared" ca="1" si="13"/>
        <v>0</v>
      </c>
      <c r="G111" s="18">
        <f>'Monthly Data'!CG111</f>
        <v>0</v>
      </c>
      <c r="H111" s="4">
        <f>'Monthly Data'!CD111</f>
        <v>29</v>
      </c>
      <c r="I111" s="24">
        <f>'Monthly Data'!K111</f>
        <v>4427</v>
      </c>
      <c r="K111" s="18">
        <f>'GS&lt;50 Predicted Monthly'!$V$8</f>
        <v>-5601916.4558281703</v>
      </c>
      <c r="L111" s="18">
        <f ca="1">E111*'GS&lt;50 Predicted Monthly'!$V$9</f>
        <v>3066830.7028158205</v>
      </c>
      <c r="M111" s="18">
        <f ca="1">F111*'GS&lt;50 Predicted Monthly'!$V$10</f>
        <v>0</v>
      </c>
      <c r="N111" s="18">
        <f>G111*'GS&lt;50 Predicted Monthly'!$V$11</f>
        <v>0</v>
      </c>
      <c r="O111" s="18">
        <f>H111*'GS&lt;50 Predicted Monthly'!$V$12</f>
        <v>7805870.8306408003</v>
      </c>
      <c r="P111" s="18">
        <f>I111*'GS&lt;50 Predicted Monthly'!$V$13</f>
        <v>6733535.147621436</v>
      </c>
      <c r="Q111" s="271">
        <f t="shared" ca="1" si="14"/>
        <v>12004320.225249887</v>
      </c>
      <c r="S111" s="259"/>
      <c r="T111" s="18"/>
      <c r="U111" s="276"/>
    </row>
    <row r="112" spans="1:21" x14ac:dyDescent="0.25">
      <c r="A112" s="3">
        <f>'Monthly Data'!A112</f>
        <v>45352</v>
      </c>
      <c r="B112" s="1">
        <f t="shared" si="11"/>
        <v>2024</v>
      </c>
      <c r="C112" s="1">
        <f t="shared" si="12"/>
        <v>3</v>
      </c>
      <c r="D112" s="259">
        <f ca="1">'Monthly Data'!J112</f>
        <v>11846684.157773821</v>
      </c>
      <c r="E112" s="269">
        <f t="shared" ca="1" si="13"/>
        <v>484.13298913043479</v>
      </c>
      <c r="F112" s="269">
        <f t="shared" ca="1" si="13"/>
        <v>0</v>
      </c>
      <c r="G112" s="18">
        <f>'Monthly Data'!CG112</f>
        <v>0</v>
      </c>
      <c r="H112" s="4">
        <f>'Monthly Data'!CD112</f>
        <v>31</v>
      </c>
      <c r="I112" s="24">
        <f>'Monthly Data'!K112</f>
        <v>4431</v>
      </c>
      <c r="K112" s="18">
        <f>'GS&lt;50 Predicted Monthly'!$V$8</f>
        <v>-5601916.4558281703</v>
      </c>
      <c r="L112" s="18">
        <f ca="1">E112*'GS&lt;50 Predicted Monthly'!$V$9</f>
        <v>2615591.9844400249</v>
      </c>
      <c r="M112" s="18">
        <f ca="1">F112*'GS&lt;50 Predicted Monthly'!$V$10</f>
        <v>0</v>
      </c>
      <c r="N112" s="18">
        <f>G112*'GS&lt;50 Predicted Monthly'!$V$11</f>
        <v>0</v>
      </c>
      <c r="O112" s="18">
        <f>H112*'GS&lt;50 Predicted Monthly'!$V$12</f>
        <v>8344206.7499953387</v>
      </c>
      <c r="P112" s="18">
        <f>I112*'GS&lt;50 Predicted Monthly'!$V$13</f>
        <v>6739619.2091959761</v>
      </c>
      <c r="Q112" s="271">
        <f t="shared" ca="1" si="14"/>
        <v>12097501.487803169</v>
      </c>
      <c r="S112" s="259"/>
    </row>
    <row r="113" spans="1:20" x14ac:dyDescent="0.25">
      <c r="A113" s="3">
        <f>'Monthly Data'!A113</f>
        <v>45383</v>
      </c>
      <c r="B113" s="1">
        <f t="shared" si="11"/>
        <v>2024</v>
      </c>
      <c r="C113" s="1">
        <f t="shared" si="12"/>
        <v>4</v>
      </c>
      <c r="D113" s="259">
        <f ca="1">'Monthly Data'!J113</f>
        <v>10810229.198586483</v>
      </c>
      <c r="E113" s="269">
        <f t="shared" ca="1" si="13"/>
        <v>292.81107954545462</v>
      </c>
      <c r="F113" s="269">
        <f t="shared" ca="1" si="13"/>
        <v>2.1908333333333347</v>
      </c>
      <c r="G113" s="18">
        <f>'Monthly Data'!CG113</f>
        <v>0</v>
      </c>
      <c r="H113" s="4">
        <f>'Monthly Data'!CD113</f>
        <v>30</v>
      </c>
      <c r="I113" s="24">
        <f>'Monthly Data'!K113</f>
        <v>4433</v>
      </c>
      <c r="K113" s="18">
        <f>'GS&lt;50 Predicted Monthly'!$V$8</f>
        <v>-5601916.4558281703</v>
      </c>
      <c r="L113" s="18">
        <f ca="1">E113*'GS&lt;50 Predicted Monthly'!$V$9</f>
        <v>1581950.2694702349</v>
      </c>
      <c r="M113" s="18">
        <f ca="1">F113*'GS&lt;50 Predicted Monthly'!$V$10</f>
        <v>27654.961846176375</v>
      </c>
      <c r="N113" s="18">
        <f>G113*'GS&lt;50 Predicted Monthly'!$V$11</f>
        <v>0</v>
      </c>
      <c r="O113" s="18">
        <f>H113*'GS&lt;50 Predicted Monthly'!$V$12</f>
        <v>8075038.79031807</v>
      </c>
      <c r="P113" s="18">
        <f>I113*'GS&lt;50 Predicted Monthly'!$V$13</f>
        <v>6742661.2399832457</v>
      </c>
      <c r="Q113" s="271">
        <f t="shared" ca="1" si="14"/>
        <v>10825388.805789556</v>
      </c>
      <c r="S113" s="259"/>
      <c r="T113" s="18"/>
    </row>
    <row r="114" spans="1:20" x14ac:dyDescent="0.25">
      <c r="A114" s="3">
        <f>'Monthly Data'!A114</f>
        <v>45413</v>
      </c>
      <c r="B114" s="1">
        <f t="shared" si="11"/>
        <v>2024</v>
      </c>
      <c r="C114" s="1">
        <f t="shared" si="12"/>
        <v>5</v>
      </c>
      <c r="D114" s="259">
        <f ca="1">'Monthly Data'!J114</f>
        <v>10819174.870085414</v>
      </c>
      <c r="E114" s="269">
        <f t="shared" ref="E114:F133" ca="1" si="15">E102</f>
        <v>103.25939244851259</v>
      </c>
      <c r="F114" s="269">
        <f t="shared" ca="1" si="15"/>
        <v>52.487435064935063</v>
      </c>
      <c r="G114" s="18">
        <f>'Monthly Data'!CG114</f>
        <v>0</v>
      </c>
      <c r="H114" s="4">
        <f>'Monthly Data'!CD114</f>
        <v>31</v>
      </c>
      <c r="I114" s="24">
        <f>'Monthly Data'!K114</f>
        <v>4438</v>
      </c>
      <c r="K114" s="18">
        <f>'GS&lt;50 Predicted Monthly'!$V$8</f>
        <v>-5601916.4558281703</v>
      </c>
      <c r="L114" s="18">
        <f ca="1">E114*'GS&lt;50 Predicted Monthly'!$V$9</f>
        <v>557872.41371752578</v>
      </c>
      <c r="M114" s="18">
        <f ca="1">F114*'GS&lt;50 Predicted Monthly'!$V$10</f>
        <v>662550.63406212477</v>
      </c>
      <c r="N114" s="18">
        <f>G114*'GS&lt;50 Predicted Monthly'!$V$11</f>
        <v>0</v>
      </c>
      <c r="O114" s="18">
        <f>H114*'GS&lt;50 Predicted Monthly'!$V$12</f>
        <v>8344206.7499953387</v>
      </c>
      <c r="P114" s="18">
        <f>I114*'GS&lt;50 Predicted Monthly'!$V$13</f>
        <v>6750266.3169514192</v>
      </c>
      <c r="Q114" s="271">
        <f t="shared" ca="1" si="14"/>
        <v>10712979.658898238</v>
      </c>
      <c r="S114" s="259"/>
      <c r="T114" s="18"/>
    </row>
    <row r="115" spans="1:20" x14ac:dyDescent="0.25">
      <c r="A115" s="3">
        <f>'Monthly Data'!A115</f>
        <v>45444</v>
      </c>
      <c r="B115" s="1">
        <f t="shared" si="11"/>
        <v>2024</v>
      </c>
      <c r="C115" s="1">
        <f t="shared" si="12"/>
        <v>6</v>
      </c>
      <c r="D115" s="259">
        <f ca="1"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18">
        <f>'Monthly Data'!CG115</f>
        <v>0</v>
      </c>
      <c r="H115" s="4">
        <f>'Monthly Data'!CD115</f>
        <v>30</v>
      </c>
      <c r="I115" s="24">
        <f>'Monthly Data'!K115</f>
        <v>4437</v>
      </c>
      <c r="K115" s="18">
        <f>'GS&lt;50 Predicted Monthly'!$V$8</f>
        <v>-5601916.4558281703</v>
      </c>
      <c r="L115" s="18">
        <f ca="1">E115*'GS&lt;50 Predicted Monthly'!$V$9</f>
        <v>64241.059697088072</v>
      </c>
      <c r="M115" s="18">
        <f ca="1">F115*'GS&lt;50 Predicted Monthly'!$V$10</f>
        <v>1737617.5415600708</v>
      </c>
      <c r="N115" s="18">
        <f>G115*'GS&lt;50 Predicted Monthly'!$V$11</f>
        <v>0</v>
      </c>
      <c r="O115" s="18">
        <f>H115*'GS&lt;50 Predicted Monthly'!$V$12</f>
        <v>8075038.79031807</v>
      </c>
      <c r="P115" s="18">
        <f>I115*'GS&lt;50 Predicted Monthly'!$V$13</f>
        <v>6748745.3015577849</v>
      </c>
      <c r="Q115" s="271">
        <f t="shared" ca="1" si="14"/>
        <v>11023726.237304844</v>
      </c>
      <c r="S115" s="259"/>
      <c r="T115" s="18"/>
    </row>
    <row r="116" spans="1:20" x14ac:dyDescent="0.25">
      <c r="A116" s="3">
        <v>45474</v>
      </c>
      <c r="B116" s="1">
        <f t="shared" si="11"/>
        <v>2024</v>
      </c>
      <c r="C116" s="1">
        <f t="shared" si="12"/>
        <v>7</v>
      </c>
      <c r="D116" s="259">
        <f ca="1"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18">
        <f>'Monthly Data'!CG116</f>
        <v>0</v>
      </c>
      <c r="H116" s="4">
        <f>'Monthly Data'!CD116</f>
        <v>31</v>
      </c>
      <c r="I116" s="24">
        <f>'Monthly Data'!K116</f>
        <v>4438</v>
      </c>
      <c r="K116" s="18">
        <f>'GS&lt;50 Predicted Monthly'!$V$8</f>
        <v>-5601916.4558281703</v>
      </c>
      <c r="L116" s="18">
        <f ca="1">E116*'GS&lt;50 Predicted Monthly'!$V$9</f>
        <v>402.94624249810443</v>
      </c>
      <c r="M116" s="18">
        <f ca="1">F116*'GS&lt;50 Predicted Monthly'!$V$10</f>
        <v>2978371.5873122169</v>
      </c>
      <c r="N116" s="18">
        <f>G116*'GS&lt;50 Predicted Monthly'!$V$11</f>
        <v>0</v>
      </c>
      <c r="O116" s="18">
        <f>H116*'GS&lt;50 Predicted Monthly'!$V$12</f>
        <v>8344206.7499953387</v>
      </c>
      <c r="P116" s="18">
        <f>I116*'GS&lt;50 Predicted Monthly'!$V$13</f>
        <v>6750266.3169514192</v>
      </c>
      <c r="Q116" s="271">
        <f t="shared" ca="1" si="14"/>
        <v>12471331.144673303</v>
      </c>
      <c r="T116" s="18"/>
    </row>
    <row r="117" spans="1:20" x14ac:dyDescent="0.25">
      <c r="A117" s="3">
        <v>45505</v>
      </c>
      <c r="B117" s="1">
        <f t="shared" si="11"/>
        <v>2024</v>
      </c>
      <c r="C117" s="1">
        <f t="shared" si="12"/>
        <v>8</v>
      </c>
      <c r="D117" s="259">
        <f ca="1"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18">
        <f>'Monthly Data'!CG117</f>
        <v>0</v>
      </c>
      <c r="H117" s="4">
        <f>'Monthly Data'!CD117</f>
        <v>31</v>
      </c>
      <c r="I117" s="24">
        <f>'Monthly Data'!K117</f>
        <v>4440</v>
      </c>
      <c r="K117" s="18">
        <f>'GS&lt;50 Predicted Monthly'!$V$8</f>
        <v>-5601916.4558281703</v>
      </c>
      <c r="L117" s="18">
        <f ca="1">E117*'GS&lt;50 Predicted Monthly'!$V$9</f>
        <v>4054.2244845759205</v>
      </c>
      <c r="M117" s="18">
        <f ca="1">F117*'GS&lt;50 Predicted Monthly'!$V$10</f>
        <v>2663025.615275396</v>
      </c>
      <c r="N117" s="18">
        <f>G117*'GS&lt;50 Predicted Monthly'!$V$11</f>
        <v>0</v>
      </c>
      <c r="O117" s="18">
        <f>H117*'GS&lt;50 Predicted Monthly'!$V$12</f>
        <v>8344206.7499953387</v>
      </c>
      <c r="P117" s="18">
        <f>I117*'GS&lt;50 Predicted Monthly'!$V$13</f>
        <v>6753308.3477386897</v>
      </c>
      <c r="Q117" s="271">
        <f t="shared" ca="1" si="14"/>
        <v>12162678.481665831</v>
      </c>
      <c r="T117" s="18"/>
    </row>
    <row r="118" spans="1:20" x14ac:dyDescent="0.25">
      <c r="A118" s="3">
        <v>45536</v>
      </c>
      <c r="B118" s="1">
        <f t="shared" si="11"/>
        <v>2024</v>
      </c>
      <c r="C118" s="1">
        <f t="shared" si="12"/>
        <v>9</v>
      </c>
      <c r="D118" s="259">
        <f ca="1"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18">
        <f>'Monthly Data'!CG118</f>
        <v>0</v>
      </c>
      <c r="H118" s="4">
        <f>'Monthly Data'!CD118</f>
        <v>30</v>
      </c>
      <c r="I118" s="24">
        <f>'Monthly Data'!K118</f>
        <v>4445</v>
      </c>
      <c r="K118" s="18">
        <f>'GS&lt;50 Predicted Monthly'!$V$8</f>
        <v>-5601916.4558281703</v>
      </c>
      <c r="L118" s="18">
        <f ca="1">E118*'GS&lt;50 Predicted Monthly'!$V$9</f>
        <v>142319.00772077637</v>
      </c>
      <c r="M118" s="18">
        <f ca="1">F118*'GS&lt;50 Predicted Monthly'!$V$10</f>
        <v>1343292.848557675</v>
      </c>
      <c r="N118" s="18">
        <f>G118*'GS&lt;50 Predicted Monthly'!$V$11</f>
        <v>0</v>
      </c>
      <c r="O118" s="18">
        <f>H118*'GS&lt;50 Predicted Monthly'!$V$12</f>
        <v>8075038.79031807</v>
      </c>
      <c r="P118" s="18">
        <f>I118*'GS&lt;50 Predicted Monthly'!$V$13</f>
        <v>6760913.4247068632</v>
      </c>
      <c r="Q118" s="271">
        <f t="shared" ca="1" si="14"/>
        <v>10719647.615475215</v>
      </c>
      <c r="T118" s="18"/>
    </row>
    <row r="119" spans="1:20" x14ac:dyDescent="0.25">
      <c r="A119" s="3">
        <v>45566</v>
      </c>
      <c r="B119" s="1">
        <f t="shared" si="11"/>
        <v>2024</v>
      </c>
      <c r="C119" s="1">
        <f t="shared" si="12"/>
        <v>10</v>
      </c>
      <c r="D119" s="259">
        <f ca="1"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18">
        <f>'Monthly Data'!CG119</f>
        <v>0</v>
      </c>
      <c r="H119" s="4">
        <f>'Monthly Data'!CD119</f>
        <v>31</v>
      </c>
      <c r="I119" s="24">
        <f>'Monthly Data'!K119</f>
        <v>4447</v>
      </c>
      <c r="K119" s="18">
        <f>'GS&lt;50 Predicted Monthly'!$V$8</f>
        <v>-5601916.4558281703</v>
      </c>
      <c r="L119" s="18">
        <f ca="1">E119*'GS&lt;50 Predicted Monthly'!$V$9</f>
        <v>979839.98335111968</v>
      </c>
      <c r="M119" s="18">
        <f ca="1">F119*'GS&lt;50 Predicted Monthly'!$V$10</f>
        <v>227051.54962677584</v>
      </c>
      <c r="N119" s="18">
        <f>G119*'GS&lt;50 Predicted Monthly'!$V$11</f>
        <v>0</v>
      </c>
      <c r="O119" s="18">
        <f>H119*'GS&lt;50 Predicted Monthly'!$V$12</f>
        <v>8344206.7499953387</v>
      </c>
      <c r="P119" s="18">
        <f>I119*'GS&lt;50 Predicted Monthly'!$V$13</f>
        <v>6763955.4554941328</v>
      </c>
      <c r="Q119" s="271">
        <f t="shared" ca="1" si="14"/>
        <v>10713137.282639198</v>
      </c>
      <c r="T119" s="18"/>
    </row>
    <row r="120" spans="1:20" x14ac:dyDescent="0.25">
      <c r="A120" s="3">
        <v>45597</v>
      </c>
      <c r="B120" s="1">
        <f t="shared" si="11"/>
        <v>2024</v>
      </c>
      <c r="C120" s="1">
        <f t="shared" si="12"/>
        <v>11</v>
      </c>
      <c r="D120" s="259">
        <f ca="1"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18">
        <f>'Monthly Data'!CG120</f>
        <v>0</v>
      </c>
      <c r="H120" s="4">
        <f>'Monthly Data'!CD120</f>
        <v>30</v>
      </c>
      <c r="I120" s="24">
        <f>'Monthly Data'!K120</f>
        <v>4465</v>
      </c>
      <c r="K120" s="18">
        <f>'GS&lt;50 Predicted Monthly'!$V$8</f>
        <v>-5601916.4558281703</v>
      </c>
      <c r="L120" s="18">
        <f ca="1">E120*'GS&lt;50 Predicted Monthly'!$V$9</f>
        <v>1981578.8516675723</v>
      </c>
      <c r="M120" s="18">
        <f ca="1">F120*'GS&lt;50 Predicted Monthly'!$V$10</f>
        <v>10203.618482613561</v>
      </c>
      <c r="N120" s="18">
        <f>G120*'GS&lt;50 Predicted Monthly'!$V$11</f>
        <v>0</v>
      </c>
      <c r="O120" s="18">
        <f>H120*'GS&lt;50 Predicted Monthly'!$V$12</f>
        <v>8075038.79031807</v>
      </c>
      <c r="P120" s="18">
        <f>I120*'GS&lt;50 Predicted Monthly'!$V$13</f>
        <v>6791333.73257956</v>
      </c>
      <c r="Q120" s="271">
        <f t="shared" ca="1" si="14"/>
        <v>11256238.537219645</v>
      </c>
      <c r="T120" s="18"/>
    </row>
    <row r="121" spans="1:20" x14ac:dyDescent="0.25">
      <c r="A121" s="3">
        <v>45627</v>
      </c>
      <c r="B121" s="1">
        <f t="shared" si="11"/>
        <v>2024</v>
      </c>
      <c r="C121" s="1">
        <f t="shared" si="12"/>
        <v>12</v>
      </c>
      <c r="D121" s="259">
        <f ca="1"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18">
        <f>'Monthly Data'!CG121</f>
        <v>0</v>
      </c>
      <c r="H121" s="4">
        <f>'Monthly Data'!CD121</f>
        <v>31</v>
      </c>
      <c r="I121" s="24">
        <f>'Monthly Data'!K121</f>
        <v>4297</v>
      </c>
      <c r="K121" s="18">
        <f>'GS&lt;50 Predicted Monthly'!$V$8</f>
        <v>-5601916.4558281703</v>
      </c>
      <c r="L121" s="18">
        <f ca="1">E121*'GS&lt;50 Predicted Monthly'!$V$9</f>
        <v>2787368.740819619</v>
      </c>
      <c r="M121" s="18">
        <f ca="1">F121*'GS&lt;50 Predicted Monthly'!$V$10</f>
        <v>0</v>
      </c>
      <c r="N121" s="18">
        <f>G121*'GS&lt;50 Predicted Monthly'!$V$11</f>
        <v>0</v>
      </c>
      <c r="O121" s="18">
        <f>H121*'GS&lt;50 Predicted Monthly'!$V$12</f>
        <v>8344206.7499953387</v>
      </c>
      <c r="P121" s="18">
        <f>I121*'GS&lt;50 Predicted Monthly'!$V$13</f>
        <v>6535803.1464489074</v>
      </c>
      <c r="Q121" s="271">
        <f t="shared" ca="1" si="14"/>
        <v>12065462.181435695</v>
      </c>
      <c r="T121" s="18"/>
    </row>
    <row r="122" spans="1:20" x14ac:dyDescent="0.25">
      <c r="A122" s="3">
        <v>45658</v>
      </c>
      <c r="B122" s="1">
        <f t="shared" si="11"/>
        <v>2025</v>
      </c>
      <c r="C122" s="1">
        <f t="shared" si="12"/>
        <v>1</v>
      </c>
      <c r="E122" s="280">
        <f t="shared" ca="1" si="15"/>
        <v>635.33418478260876</v>
      </c>
      <c r="F122" s="280">
        <f t="shared" ca="1" si="15"/>
        <v>0</v>
      </c>
      <c r="G122" s="304"/>
      <c r="H122" s="280">
        <f>H74</f>
        <v>31</v>
      </c>
      <c r="I122" s="16">
        <f>'Customer Count'!G35</f>
        <v>4301</v>
      </c>
      <c r="K122" s="18">
        <f>'GS&lt;50 Predicted Monthly'!$V$8</f>
        <v>-5601916.4558281703</v>
      </c>
      <c r="L122" s="18">
        <f ca="1">E122*'GS&lt;50 Predicted Monthly'!$V$9</f>
        <v>3432476.2791787665</v>
      </c>
      <c r="M122" s="18">
        <f ca="1">F122*'GS&lt;50 Predicted Monthly'!$V$10</f>
        <v>0</v>
      </c>
      <c r="N122" s="18">
        <f>G122*'GS&lt;50 Predicted Monthly'!$V$11</f>
        <v>0</v>
      </c>
      <c r="O122" s="18">
        <f>H122*'GS&lt;50 Predicted Monthly'!$V$12</f>
        <v>8344206.7499953387</v>
      </c>
      <c r="P122" s="18">
        <f>I122*'GS&lt;50 Predicted Monthly'!$V$13</f>
        <v>6541887.2080234466</v>
      </c>
      <c r="Q122" s="271">
        <f t="shared" ca="1" si="14"/>
        <v>12716653.781369381</v>
      </c>
      <c r="T122" s="18"/>
    </row>
    <row r="123" spans="1:20" x14ac:dyDescent="0.25">
      <c r="A123" s="3">
        <v>45689</v>
      </c>
      <c r="B123" s="1">
        <f t="shared" si="11"/>
        <v>2025</v>
      </c>
      <c r="C123" s="1">
        <f t="shared" si="12"/>
        <v>2</v>
      </c>
      <c r="E123" s="280">
        <f t="shared" ca="1" si="15"/>
        <v>567.65501811594208</v>
      </c>
      <c r="F123" s="280">
        <f t="shared" ca="1" si="15"/>
        <v>0</v>
      </c>
      <c r="G123" s="304"/>
      <c r="H123" s="280">
        <f t="shared" ref="H123:H145" si="16">H75</f>
        <v>28</v>
      </c>
      <c r="I123" s="16">
        <f>'Customer Count'!G36</f>
        <v>4306</v>
      </c>
      <c r="K123" s="18">
        <f>'GS&lt;50 Predicted Monthly'!$V$8</f>
        <v>-5601916.4558281703</v>
      </c>
      <c r="L123" s="18">
        <f ca="1">E123*'GS&lt;50 Predicted Monthly'!$V$9</f>
        <v>3066830.7028158205</v>
      </c>
      <c r="M123" s="18">
        <f ca="1">F123*'GS&lt;50 Predicted Monthly'!$V$10</f>
        <v>0</v>
      </c>
      <c r="N123" s="18">
        <f>G123*'GS&lt;50 Predicted Monthly'!$V$11</f>
        <v>0</v>
      </c>
      <c r="O123" s="18">
        <f>H123*'GS&lt;50 Predicted Monthly'!$V$12</f>
        <v>7536702.8709635315</v>
      </c>
      <c r="P123" s="18">
        <f>I123*'GS&lt;50 Predicted Monthly'!$V$13</f>
        <v>6549492.284991621</v>
      </c>
      <c r="Q123" s="271">
        <f t="shared" ca="1" si="14"/>
        <v>11551109.402942803</v>
      </c>
      <c r="T123" s="18"/>
    </row>
    <row r="124" spans="1:20" x14ac:dyDescent="0.25">
      <c r="A124" s="3">
        <v>45717</v>
      </c>
      <c r="B124" s="1">
        <f t="shared" si="11"/>
        <v>2025</v>
      </c>
      <c r="C124" s="1">
        <f t="shared" si="12"/>
        <v>3</v>
      </c>
      <c r="E124" s="280">
        <f t="shared" ca="1" si="15"/>
        <v>484.13298913043479</v>
      </c>
      <c r="F124" s="280">
        <f t="shared" ca="1" si="15"/>
        <v>0</v>
      </c>
      <c r="G124" s="304"/>
      <c r="H124" s="280">
        <f t="shared" si="16"/>
        <v>31</v>
      </c>
      <c r="I124" s="16">
        <f>'Customer Count'!G37</f>
        <v>4319</v>
      </c>
      <c r="K124" s="18">
        <f>'GS&lt;50 Predicted Monthly'!$V$8</f>
        <v>-5601916.4558281703</v>
      </c>
      <c r="L124" s="18">
        <f ca="1">E124*'GS&lt;50 Predicted Monthly'!$V$9</f>
        <v>2615591.9844400249</v>
      </c>
      <c r="M124" s="18">
        <f ca="1">F124*'GS&lt;50 Predicted Monthly'!$V$10</f>
        <v>0</v>
      </c>
      <c r="N124" s="18">
        <f>G124*'GS&lt;50 Predicted Monthly'!$V$11</f>
        <v>0</v>
      </c>
      <c r="O124" s="18">
        <f>H124*'GS&lt;50 Predicted Monthly'!$V$12</f>
        <v>8344206.7499953387</v>
      </c>
      <c r="P124" s="18">
        <f>I124*'GS&lt;50 Predicted Monthly'!$V$13</f>
        <v>6569265.4851088738</v>
      </c>
      <c r="Q124" s="271">
        <f t="shared" ca="1" si="14"/>
        <v>11927147.763716068</v>
      </c>
      <c r="T124" s="18"/>
    </row>
    <row r="125" spans="1:20" x14ac:dyDescent="0.25">
      <c r="A125" s="3">
        <v>45748</v>
      </c>
      <c r="B125" s="1">
        <f t="shared" si="11"/>
        <v>2025</v>
      </c>
      <c r="C125" s="1">
        <f t="shared" si="12"/>
        <v>4</v>
      </c>
      <c r="E125" s="280">
        <f t="shared" ca="1" si="15"/>
        <v>292.81107954545462</v>
      </c>
      <c r="F125" s="280">
        <f t="shared" ca="1" si="15"/>
        <v>2.1908333333333347</v>
      </c>
      <c r="G125" s="304"/>
      <c r="H125" s="280">
        <f t="shared" si="16"/>
        <v>30</v>
      </c>
      <c r="I125" s="16">
        <f>'Customer Count'!G38</f>
        <v>4321</v>
      </c>
      <c r="K125" s="18">
        <f>'GS&lt;50 Predicted Monthly'!$V$8</f>
        <v>-5601916.4558281703</v>
      </c>
      <c r="L125" s="18">
        <f ca="1">E125*'GS&lt;50 Predicted Monthly'!$V$9</f>
        <v>1581950.2694702349</v>
      </c>
      <c r="M125" s="18">
        <f ca="1">F125*'GS&lt;50 Predicted Monthly'!$V$10</f>
        <v>27654.961846176375</v>
      </c>
      <c r="N125" s="18">
        <f>G125*'GS&lt;50 Predicted Monthly'!$V$11</f>
        <v>0</v>
      </c>
      <c r="O125" s="18">
        <f>H125*'GS&lt;50 Predicted Monthly'!$V$12</f>
        <v>8075038.79031807</v>
      </c>
      <c r="P125" s="18">
        <f>I125*'GS&lt;50 Predicted Monthly'!$V$13</f>
        <v>6572307.5158961434</v>
      </c>
      <c r="Q125" s="271">
        <f t="shared" ca="1" si="14"/>
        <v>10655035.081702454</v>
      </c>
    </row>
    <row r="126" spans="1:20" x14ac:dyDescent="0.25">
      <c r="A126" s="3">
        <v>45778</v>
      </c>
      <c r="B126" s="1">
        <f t="shared" si="11"/>
        <v>2025</v>
      </c>
      <c r="C126" s="1">
        <f t="shared" si="12"/>
        <v>5</v>
      </c>
      <c r="E126" s="280">
        <f t="shared" ca="1" si="15"/>
        <v>103.25939244851259</v>
      </c>
      <c r="F126" s="280">
        <f t="shared" ca="1" si="15"/>
        <v>52.487435064935063</v>
      </c>
      <c r="G126" s="304"/>
      <c r="H126" s="280">
        <f t="shared" si="16"/>
        <v>31</v>
      </c>
      <c r="I126" s="16">
        <f>'Customer Count'!G39</f>
        <v>4311</v>
      </c>
      <c r="K126" s="18">
        <f>'GS&lt;50 Predicted Monthly'!$V$8</f>
        <v>-5601916.4558281703</v>
      </c>
      <c r="L126" s="18">
        <f ca="1">E126*'GS&lt;50 Predicted Monthly'!$V$9</f>
        <v>557872.41371752578</v>
      </c>
      <c r="M126" s="18">
        <f ca="1">F126*'GS&lt;50 Predicted Monthly'!$V$10</f>
        <v>662550.63406212477</v>
      </c>
      <c r="N126" s="18">
        <f>G126*'GS&lt;50 Predicted Monthly'!$V$11</f>
        <v>0</v>
      </c>
      <c r="O126" s="18">
        <f>H126*'GS&lt;50 Predicted Monthly'!$V$12</f>
        <v>8344206.7499953387</v>
      </c>
      <c r="P126" s="18">
        <f>I126*'GS&lt;50 Predicted Monthly'!$V$13</f>
        <v>6557097.3619597945</v>
      </c>
      <c r="Q126" s="271">
        <f t="shared" ca="1" si="14"/>
        <v>10519810.703906614</v>
      </c>
    </row>
    <row r="127" spans="1:20" x14ac:dyDescent="0.25">
      <c r="A127" s="3">
        <v>45809</v>
      </c>
      <c r="B127" s="1">
        <f t="shared" si="11"/>
        <v>2025</v>
      </c>
      <c r="C127" s="1">
        <f t="shared" si="12"/>
        <v>6</v>
      </c>
      <c r="E127" s="280">
        <f t="shared" ca="1" si="15"/>
        <v>11.89069871794872</v>
      </c>
      <c r="F127" s="280">
        <f t="shared" ca="1" si="15"/>
        <v>137.65451754405018</v>
      </c>
      <c r="G127" s="304"/>
      <c r="H127" s="280">
        <f t="shared" si="16"/>
        <v>30</v>
      </c>
      <c r="I127" s="16">
        <f>'Customer Count'!G40</f>
        <v>4323</v>
      </c>
      <c r="K127" s="18">
        <f>'GS&lt;50 Predicted Monthly'!$V$8</f>
        <v>-5601916.4558281703</v>
      </c>
      <c r="L127" s="18">
        <f ca="1">E127*'GS&lt;50 Predicted Monthly'!$V$9</f>
        <v>64241.059697088072</v>
      </c>
      <c r="M127" s="18">
        <f ca="1">F127*'GS&lt;50 Predicted Monthly'!$V$10</f>
        <v>1737617.5415600708</v>
      </c>
      <c r="N127" s="18">
        <f>G127*'GS&lt;50 Predicted Monthly'!$V$11</f>
        <v>0</v>
      </c>
      <c r="O127" s="18">
        <f>H127*'GS&lt;50 Predicted Monthly'!$V$12</f>
        <v>8075038.79031807</v>
      </c>
      <c r="P127" s="18">
        <f>I127*'GS&lt;50 Predicted Monthly'!$V$13</f>
        <v>6575349.546683413</v>
      </c>
      <c r="Q127" s="271">
        <f t="shared" ca="1" si="14"/>
        <v>10850330.482430471</v>
      </c>
    </row>
    <row r="128" spans="1:20" x14ac:dyDescent="0.25">
      <c r="A128" s="3">
        <v>45839</v>
      </c>
      <c r="B128" s="1">
        <f t="shared" si="11"/>
        <v>2025</v>
      </c>
      <c r="C128" s="1">
        <f t="shared" si="12"/>
        <v>7</v>
      </c>
      <c r="E128" s="280">
        <f t="shared" ca="1" si="15"/>
        <v>7.4583333333333002E-2</v>
      </c>
      <c r="F128" s="280">
        <f t="shared" ca="1" si="15"/>
        <v>235.94737858727848</v>
      </c>
      <c r="G128" s="304"/>
      <c r="H128" s="280">
        <f t="shared" si="16"/>
        <v>31</v>
      </c>
      <c r="I128" s="16">
        <f>'Customer Count'!G41</f>
        <v>4326.8642753965878</v>
      </c>
      <c r="K128" s="18">
        <f>'GS&lt;50 Predicted Monthly'!$V$8</f>
        <v>-5601916.4558281703</v>
      </c>
      <c r="L128" s="18">
        <f ca="1">E128*'GS&lt;50 Predicted Monthly'!$V$9</f>
        <v>402.94624249810443</v>
      </c>
      <c r="M128" s="18">
        <f ca="1">F128*'GS&lt;50 Predicted Monthly'!$V$10</f>
        <v>2978371.5873122169</v>
      </c>
      <c r="N128" s="18">
        <f>G128*'GS&lt;50 Predicted Monthly'!$V$11</f>
        <v>0</v>
      </c>
      <c r="O128" s="18">
        <f>H128*'GS&lt;50 Predicted Monthly'!$V$12</f>
        <v>8344206.7499953387</v>
      </c>
      <c r="P128" s="18">
        <f>I128*'GS&lt;50 Predicted Monthly'!$V$13</f>
        <v>6581227.1690468676</v>
      </c>
      <c r="Q128" s="271">
        <f t="shared" ca="1" si="14"/>
        <v>12302291.99676875</v>
      </c>
    </row>
    <row r="129" spans="1:17" x14ac:dyDescent="0.25">
      <c r="A129" s="3">
        <v>45870</v>
      </c>
      <c r="B129" s="1">
        <f t="shared" si="11"/>
        <v>2025</v>
      </c>
      <c r="C129" s="1">
        <f t="shared" si="12"/>
        <v>8</v>
      </c>
      <c r="E129" s="280">
        <f t="shared" ca="1" si="15"/>
        <v>0.75041666666666718</v>
      </c>
      <c r="F129" s="280">
        <f t="shared" ca="1" si="15"/>
        <v>210.96558794466404</v>
      </c>
      <c r="G129" s="304"/>
      <c r="H129" s="280">
        <f t="shared" si="16"/>
        <v>31</v>
      </c>
      <c r="I129" s="16">
        <f>'Customer Count'!G42</f>
        <v>4330.7320050204116</v>
      </c>
      <c r="K129" s="18">
        <f>'GS&lt;50 Predicted Monthly'!$V$8</f>
        <v>-5601916.4558281703</v>
      </c>
      <c r="L129" s="18">
        <f ca="1">E129*'GS&lt;50 Predicted Monthly'!$V$9</f>
        <v>4054.2244845759205</v>
      </c>
      <c r="M129" s="18">
        <f ca="1">F129*'GS&lt;50 Predicted Monthly'!$V$10</f>
        <v>2663025.615275396</v>
      </c>
      <c r="N129" s="18">
        <f>G129*'GS&lt;50 Predicted Monthly'!$V$11</f>
        <v>0</v>
      </c>
      <c r="O129" s="18">
        <f>H129*'GS&lt;50 Predicted Monthly'!$V$12</f>
        <v>8344206.7499953387</v>
      </c>
      <c r="P129" s="18">
        <f>I129*'GS&lt;50 Predicted Monthly'!$V$13</f>
        <v>6587110.0453431206</v>
      </c>
      <c r="Q129" s="271">
        <f t="shared" ca="1" si="14"/>
        <v>11996480.17927026</v>
      </c>
    </row>
    <row r="130" spans="1:17" x14ac:dyDescent="0.25">
      <c r="A130" s="3">
        <v>45901</v>
      </c>
      <c r="B130" s="1">
        <f t="shared" si="11"/>
        <v>2025</v>
      </c>
      <c r="C130" s="1">
        <f t="shared" si="12"/>
        <v>9</v>
      </c>
      <c r="E130" s="280">
        <f t="shared" ca="1" si="15"/>
        <v>26.342536231884061</v>
      </c>
      <c r="F130" s="280">
        <f t="shared" ca="1" si="15"/>
        <v>106.4160119047619</v>
      </c>
      <c r="G130" s="304"/>
      <c r="H130" s="280">
        <f t="shared" si="16"/>
        <v>30</v>
      </c>
      <c r="I130" s="16">
        <f>'Customer Count'!G43</f>
        <v>4334.6031919591614</v>
      </c>
      <c r="K130" s="18">
        <f>'GS&lt;50 Predicted Monthly'!$V$8</f>
        <v>-5601916.4558281703</v>
      </c>
      <c r="L130" s="18">
        <f ca="1">E130*'GS&lt;50 Predicted Monthly'!$V$9</f>
        <v>142319.00772077637</v>
      </c>
      <c r="M130" s="18">
        <f ca="1">F130*'GS&lt;50 Predicted Monthly'!$V$10</f>
        <v>1343292.848557675</v>
      </c>
      <c r="N130" s="18">
        <f>G130*'GS&lt;50 Predicted Monthly'!$V$11</f>
        <v>0</v>
      </c>
      <c r="O130" s="18">
        <f>H130*'GS&lt;50 Predicted Monthly'!$V$12</f>
        <v>8075038.79031807</v>
      </c>
      <c r="P130" s="18">
        <f>I130*'GS&lt;50 Predicted Monthly'!$V$13</f>
        <v>6592998.1802685978</v>
      </c>
      <c r="Q130" s="271">
        <f t="shared" ref="Q130:Q145" ca="1" si="17">SUM(K130:P130)</f>
        <v>10551732.37103695</v>
      </c>
    </row>
    <row r="131" spans="1:17" x14ac:dyDescent="0.25">
      <c r="A131" s="3">
        <v>45931</v>
      </c>
      <c r="B131" s="1">
        <f t="shared" si="11"/>
        <v>2025</v>
      </c>
      <c r="C131" s="1">
        <f t="shared" si="12"/>
        <v>10</v>
      </c>
      <c r="E131" s="280">
        <f t="shared" ca="1" si="15"/>
        <v>181.36347826086953</v>
      </c>
      <c r="F131" s="280">
        <f t="shared" ca="1" si="15"/>
        <v>17.987083333333334</v>
      </c>
      <c r="G131" s="304"/>
      <c r="H131" s="280">
        <f t="shared" si="16"/>
        <v>31</v>
      </c>
      <c r="I131" s="16">
        <f>'Customer Count'!G44</f>
        <v>4338.4778393032875</v>
      </c>
      <c r="K131" s="18">
        <f>'GS&lt;50 Predicted Monthly'!$V$8</f>
        <v>-5601916.4558281703</v>
      </c>
      <c r="L131" s="18">
        <f ca="1">E131*'GS&lt;50 Predicted Monthly'!$V$9</f>
        <v>979839.98335111968</v>
      </c>
      <c r="M131" s="18">
        <f ca="1">F131*'GS&lt;50 Predicted Monthly'!$V$10</f>
        <v>227051.54962677584</v>
      </c>
      <c r="N131" s="18">
        <f>G131*'GS&lt;50 Predicted Monthly'!$V$11</f>
        <v>0</v>
      </c>
      <c r="O131" s="18">
        <f>H131*'GS&lt;50 Predicted Monthly'!$V$12</f>
        <v>8344206.7499953387</v>
      </c>
      <c r="P131" s="18">
        <f>I131*'GS&lt;50 Predicted Monthly'!$V$13</f>
        <v>6598891.5785239199</v>
      </c>
      <c r="Q131" s="271">
        <f t="shared" ca="1" si="17"/>
        <v>10548073.405668985</v>
      </c>
    </row>
    <row r="132" spans="1:17" x14ac:dyDescent="0.25">
      <c r="A132" s="3">
        <v>45962</v>
      </c>
      <c r="B132" s="1">
        <f t="shared" si="11"/>
        <v>2025</v>
      </c>
      <c r="C132" s="1">
        <f t="shared" si="12"/>
        <v>11</v>
      </c>
      <c r="E132" s="280">
        <f t="shared" ca="1" si="15"/>
        <v>366.78033055712399</v>
      </c>
      <c r="F132" s="280">
        <f t="shared" ca="1" si="15"/>
        <v>0.8083333333333329</v>
      </c>
      <c r="G132" s="304"/>
      <c r="H132" s="280">
        <f t="shared" si="16"/>
        <v>30</v>
      </c>
      <c r="I132" s="16">
        <f>'Customer Count'!G45</f>
        <v>4342.3559501460031</v>
      </c>
      <c r="K132" s="18">
        <f>'GS&lt;50 Predicted Monthly'!$V$8</f>
        <v>-5601916.4558281703</v>
      </c>
      <c r="L132" s="18">
        <f ca="1">E132*'GS&lt;50 Predicted Monthly'!$V$9</f>
        <v>1981578.8516675723</v>
      </c>
      <c r="M132" s="18">
        <f ca="1">F132*'GS&lt;50 Predicted Monthly'!$V$10</f>
        <v>10203.618482613561</v>
      </c>
      <c r="N132" s="18">
        <f>G132*'GS&lt;50 Predicted Monthly'!$V$11</f>
        <v>0</v>
      </c>
      <c r="O132" s="18">
        <f>H132*'GS&lt;50 Predicted Monthly'!$V$12</f>
        <v>8075038.79031807</v>
      </c>
      <c r="P132" s="18">
        <f>I132*'GS&lt;50 Predicted Monthly'!$V$13</f>
        <v>6604790.2448139125</v>
      </c>
      <c r="Q132" s="271">
        <f t="shared" ca="1" si="17"/>
        <v>11069695.049453998</v>
      </c>
    </row>
    <row r="133" spans="1:17" x14ac:dyDescent="0.25">
      <c r="A133" s="3">
        <v>45992</v>
      </c>
      <c r="B133" s="1">
        <f t="shared" si="11"/>
        <v>2025</v>
      </c>
      <c r="C133" s="1">
        <f t="shared" si="12"/>
        <v>12</v>
      </c>
      <c r="E133" s="280">
        <f t="shared" ca="1" si="15"/>
        <v>515.92800724637686</v>
      </c>
      <c r="F133" s="280">
        <f t="shared" ca="1" si="15"/>
        <v>0</v>
      </c>
      <c r="G133" s="304"/>
      <c r="H133" s="280">
        <f t="shared" si="16"/>
        <v>31</v>
      </c>
      <c r="I133" s="16">
        <f>'Customer Count'!G46</f>
        <v>4346.2375275832865</v>
      </c>
      <c r="K133" s="18">
        <f>'GS&lt;50 Predicted Monthly'!$V$8</f>
        <v>-5601916.4558281703</v>
      </c>
      <c r="L133" s="18">
        <f ca="1">E133*'GS&lt;50 Predicted Monthly'!$V$9</f>
        <v>2787368.740819619</v>
      </c>
      <c r="M133" s="18">
        <f ca="1">F133*'GS&lt;50 Predicted Monthly'!$V$10</f>
        <v>0</v>
      </c>
      <c r="N133" s="18">
        <f>G133*'GS&lt;50 Predicted Monthly'!$V$11</f>
        <v>0</v>
      </c>
      <c r="O133" s="18">
        <f>H133*'GS&lt;50 Predicted Monthly'!$V$12</f>
        <v>8344206.7499953387</v>
      </c>
      <c r="P133" s="18">
        <f>I133*'GS&lt;50 Predicted Monthly'!$V$13</f>
        <v>6610694.1838476062</v>
      </c>
      <c r="Q133" s="271">
        <f t="shared" ca="1" si="17"/>
        <v>12140353.218834393</v>
      </c>
    </row>
    <row r="134" spans="1:17" x14ac:dyDescent="0.25">
      <c r="A134" s="3">
        <v>46023</v>
      </c>
      <c r="B134" s="1">
        <f t="shared" si="11"/>
        <v>2026</v>
      </c>
      <c r="C134" s="1">
        <f t="shared" si="12"/>
        <v>1</v>
      </c>
      <c r="E134" s="280">
        <f t="shared" ref="E134:F145" ca="1" si="18">E122</f>
        <v>635.33418478260876</v>
      </c>
      <c r="F134" s="280">
        <f t="shared" ca="1" si="18"/>
        <v>0</v>
      </c>
      <c r="G134" s="304"/>
      <c r="H134" s="280">
        <f t="shared" si="16"/>
        <v>31</v>
      </c>
      <c r="I134" s="16">
        <f>'Customer Count'!G47</f>
        <v>4350.188004510861</v>
      </c>
      <c r="K134" s="18">
        <f>'GS&lt;50 Predicted Monthly'!$V$8</f>
        <v>-5601916.4558281703</v>
      </c>
      <c r="L134" s="18">
        <f ca="1">E134*'GS&lt;50 Predicted Monthly'!$V$9</f>
        <v>3432476.2791787665</v>
      </c>
      <c r="M134" s="18">
        <f ca="1">F134*'GS&lt;50 Predicted Monthly'!$V$10</f>
        <v>0</v>
      </c>
      <c r="N134" s="18">
        <f>G134*'GS&lt;50 Predicted Monthly'!$V$11</f>
        <v>0</v>
      </c>
      <c r="O134" s="18">
        <f>H134*'GS&lt;50 Predicted Monthly'!$V$12</f>
        <v>8344206.7499953387</v>
      </c>
      <c r="P134" s="18">
        <f>I134*'GS&lt;50 Predicted Monthly'!$V$13</f>
        <v>6616702.9200666463</v>
      </c>
      <c r="Q134" s="271">
        <f t="shared" ca="1" si="17"/>
        <v>12791469.49341258</v>
      </c>
    </row>
    <row r="135" spans="1:17" x14ac:dyDescent="0.25">
      <c r="A135" s="3">
        <v>46054</v>
      </c>
      <c r="B135" s="1">
        <f t="shared" si="11"/>
        <v>2026</v>
      </c>
      <c r="C135" s="1">
        <f t="shared" si="12"/>
        <v>2</v>
      </c>
      <c r="E135" s="280">
        <f t="shared" ca="1" si="18"/>
        <v>567.65501811594208</v>
      </c>
      <c r="F135" s="280">
        <f t="shared" ca="1" si="18"/>
        <v>0</v>
      </c>
      <c r="G135" s="304"/>
      <c r="H135" s="280">
        <f t="shared" si="16"/>
        <v>28</v>
      </c>
      <c r="I135" s="16">
        <f>'Customer Count'!G48</f>
        <v>4354.0765829231586</v>
      </c>
      <c r="K135" s="18">
        <f>'GS&lt;50 Predicted Monthly'!$V$8</f>
        <v>-5601916.4558281703</v>
      </c>
      <c r="L135" s="18">
        <f ca="1">E135*'GS&lt;50 Predicted Monthly'!$V$9</f>
        <v>3066830.7028158205</v>
      </c>
      <c r="M135" s="18">
        <f ca="1">F135*'GS&lt;50 Predicted Monthly'!$V$10</f>
        <v>0</v>
      </c>
      <c r="N135" s="18">
        <f>G135*'GS&lt;50 Predicted Monthly'!$V$11</f>
        <v>0</v>
      </c>
      <c r="O135" s="18">
        <f>H135*'GS&lt;50 Predicted Monthly'!$V$12</f>
        <v>7536702.8709635315</v>
      </c>
      <c r="P135" s="18">
        <f>I135*'GS&lt;50 Predicted Monthly'!$V$13</f>
        <v>6622617.5076911068</v>
      </c>
      <c r="Q135" s="271">
        <f t="shared" ca="1" si="17"/>
        <v>11624234.625642288</v>
      </c>
    </row>
    <row r="136" spans="1:17" x14ac:dyDescent="0.25">
      <c r="A136" s="3">
        <v>46082</v>
      </c>
      <c r="B136" s="1">
        <f t="shared" si="11"/>
        <v>2026</v>
      </c>
      <c r="C136" s="1">
        <f t="shared" si="12"/>
        <v>3</v>
      </c>
      <c r="E136" s="280">
        <f t="shared" ca="1" si="18"/>
        <v>484.13298913043479</v>
      </c>
      <c r="F136" s="280">
        <f t="shared" ca="1" si="18"/>
        <v>0</v>
      </c>
      <c r="G136" s="304"/>
      <c r="H136" s="280">
        <f t="shared" si="16"/>
        <v>31</v>
      </c>
      <c r="I136" s="16">
        <f>'Customer Count'!G49</f>
        <v>4357.9686372868528</v>
      </c>
      <c r="K136" s="18">
        <f>'GS&lt;50 Predicted Monthly'!$V$8</f>
        <v>-5601916.4558281703</v>
      </c>
      <c r="L136" s="18">
        <f ca="1">E136*'GS&lt;50 Predicted Monthly'!$V$9</f>
        <v>2615591.9844400249</v>
      </c>
      <c r="M136" s="18">
        <f ca="1">F136*'GS&lt;50 Predicted Monthly'!$V$10</f>
        <v>0</v>
      </c>
      <c r="N136" s="18">
        <f>G136*'GS&lt;50 Predicted Monthly'!$V$11</f>
        <v>0</v>
      </c>
      <c r="O136" s="18">
        <f>H136*'GS&lt;50 Predicted Monthly'!$V$12</f>
        <v>8344206.7499953387</v>
      </c>
      <c r="P136" s="18">
        <f>I136*'GS&lt;50 Predicted Monthly'!$V$13</f>
        <v>6628537.3822911493</v>
      </c>
      <c r="Q136" s="271">
        <f t="shared" ca="1" si="17"/>
        <v>11986419.660898343</v>
      </c>
    </row>
    <row r="137" spans="1:17" x14ac:dyDescent="0.25">
      <c r="A137" s="3">
        <v>46113</v>
      </c>
      <c r="B137" s="1">
        <f t="shared" si="11"/>
        <v>2026</v>
      </c>
      <c r="C137" s="1">
        <f t="shared" si="12"/>
        <v>4</v>
      </c>
      <c r="E137" s="280">
        <f t="shared" ca="1" si="18"/>
        <v>292.81107954545462</v>
      </c>
      <c r="F137" s="280">
        <f t="shared" ca="1" si="18"/>
        <v>2.1908333333333347</v>
      </c>
      <c r="G137" s="304"/>
      <c r="H137" s="280">
        <f t="shared" si="16"/>
        <v>30</v>
      </c>
      <c r="I137" s="16">
        <f>'Customer Count'!G50</f>
        <v>4361.8641707090519</v>
      </c>
      <c r="K137" s="18">
        <f>'GS&lt;50 Predicted Monthly'!$V$8</f>
        <v>-5601916.4558281703</v>
      </c>
      <c r="L137" s="18">
        <f ca="1">E137*'GS&lt;50 Predicted Monthly'!$V$9</f>
        <v>1581950.2694702349</v>
      </c>
      <c r="M137" s="18">
        <f ca="1">F137*'GS&lt;50 Predicted Monthly'!$V$10</f>
        <v>27654.961846176375</v>
      </c>
      <c r="N137" s="18">
        <f>G137*'GS&lt;50 Predicted Monthly'!$V$11</f>
        <v>0</v>
      </c>
      <c r="O137" s="18">
        <f>H137*'GS&lt;50 Predicted Monthly'!$V$12</f>
        <v>8075038.79031807</v>
      </c>
      <c r="P137" s="18">
        <f>I137*'GS&lt;50 Predicted Monthly'!$V$13</f>
        <v>6634462.5485927332</v>
      </c>
      <c r="Q137" s="271">
        <f t="shared" ca="1" si="17"/>
        <v>10717190.114399044</v>
      </c>
    </row>
    <row r="138" spans="1:17" x14ac:dyDescent="0.25">
      <c r="A138" s="3">
        <v>46143</v>
      </c>
      <c r="B138" s="1">
        <f t="shared" si="11"/>
        <v>2026</v>
      </c>
      <c r="C138" s="1">
        <f t="shared" si="12"/>
        <v>5</v>
      </c>
      <c r="E138" s="280">
        <f t="shared" ca="1" si="18"/>
        <v>103.25939244851259</v>
      </c>
      <c r="F138" s="280">
        <f t="shared" ca="1" si="18"/>
        <v>52.487435064935063</v>
      </c>
      <c r="G138" s="304"/>
      <c r="H138" s="280">
        <f t="shared" si="16"/>
        <v>31</v>
      </c>
      <c r="I138" s="16">
        <f>'Customer Count'!G51</f>
        <v>4365.7631862996441</v>
      </c>
      <c r="K138" s="18">
        <f>'GS&lt;50 Predicted Monthly'!$V$8</f>
        <v>-5601916.4558281703</v>
      </c>
      <c r="L138" s="18">
        <f ca="1">E138*'GS&lt;50 Predicted Monthly'!$V$9</f>
        <v>557872.41371752578</v>
      </c>
      <c r="M138" s="18">
        <f ca="1">F138*'GS&lt;50 Predicted Monthly'!$V$10</f>
        <v>662550.63406212477</v>
      </c>
      <c r="N138" s="18">
        <f>G138*'GS&lt;50 Predicted Monthly'!$V$11</f>
        <v>0</v>
      </c>
      <c r="O138" s="18">
        <f>H138*'GS&lt;50 Predicted Monthly'!$V$12</f>
        <v>8344206.7499953387</v>
      </c>
      <c r="P138" s="18">
        <f>I138*'GS&lt;50 Predicted Monthly'!$V$13</f>
        <v>6640393.0113260457</v>
      </c>
      <c r="Q138" s="271">
        <f t="shared" ca="1" si="17"/>
        <v>10603106.353272865</v>
      </c>
    </row>
    <row r="139" spans="1:17" x14ac:dyDescent="0.25">
      <c r="A139" s="3">
        <v>46174</v>
      </c>
      <c r="B139" s="1">
        <f t="shared" si="11"/>
        <v>2026</v>
      </c>
      <c r="C139" s="1">
        <f t="shared" si="12"/>
        <v>6</v>
      </c>
      <c r="E139" s="280">
        <f t="shared" ca="1" si="18"/>
        <v>11.89069871794872</v>
      </c>
      <c r="F139" s="280">
        <f t="shared" ca="1" si="18"/>
        <v>137.65451754405018</v>
      </c>
      <c r="G139" s="304"/>
      <c r="H139" s="280">
        <f t="shared" si="16"/>
        <v>30</v>
      </c>
      <c r="I139" s="16">
        <f>'Customer Count'!G52</f>
        <v>4369.6656871712948</v>
      </c>
      <c r="K139" s="18">
        <f>'GS&lt;50 Predicted Monthly'!$V$8</f>
        <v>-5601916.4558281703</v>
      </c>
      <c r="L139" s="18">
        <f ca="1">E139*'GS&lt;50 Predicted Monthly'!$V$9</f>
        <v>64241.059697088072</v>
      </c>
      <c r="M139" s="18">
        <f ca="1">F139*'GS&lt;50 Predicted Monthly'!$V$10</f>
        <v>1737617.5415600708</v>
      </c>
      <c r="N139" s="18">
        <f>G139*'GS&lt;50 Predicted Monthly'!$V$11</f>
        <v>0</v>
      </c>
      <c r="O139" s="18">
        <f>H139*'GS&lt;50 Predicted Monthly'!$V$12</f>
        <v>8075038.79031807</v>
      </c>
      <c r="P139" s="18">
        <f>I139*'GS&lt;50 Predicted Monthly'!$V$13</f>
        <v>6646328.7752255006</v>
      </c>
      <c r="Q139" s="271">
        <f t="shared" ca="1" si="17"/>
        <v>10921309.710972559</v>
      </c>
    </row>
    <row r="140" spans="1:17" x14ac:dyDescent="0.25">
      <c r="A140" s="3">
        <v>46204</v>
      </c>
      <c r="B140" s="1">
        <f t="shared" si="11"/>
        <v>2026</v>
      </c>
      <c r="C140" s="1">
        <f t="shared" si="12"/>
        <v>7</v>
      </c>
      <c r="E140" s="280">
        <f t="shared" ca="1" si="18"/>
        <v>7.4583333333333002E-2</v>
      </c>
      <c r="F140" s="280">
        <f t="shared" ca="1" si="18"/>
        <v>235.94737858727848</v>
      </c>
      <c r="G140" s="304"/>
      <c r="H140" s="280">
        <f t="shared" si="16"/>
        <v>31</v>
      </c>
      <c r="I140" s="16">
        <f>'Customer Count'!G53</f>
        <v>4373.5716764394538</v>
      </c>
      <c r="K140" s="18">
        <f>'GS&lt;50 Predicted Monthly'!$V$8</f>
        <v>-5601916.4558281703</v>
      </c>
      <c r="L140" s="18">
        <f ca="1">E140*'GS&lt;50 Predicted Monthly'!$V$9</f>
        <v>402.94624249810443</v>
      </c>
      <c r="M140" s="18">
        <f ca="1">F140*'GS&lt;50 Predicted Monthly'!$V$10</f>
        <v>2978371.5873122169</v>
      </c>
      <c r="N140" s="18">
        <f>G140*'GS&lt;50 Predicted Monthly'!$V$11</f>
        <v>0</v>
      </c>
      <c r="O140" s="18">
        <f>H140*'GS&lt;50 Predicted Monthly'!$V$12</f>
        <v>8344206.7499953387</v>
      </c>
      <c r="P140" s="18">
        <f>I140*'GS&lt;50 Predicted Monthly'!$V$13</f>
        <v>6652269.8450297425</v>
      </c>
      <c r="Q140" s="271">
        <f t="shared" ca="1" si="17"/>
        <v>12373334.672751626</v>
      </c>
    </row>
    <row r="141" spans="1:17" x14ac:dyDescent="0.25">
      <c r="A141" s="3">
        <v>46235</v>
      </c>
      <c r="B141" s="1">
        <f t="shared" si="11"/>
        <v>2026</v>
      </c>
      <c r="C141" s="1">
        <f t="shared" si="12"/>
        <v>8</v>
      </c>
      <c r="E141" s="280">
        <f t="shared" ca="1" si="18"/>
        <v>0.75041666666666718</v>
      </c>
      <c r="F141" s="280">
        <f t="shared" ca="1" si="18"/>
        <v>210.96558794466404</v>
      </c>
      <c r="G141" s="304"/>
      <c r="H141" s="280">
        <f t="shared" si="16"/>
        <v>31</v>
      </c>
      <c r="I141" s="16">
        <f>'Customer Count'!G54</f>
        <v>4377.4811572223543</v>
      </c>
      <c r="K141" s="18">
        <f>'GS&lt;50 Predicted Monthly'!$V$8</f>
        <v>-5601916.4558281703</v>
      </c>
      <c r="L141" s="18">
        <f ca="1">E141*'GS&lt;50 Predicted Monthly'!$V$9</f>
        <v>4054.2244845759205</v>
      </c>
      <c r="M141" s="18">
        <f ca="1">F141*'GS&lt;50 Predicted Monthly'!$V$10</f>
        <v>2663025.615275396</v>
      </c>
      <c r="N141" s="18">
        <f>G141*'GS&lt;50 Predicted Monthly'!$V$11</f>
        <v>0</v>
      </c>
      <c r="O141" s="18">
        <f>H141*'GS&lt;50 Predicted Monthly'!$V$12</f>
        <v>8344206.7499953387</v>
      </c>
      <c r="P141" s="18">
        <f>I141*'GS&lt;50 Predicted Monthly'!$V$13</f>
        <v>6658216.2254816536</v>
      </c>
      <c r="Q141" s="271">
        <f t="shared" ca="1" si="17"/>
        <v>12067586.359408794</v>
      </c>
    </row>
    <row r="142" spans="1:17" x14ac:dyDescent="0.25">
      <c r="A142" s="3">
        <v>46266</v>
      </c>
      <c r="B142" s="1">
        <f t="shared" si="11"/>
        <v>2026</v>
      </c>
      <c r="C142" s="1">
        <f t="shared" si="12"/>
        <v>9</v>
      </c>
      <c r="E142" s="280">
        <f t="shared" ca="1" si="18"/>
        <v>26.342536231884061</v>
      </c>
      <c r="F142" s="280">
        <f t="shared" ca="1" si="18"/>
        <v>106.4160119047619</v>
      </c>
      <c r="G142" s="304"/>
      <c r="H142" s="280">
        <f t="shared" si="16"/>
        <v>30</v>
      </c>
      <c r="I142" s="16">
        <f>'Customer Count'!G55</f>
        <v>4381.3941326410177</v>
      </c>
      <c r="K142" s="18">
        <f>'GS&lt;50 Predicted Monthly'!$V$8</f>
        <v>-5601916.4558281703</v>
      </c>
      <c r="L142" s="18">
        <f ca="1">E142*'GS&lt;50 Predicted Monthly'!$V$9</f>
        <v>142319.00772077637</v>
      </c>
      <c r="M142" s="18">
        <f ca="1">F142*'GS&lt;50 Predicted Monthly'!$V$10</f>
        <v>1343292.848557675</v>
      </c>
      <c r="N142" s="18">
        <f>G142*'GS&lt;50 Predicted Monthly'!$V$11</f>
        <v>0</v>
      </c>
      <c r="O142" s="18">
        <f>H142*'GS&lt;50 Predicted Monthly'!$V$12</f>
        <v>8075038.79031807</v>
      </c>
      <c r="P142" s="18">
        <f>I142*'GS&lt;50 Predicted Monthly'!$V$13</f>
        <v>6664167.9213283556</v>
      </c>
      <c r="Q142" s="271">
        <f t="shared" ca="1" si="17"/>
        <v>10622902.112096708</v>
      </c>
    </row>
    <row r="143" spans="1:17" x14ac:dyDescent="0.25">
      <c r="A143" s="3">
        <v>46296</v>
      </c>
      <c r="B143" s="1">
        <f t="shared" si="11"/>
        <v>2026</v>
      </c>
      <c r="C143" s="1">
        <f t="shared" si="12"/>
        <v>10</v>
      </c>
      <c r="E143" s="280">
        <f t="shared" ca="1" si="18"/>
        <v>181.36347826086953</v>
      </c>
      <c r="F143" s="280">
        <f t="shared" ca="1" si="18"/>
        <v>17.987083333333334</v>
      </c>
      <c r="G143" s="304"/>
      <c r="H143" s="280">
        <f t="shared" si="16"/>
        <v>31</v>
      </c>
      <c r="I143" s="16">
        <f>'Customer Count'!G56</f>
        <v>4385.3106058192543</v>
      </c>
      <c r="K143" s="18">
        <f>'GS&lt;50 Predicted Monthly'!$V$8</f>
        <v>-5601916.4558281703</v>
      </c>
      <c r="L143" s="18">
        <f ca="1">E143*'GS&lt;50 Predicted Monthly'!$V$9</f>
        <v>979839.98335111968</v>
      </c>
      <c r="M143" s="18">
        <f ca="1">F143*'GS&lt;50 Predicted Monthly'!$V$10</f>
        <v>227051.54962677584</v>
      </c>
      <c r="N143" s="18">
        <f>G143*'GS&lt;50 Predicted Monthly'!$V$11</f>
        <v>0</v>
      </c>
      <c r="O143" s="18">
        <f>H143*'GS&lt;50 Predicted Monthly'!$V$12</f>
        <v>8344206.7499953387</v>
      </c>
      <c r="P143" s="18">
        <f>I143*'GS&lt;50 Predicted Monthly'!$V$13</f>
        <v>6670124.9373212112</v>
      </c>
      <c r="Q143" s="271">
        <f t="shared" ca="1" si="17"/>
        <v>10619306.764466275</v>
      </c>
    </row>
    <row r="144" spans="1:17" x14ac:dyDescent="0.25">
      <c r="A144" s="3">
        <v>46327</v>
      </c>
      <c r="B144" s="1">
        <f t="shared" si="11"/>
        <v>2026</v>
      </c>
      <c r="C144" s="1">
        <f t="shared" si="12"/>
        <v>11</v>
      </c>
      <c r="E144" s="280">
        <f t="shared" ca="1" si="18"/>
        <v>366.78033055712399</v>
      </c>
      <c r="F144" s="280">
        <f t="shared" ca="1" si="18"/>
        <v>0.8083333333333329</v>
      </c>
      <c r="G144" s="304"/>
      <c r="H144" s="280">
        <f t="shared" si="16"/>
        <v>30</v>
      </c>
      <c r="I144" s="16">
        <f>'Customer Count'!G57</f>
        <v>4389.2305798836687</v>
      </c>
      <c r="K144" s="18">
        <f>'GS&lt;50 Predicted Monthly'!$V$8</f>
        <v>-5601916.4558281703</v>
      </c>
      <c r="L144" s="18">
        <f ca="1">E144*'GS&lt;50 Predicted Monthly'!$V$9</f>
        <v>1981578.8516675723</v>
      </c>
      <c r="M144" s="18">
        <f ca="1">F144*'GS&lt;50 Predicted Monthly'!$V$10</f>
        <v>10203.618482613561</v>
      </c>
      <c r="N144" s="18">
        <f>G144*'GS&lt;50 Predicted Monthly'!$V$11</f>
        <v>0</v>
      </c>
      <c r="O144" s="18">
        <f>H144*'GS&lt;50 Predicted Monthly'!$V$12</f>
        <v>8075038.79031807</v>
      </c>
      <c r="P144" s="18">
        <f>I144*'GS&lt;50 Predicted Monthly'!$V$13</f>
        <v>6676087.2782158349</v>
      </c>
      <c r="Q144" s="271">
        <f t="shared" ca="1" si="17"/>
        <v>11140992.082855921</v>
      </c>
    </row>
    <row r="145" spans="1:20" x14ac:dyDescent="0.25">
      <c r="A145" s="3">
        <v>46357</v>
      </c>
      <c r="B145" s="1">
        <f t="shared" si="11"/>
        <v>2026</v>
      </c>
      <c r="C145" s="1">
        <f t="shared" si="12"/>
        <v>12</v>
      </c>
      <c r="E145" s="280">
        <f t="shared" ca="1" si="18"/>
        <v>515.92800724637686</v>
      </c>
      <c r="F145" s="280">
        <f t="shared" ca="1" si="18"/>
        <v>0</v>
      </c>
      <c r="G145" s="304"/>
      <c r="H145" s="280">
        <f t="shared" si="16"/>
        <v>31</v>
      </c>
      <c r="I145" s="16">
        <f>'Customer Count'!G58</f>
        <v>4393.1540579636585</v>
      </c>
      <c r="K145" s="18">
        <f>'GS&lt;50 Predicted Monthly'!$V$8</f>
        <v>-5601916.4558281703</v>
      </c>
      <c r="L145" s="18">
        <f ca="1">E145*'GS&lt;50 Predicted Monthly'!$V$9</f>
        <v>2787368.740819619</v>
      </c>
      <c r="M145" s="18">
        <f ca="1">F145*'GS&lt;50 Predicted Monthly'!$V$10</f>
        <v>0</v>
      </c>
      <c r="N145" s="18">
        <f>G145*'GS&lt;50 Predicted Monthly'!$V$11</f>
        <v>0</v>
      </c>
      <c r="O145" s="18">
        <f>H145*'GS&lt;50 Predicted Monthly'!$V$12</f>
        <v>8344206.7499953387</v>
      </c>
      <c r="P145" s="18">
        <f>I145*'GS&lt;50 Predicted Monthly'!$V$13</f>
        <v>6682054.9487720886</v>
      </c>
      <c r="Q145" s="271">
        <f t="shared" ca="1" si="17"/>
        <v>12211713.983758876</v>
      </c>
    </row>
    <row r="148" spans="1:20" x14ac:dyDescent="0.25">
      <c r="S148" s="4"/>
      <c r="T148" s="18"/>
    </row>
    <row r="149" spans="1:20" x14ac:dyDescent="0.25">
      <c r="S149" s="4"/>
      <c r="T149" s="18"/>
    </row>
    <row r="150" spans="1:20" x14ac:dyDescent="0.25">
      <c r="S150" s="4"/>
      <c r="T150" s="4"/>
    </row>
    <row r="194" spans="7:17" x14ac:dyDescent="0.25">
      <c r="G194" s="305"/>
    </row>
    <row r="195" spans="7:17" x14ac:dyDescent="0.25">
      <c r="H195" s="18"/>
      <c r="J195" s="18"/>
      <c r="L195" s="18"/>
      <c r="M195" s="18"/>
      <c r="N195" s="18"/>
      <c r="O195" s="18"/>
      <c r="P195" s="18"/>
      <c r="Q195" s="18"/>
    </row>
    <row r="196" spans="7:17" x14ac:dyDescent="0.25">
      <c r="H196" s="18"/>
      <c r="J196" s="18"/>
      <c r="L196" s="18"/>
      <c r="M196" s="18"/>
      <c r="N196" s="18"/>
      <c r="O196" s="18"/>
      <c r="P196" s="18"/>
      <c r="Q196" s="18"/>
    </row>
    <row r="197" spans="7:17" x14ac:dyDescent="0.25">
      <c r="H197" s="18"/>
      <c r="J197" s="18"/>
      <c r="L197" s="18"/>
      <c r="M197" s="18"/>
      <c r="N197" s="18"/>
      <c r="O197" s="18"/>
      <c r="P197" s="18"/>
      <c r="Q197" s="18"/>
    </row>
    <row r="198" spans="7:17" x14ac:dyDescent="0.25">
      <c r="H198" s="18"/>
      <c r="J198" s="18"/>
      <c r="L198" s="18"/>
      <c r="M198" s="18"/>
      <c r="N198" s="18"/>
      <c r="O198" s="18"/>
      <c r="P198" s="18"/>
      <c r="Q198" s="18"/>
    </row>
    <row r="199" spans="7:17" x14ac:dyDescent="0.25">
      <c r="H199" s="18"/>
      <c r="J199" s="18"/>
      <c r="L199" s="18"/>
      <c r="M199" s="18"/>
      <c r="N199" s="18"/>
      <c r="O199" s="18"/>
      <c r="P199" s="18"/>
      <c r="Q199" s="18"/>
    </row>
    <row r="200" spans="7:17" x14ac:dyDescent="0.25">
      <c r="H200" s="18"/>
      <c r="J200" s="18"/>
      <c r="L200" s="18"/>
      <c r="M200" s="18"/>
      <c r="N200" s="18"/>
      <c r="O200" s="18"/>
      <c r="P200" s="18"/>
      <c r="Q200" s="18"/>
    </row>
    <row r="201" spans="7:17" x14ac:dyDescent="0.25">
      <c r="H201" s="18"/>
      <c r="J201" s="18"/>
      <c r="L201" s="18"/>
      <c r="M201" s="18"/>
      <c r="N201" s="18"/>
      <c r="O201" s="18"/>
      <c r="P201" s="18"/>
      <c r="Q201" s="18"/>
    </row>
    <row r="202" spans="7:17" x14ac:dyDescent="0.25">
      <c r="H202" s="18"/>
      <c r="J202" s="18"/>
      <c r="L202" s="18"/>
      <c r="M202" s="18"/>
      <c r="N202" s="18"/>
      <c r="O202" s="18"/>
      <c r="P202" s="18"/>
      <c r="Q202" s="18"/>
    </row>
    <row r="203" spans="7:17" x14ac:dyDescent="0.25">
      <c r="G203" s="1"/>
    </row>
    <row r="204" spans="7:17" x14ac:dyDescent="0.25">
      <c r="G204" s="1"/>
      <c r="J204" s="24"/>
      <c r="K204" s="24"/>
      <c r="L204" s="24"/>
      <c r="M204" s="24"/>
      <c r="N204" s="24"/>
      <c r="O204" s="24"/>
      <c r="P204" s="24"/>
      <c r="Q204" s="2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/>
  <dimension ref="A1:T204"/>
  <sheetViews>
    <sheetView workbookViewId="0">
      <selection activeCell="F2" sqref="F2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7" width="9.44140625" style="1" bestFit="1" customWidth="1"/>
    <col min="8" max="8" width="11.21875" style="1" bestFit="1" customWidth="1"/>
    <col min="9" max="9" width="9.5546875" style="1" bestFit="1" customWidth="1"/>
    <col min="10" max="10" width="9.33203125" style="1"/>
    <col min="11" max="11" width="14.77734375" style="1" bestFit="1" customWidth="1"/>
    <col min="12" max="12" width="12.88671875" style="1" bestFit="1" customWidth="1"/>
    <col min="13" max="13" width="13.88671875" style="1" bestFit="1" customWidth="1"/>
    <col min="14" max="16" width="13.77734375" style="1" customWidth="1"/>
    <col min="17" max="17" width="19.6640625" style="1" customWidth="1"/>
    <col min="18" max="18" width="13.77734375" style="1" bestFit="1" customWidth="1"/>
    <col min="19" max="19" width="12.44140625" style="1" bestFit="1" customWidth="1"/>
    <col min="20" max="16384" width="9.33203125" style="1"/>
  </cols>
  <sheetData>
    <row r="1" spans="1:17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152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409</v>
      </c>
    </row>
    <row r="2" spans="1:17" x14ac:dyDescent="0.25">
      <c r="A2" s="3">
        <f>'Monthly Data'!A2</f>
        <v>42005</v>
      </c>
      <c r="B2" s="1">
        <f t="shared" ref="B2:B61" si="0">YEAR(A2)</f>
        <v>2015</v>
      </c>
      <c r="C2" s="1">
        <f t="shared" ref="C2:C61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Data'!CG2</f>
        <v>0</v>
      </c>
      <c r="H2" s="18">
        <f>'Monthly Data'!AL2</f>
        <v>718587</v>
      </c>
      <c r="I2" s="18">
        <f>'Monthly Data'!CD2</f>
        <v>31</v>
      </c>
      <c r="K2" s="18">
        <f>'GS 50-999 Predicted Monthly'!$V$10</f>
        <v>-8058676.5655863797</v>
      </c>
      <c r="L2" s="18">
        <f ca="1">E2*'GS 50-999 Predicted Monthly'!$V$11</f>
        <v>12591665.281603241</v>
      </c>
      <c r="M2" s="18">
        <f ca="1">F2*'GS 50-999 Predicted Monthly'!$V$12</f>
        <v>0</v>
      </c>
      <c r="N2" s="18">
        <f>G2*'GS 50-999 Predicted Monthly'!$V$13</f>
        <v>0</v>
      </c>
      <c r="O2" s="18">
        <f>H2*'GS 50-999 Predicted Monthly'!$V$14</f>
        <v>5016002.827791675</v>
      </c>
      <c r="P2" s="18">
        <f>I2*'GS 50-999 Predicted Monthly'!$V$15</f>
        <v>22963619.096402079</v>
      </c>
      <c r="Q2" s="18">
        <f ca="1">SUM(K2:P2)</f>
        <v>32512610.640210614</v>
      </c>
    </row>
    <row r="3" spans="1:17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Data'!CG3</f>
        <v>0</v>
      </c>
      <c r="H3" s="18">
        <f>'Monthly Data'!AL3</f>
        <v>718587</v>
      </c>
      <c r="I3" s="18">
        <f>'Monthly Data'!CD3</f>
        <v>28</v>
      </c>
      <c r="K3" s="18">
        <f>'GS 50-999 Predicted Monthly'!$V$10</f>
        <v>-8058676.5655863797</v>
      </c>
      <c r="L3" s="18">
        <f ca="1">E3*'GS 50-999 Predicted Monthly'!$V$11</f>
        <v>11272085.04904655</v>
      </c>
      <c r="M3" s="18">
        <f ca="1">F3*'GS 50-999 Predicted Monthly'!$V$12</f>
        <v>0</v>
      </c>
      <c r="N3" s="18">
        <f>G3*'GS 50-999 Predicted Monthly'!$V$13</f>
        <v>0</v>
      </c>
      <c r="O3" s="18">
        <f>H3*'GS 50-999 Predicted Monthly'!$V$14</f>
        <v>5016002.827791675</v>
      </c>
      <c r="P3" s="18">
        <f>I3*'GS 50-999 Predicted Monthly'!$V$15</f>
        <v>20741333.377395425</v>
      </c>
      <c r="Q3" s="18">
        <f t="shared" ref="Q3:Q66" ca="1" si="2">SUM(K3:P3)</f>
        <v>28970744.68864727</v>
      </c>
    </row>
    <row r="4" spans="1:17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Data'!CG4</f>
        <v>0</v>
      </c>
      <c r="H4" s="18">
        <f>'Monthly Data'!AL4</f>
        <v>718587</v>
      </c>
      <c r="I4" s="18">
        <f>'Monthly Data'!CD4</f>
        <v>31</v>
      </c>
      <c r="K4" s="18">
        <f>'GS 50-999 Predicted Monthly'!$V$10</f>
        <v>-8058676.5655863797</v>
      </c>
      <c r="L4" s="18">
        <f ca="1">E4*'GS 50-999 Predicted Monthly'!$V$11</f>
        <v>9861446.5609708931</v>
      </c>
      <c r="M4" s="18">
        <f ca="1">F4*'GS 50-999 Predicted Monthly'!$V$12</f>
        <v>841.1012724562529</v>
      </c>
      <c r="N4" s="18">
        <f>G4*'GS 50-999 Predicted Monthly'!$V$13</f>
        <v>0</v>
      </c>
      <c r="O4" s="18">
        <f>H4*'GS 50-999 Predicted Monthly'!$V$14</f>
        <v>5016002.827791675</v>
      </c>
      <c r="P4" s="18">
        <f>I4*'GS 50-999 Predicted Monthly'!$V$15</f>
        <v>22963619.096402079</v>
      </c>
      <c r="Q4" s="18">
        <f t="shared" ca="1" si="2"/>
        <v>29783233.020850725</v>
      </c>
    </row>
    <row r="5" spans="1:17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Data'!CG5</f>
        <v>0</v>
      </c>
      <c r="H5" s="18">
        <f>'Monthly Data'!AL5</f>
        <v>723726</v>
      </c>
      <c r="I5" s="18">
        <f>'Monthly Data'!CD5</f>
        <v>30</v>
      </c>
      <c r="K5" s="18">
        <f>'GS 50-999 Predicted Monthly'!$V$10</f>
        <v>-8058676.5655863797</v>
      </c>
      <c r="L5" s="18">
        <f ca="1">E5*'GS 50-999 Predicted Monthly'!$V$11</f>
        <v>6363489.9560224349</v>
      </c>
      <c r="M5" s="18">
        <f ca="1">F5*'GS 50-999 Predicted Monthly'!$V$12</f>
        <v>160413.41310324351</v>
      </c>
      <c r="N5" s="18">
        <f>G5*'GS 50-999 Predicted Monthly'!$V$13</f>
        <v>0</v>
      </c>
      <c r="O5" s="18">
        <f>H5*'GS 50-999 Predicted Monthly'!$V$14</f>
        <v>5051874.9470090019</v>
      </c>
      <c r="P5" s="18">
        <f>I5*'GS 50-999 Predicted Monthly'!$V$15</f>
        <v>22222857.190066528</v>
      </c>
      <c r="Q5" s="18">
        <f t="shared" ca="1" si="2"/>
        <v>25739958.940614827</v>
      </c>
    </row>
    <row r="6" spans="1:17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Data'!CG6</f>
        <v>0</v>
      </c>
      <c r="H6" s="18">
        <f>'Monthly Data'!AL6</f>
        <v>723726</v>
      </c>
      <c r="I6" s="18">
        <f>'Monthly Data'!CD6</f>
        <v>31</v>
      </c>
      <c r="K6" s="18">
        <f>'GS 50-999 Predicted Monthly'!$V$10</f>
        <v>-8058676.5655863797</v>
      </c>
      <c r="L6" s="18">
        <f ca="1">E6*'GS 50-999 Predicted Monthly'!$V$11</f>
        <v>2711000.8451081468</v>
      </c>
      <c r="M6" s="18">
        <f ca="1">F6*'GS 50-999 Predicted Monthly'!$V$12</f>
        <v>2450548.6855101688</v>
      </c>
      <c r="N6" s="18">
        <f>G6*'GS 50-999 Predicted Monthly'!$V$13</f>
        <v>0</v>
      </c>
      <c r="O6" s="18">
        <f>H6*'GS 50-999 Predicted Monthly'!$V$14</f>
        <v>5051874.9470090019</v>
      </c>
      <c r="P6" s="18">
        <f>I6*'GS 50-999 Predicted Monthly'!$V$15</f>
        <v>22963619.096402079</v>
      </c>
      <c r="Q6" s="18">
        <f t="shared" ca="1" si="2"/>
        <v>25118367.008443017</v>
      </c>
    </row>
    <row r="7" spans="1:17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Data'!CG7</f>
        <v>0</v>
      </c>
      <c r="H7" s="18">
        <f>'Monthly Data'!AL7</f>
        <v>723726</v>
      </c>
      <c r="I7" s="18">
        <f>'Monthly Data'!CD7</f>
        <v>30</v>
      </c>
      <c r="K7" s="18">
        <f>'GS 50-999 Predicted Monthly'!$V$10</f>
        <v>-8058676.5655863797</v>
      </c>
      <c r="L7" s="18">
        <f ca="1">E7*'GS 50-999 Predicted Monthly'!$V$11</f>
        <v>587225.7468567302</v>
      </c>
      <c r="M7" s="18">
        <f ca="1">F7*'GS 50-999 Predicted Monthly'!$V$12</f>
        <v>5542535.6595792416</v>
      </c>
      <c r="N7" s="18">
        <f>G7*'GS 50-999 Predicted Monthly'!$V$13</f>
        <v>0</v>
      </c>
      <c r="O7" s="18">
        <f>H7*'GS 50-999 Predicted Monthly'!$V$14</f>
        <v>5051874.9470090019</v>
      </c>
      <c r="P7" s="18">
        <f>I7*'GS 50-999 Predicted Monthly'!$V$15</f>
        <v>22222857.190066528</v>
      </c>
      <c r="Q7" s="18">
        <f t="shared" ca="1" si="2"/>
        <v>25345816.977925122</v>
      </c>
    </row>
    <row r="8" spans="1:17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-8058676.5655863797</v>
      </c>
      <c r="L8" s="18">
        <f ca="1">E8*'GS 50-999 Predicted Monthly'!$V$11</f>
        <v>29214.493659944223</v>
      </c>
      <c r="M8" s="18">
        <f ca="1">F8*'GS 50-999 Predicted Monthly'!$V$12</f>
        <v>8471118.3973442893</v>
      </c>
      <c r="N8" s="18">
        <f>G8*'GS 50-999 Predicted Monthly'!$V$13</f>
        <v>0</v>
      </c>
      <c r="O8" s="18">
        <f>H8*'GS 50-999 Predicted Monthly'!$V$14</f>
        <v>5098050.0917108152</v>
      </c>
      <c r="P8" s="18">
        <f>I8*'GS 50-999 Predicted Monthly'!$V$15</f>
        <v>22963619.096402079</v>
      </c>
      <c r="Q8" s="18">
        <f t="shared" ca="1" si="2"/>
        <v>28503325.513530746</v>
      </c>
    </row>
    <row r="9" spans="1:17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-8058676.5655863797</v>
      </c>
      <c r="L9" s="18">
        <f ca="1">E9*'GS 50-999 Predicted Monthly'!$V$11</f>
        <v>102021.25522246814</v>
      </c>
      <c r="M9" s="18">
        <f ca="1">F9*'GS 50-999 Predicted Monthly'!$V$12</f>
        <v>7760846.3106601536</v>
      </c>
      <c r="N9" s="18">
        <f>G9*'GS 50-999 Predicted Monthly'!$V$13</f>
        <v>0</v>
      </c>
      <c r="O9" s="18">
        <f>H9*'GS 50-999 Predicted Monthly'!$V$14</f>
        <v>5098050.0917108152</v>
      </c>
      <c r="P9" s="18">
        <f>I9*'GS 50-999 Predicted Monthly'!$V$15</f>
        <v>22963619.096402079</v>
      </c>
      <c r="Q9" s="18">
        <f t="shared" ca="1" si="2"/>
        <v>27865860.188409135</v>
      </c>
    </row>
    <row r="10" spans="1:17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-8058676.5655863797</v>
      </c>
      <c r="L10" s="18">
        <f ca="1">E10*'GS 50-999 Predicted Monthly'!$V$11</f>
        <v>992394.89495778945</v>
      </c>
      <c r="M10" s="18">
        <f ca="1">F10*'GS 50-999 Predicted Monthly'!$V$12</f>
        <v>4511244.798510679</v>
      </c>
      <c r="N10" s="18">
        <f>G10*'GS 50-999 Predicted Monthly'!$V$13</f>
        <v>0</v>
      </c>
      <c r="O10" s="18">
        <f>H10*'GS 50-999 Predicted Monthly'!$V$14</f>
        <v>5098050.0917108152</v>
      </c>
      <c r="P10" s="18">
        <f>I10*'GS 50-999 Predicted Monthly'!$V$15</f>
        <v>22222857.190066528</v>
      </c>
      <c r="Q10" s="18">
        <f t="shared" ca="1" si="2"/>
        <v>24765870.40965943</v>
      </c>
    </row>
    <row r="11" spans="1:17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Data'!CG11</f>
        <v>0</v>
      </c>
      <c r="H11" s="18">
        <f>'Monthly Data'!AL11</f>
        <v>737784</v>
      </c>
      <c r="I11" s="18">
        <f>'Monthly Data'!CD11</f>
        <v>31</v>
      </c>
      <c r="K11" s="18">
        <f>'GS 50-999 Predicted Monthly'!$V$10</f>
        <v>-8058676.5655863797</v>
      </c>
      <c r="L11" s="18">
        <f ca="1">E11*'GS 50-999 Predicted Monthly'!$V$11</f>
        <v>4295669.2623475399</v>
      </c>
      <c r="M11" s="18">
        <f ca="1">F11*'GS 50-999 Predicted Monthly'!$V$12</f>
        <v>1004440.7702679132</v>
      </c>
      <c r="N11" s="18">
        <f>G11*'GS 50-999 Predicted Monthly'!$V$13</f>
        <v>0</v>
      </c>
      <c r="O11" s="18">
        <f>H11*'GS 50-999 Predicted Monthly'!$V$14</f>
        <v>5150004.9824161204</v>
      </c>
      <c r="P11" s="18">
        <f>I11*'GS 50-999 Predicted Monthly'!$V$15</f>
        <v>22963619.096402079</v>
      </c>
      <c r="Q11" s="18">
        <f t="shared" ca="1" si="2"/>
        <v>25355057.545847274</v>
      </c>
    </row>
    <row r="12" spans="1:17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Data'!CG12</f>
        <v>0</v>
      </c>
      <c r="H12" s="18">
        <f>'Monthly Data'!AL12</f>
        <v>737784</v>
      </c>
      <c r="I12" s="18">
        <f>'Monthly Data'!CD12</f>
        <v>30</v>
      </c>
      <c r="K12" s="18">
        <f>'GS 50-999 Predicted Monthly'!$V$10</f>
        <v>-8058676.5655863797</v>
      </c>
      <c r="L12" s="18">
        <f ca="1">E12*'GS 50-999 Predicted Monthly'!$V$11</f>
        <v>7703596.3416916775</v>
      </c>
      <c r="M12" s="18">
        <f ca="1">F12*'GS 50-999 Predicted Monthly'!$V$12</f>
        <v>64764.797979132403</v>
      </c>
      <c r="N12" s="18">
        <f>G12*'GS 50-999 Predicted Monthly'!$V$13</f>
        <v>0</v>
      </c>
      <c r="O12" s="18">
        <f>H12*'GS 50-999 Predicted Monthly'!$V$14</f>
        <v>5150004.9824161204</v>
      </c>
      <c r="P12" s="18">
        <f>I12*'GS 50-999 Predicted Monthly'!$V$15</f>
        <v>22222857.190066528</v>
      </c>
      <c r="Q12" s="18">
        <f t="shared" ca="1" si="2"/>
        <v>27082546.746567078</v>
      </c>
    </row>
    <row r="13" spans="1:17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Data'!CG13</f>
        <v>0</v>
      </c>
      <c r="H13" s="18">
        <f>'Monthly Data'!AL13</f>
        <v>737784</v>
      </c>
      <c r="I13" s="18">
        <f>'Monthly Data'!CD13</f>
        <v>31</v>
      </c>
      <c r="K13" s="18">
        <f>'GS 50-999 Predicted Monthly'!$V$10</f>
        <v>-8058676.5655863797</v>
      </c>
      <c r="L13" s="18">
        <f ca="1">E13*'GS 50-999 Predicted Monthly'!$V$11</f>
        <v>10435564.730530098</v>
      </c>
      <c r="M13" s="18">
        <f ca="1">F13*'GS 50-999 Predicted Monthly'!$V$12</f>
        <v>0</v>
      </c>
      <c r="N13" s="18">
        <f>G13*'GS 50-999 Predicted Monthly'!$V$13</f>
        <v>0</v>
      </c>
      <c r="O13" s="18">
        <f>H13*'GS 50-999 Predicted Monthly'!$V$14</f>
        <v>5150004.9824161204</v>
      </c>
      <c r="P13" s="18">
        <f>I13*'GS 50-999 Predicted Monthly'!$V$15</f>
        <v>22963619.096402079</v>
      </c>
      <c r="Q13" s="18">
        <f t="shared" ca="1" si="2"/>
        <v>30490512.243761919</v>
      </c>
    </row>
    <row r="14" spans="1:17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33" ca="1" si="3">E2</f>
        <v>697.33418478260876</v>
      </c>
      <c r="F14" s="269">
        <f t="shared" ca="1" si="3"/>
        <v>0</v>
      </c>
      <c r="G14" s="269">
        <f>'Monthly Data'!CG14</f>
        <v>0</v>
      </c>
      <c r="H14" s="18">
        <f>'Monthly Data'!AL14</f>
        <v>743287</v>
      </c>
      <c r="I14" s="18">
        <f>'Monthly Data'!CD14</f>
        <v>31</v>
      </c>
      <c r="K14" s="18">
        <f>'GS 50-999 Predicted Monthly'!$V$10</f>
        <v>-8058676.5655863797</v>
      </c>
      <c r="L14" s="18">
        <f ca="1">E14*'GS 50-999 Predicted Monthly'!$V$11</f>
        <v>12591665.281603241</v>
      </c>
      <c r="M14" s="18">
        <f ca="1">F14*'GS 50-999 Predicted Monthly'!$V$12</f>
        <v>0</v>
      </c>
      <c r="N14" s="18">
        <f>G14*'GS 50-999 Predicted Monthly'!$V$13</f>
        <v>0</v>
      </c>
      <c r="O14" s="18">
        <f>H14*'GS 50-999 Predicted Monthly'!$V$14</f>
        <v>5188417.9561567223</v>
      </c>
      <c r="P14" s="18">
        <f>I14*'GS 50-999 Predicted Monthly'!$V$15</f>
        <v>22963619.096402079</v>
      </c>
      <c r="Q14" s="18">
        <f t="shared" ca="1" si="2"/>
        <v>32685025.768575661</v>
      </c>
    </row>
    <row r="15" spans="1:17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Data'!CG15</f>
        <v>0</v>
      </c>
      <c r="H15" s="18">
        <f>'Monthly Data'!AL15</f>
        <v>743287</v>
      </c>
      <c r="I15" s="18">
        <f>'Monthly Data'!CD15</f>
        <v>29</v>
      </c>
      <c r="K15" s="18">
        <f>'GS 50-999 Predicted Monthly'!$V$10</f>
        <v>-8058676.5655863797</v>
      </c>
      <c r="L15" s="18">
        <f ca="1">E15*'GS 50-999 Predicted Monthly'!$V$11</f>
        <v>11272085.04904655</v>
      </c>
      <c r="M15" s="18">
        <f ca="1">F15*'GS 50-999 Predicted Monthly'!$V$12</f>
        <v>0</v>
      </c>
      <c r="N15" s="18">
        <f>G15*'GS 50-999 Predicted Monthly'!$V$13</f>
        <v>0</v>
      </c>
      <c r="O15" s="18">
        <f>H15*'GS 50-999 Predicted Monthly'!$V$14</f>
        <v>5188417.9561567223</v>
      </c>
      <c r="P15" s="18">
        <f>I15*'GS 50-999 Predicted Monthly'!$V$15</f>
        <v>21482095.283730976</v>
      </c>
      <c r="Q15" s="18">
        <f t="shared" ca="1" si="2"/>
        <v>29883921.723347869</v>
      </c>
    </row>
    <row r="16" spans="1:17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Data'!CG16</f>
        <v>0</v>
      </c>
      <c r="H16" s="18">
        <f>'Monthly Data'!AL16</f>
        <v>743287</v>
      </c>
      <c r="I16" s="18">
        <f>'Monthly Data'!CD16</f>
        <v>31</v>
      </c>
      <c r="K16" s="18">
        <f>'GS 50-999 Predicted Monthly'!$V$10</f>
        <v>-8058676.5655863797</v>
      </c>
      <c r="L16" s="18">
        <f ca="1">E16*'GS 50-999 Predicted Monthly'!$V$11</f>
        <v>9861446.5609708931</v>
      </c>
      <c r="M16" s="18">
        <f ca="1">F16*'GS 50-999 Predicted Monthly'!$V$12</f>
        <v>841.1012724562529</v>
      </c>
      <c r="N16" s="18">
        <f>G16*'GS 50-999 Predicted Monthly'!$V$13</f>
        <v>0</v>
      </c>
      <c r="O16" s="18">
        <f>H16*'GS 50-999 Predicted Monthly'!$V$14</f>
        <v>5188417.9561567223</v>
      </c>
      <c r="P16" s="18">
        <f>I16*'GS 50-999 Predicted Monthly'!$V$15</f>
        <v>22963619.096402079</v>
      </c>
      <c r="Q16" s="18">
        <f t="shared" ca="1" si="2"/>
        <v>29955648.149215773</v>
      </c>
    </row>
    <row r="17" spans="1:18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-8058676.5655863797</v>
      </c>
      <c r="L17" s="18">
        <f ca="1">E17*'GS 50-999 Predicted Monthly'!$V$11</f>
        <v>6363489.9560224349</v>
      </c>
      <c r="M17" s="18">
        <f ca="1">F17*'GS 50-999 Predicted Monthly'!$V$12</f>
        <v>160413.41310324351</v>
      </c>
      <c r="N17" s="18">
        <f>G17*'GS 50-999 Predicted Monthly'!$V$13</f>
        <v>0</v>
      </c>
      <c r="O17" s="18">
        <f>H17*'GS 50-999 Predicted Monthly'!$V$14</f>
        <v>5169885.0749498717</v>
      </c>
      <c r="P17" s="18">
        <f>I17*'GS 50-999 Predicted Monthly'!$V$15</f>
        <v>22222857.190066528</v>
      </c>
      <c r="Q17" s="18">
        <f t="shared" ca="1" si="2"/>
        <v>25857969.068555698</v>
      </c>
    </row>
    <row r="18" spans="1:18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-8058676.5655863797</v>
      </c>
      <c r="L18" s="18">
        <f ca="1">E18*'GS 50-999 Predicted Monthly'!$V$11</f>
        <v>2711000.8451081468</v>
      </c>
      <c r="M18" s="18">
        <f ca="1">F18*'GS 50-999 Predicted Monthly'!$V$12</f>
        <v>2450548.6855101688</v>
      </c>
      <c r="N18" s="18">
        <f>G18*'GS 50-999 Predicted Monthly'!$V$13</f>
        <v>0</v>
      </c>
      <c r="O18" s="18">
        <f>H18*'GS 50-999 Predicted Monthly'!$V$14</f>
        <v>5169885.0749498717</v>
      </c>
      <c r="P18" s="18">
        <f>I18*'GS 50-999 Predicted Monthly'!$V$15</f>
        <v>22963619.096402079</v>
      </c>
      <c r="Q18" s="18">
        <f t="shared" ca="1" si="2"/>
        <v>25236377.136383887</v>
      </c>
    </row>
    <row r="19" spans="1:18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-8058676.5655863797</v>
      </c>
      <c r="L19" s="18">
        <f ca="1">E19*'GS 50-999 Predicted Monthly'!$V$11</f>
        <v>587225.7468567302</v>
      </c>
      <c r="M19" s="18">
        <f ca="1">F19*'GS 50-999 Predicted Monthly'!$V$12</f>
        <v>5542535.6595792416</v>
      </c>
      <c r="N19" s="18">
        <f>G19*'GS 50-999 Predicted Monthly'!$V$13</f>
        <v>0</v>
      </c>
      <c r="O19" s="18">
        <f>H19*'GS 50-999 Predicted Monthly'!$V$14</f>
        <v>5169885.0749498717</v>
      </c>
      <c r="P19" s="18">
        <f>I19*'GS 50-999 Predicted Monthly'!$V$15</f>
        <v>22222857.190066528</v>
      </c>
      <c r="Q19" s="18">
        <f t="shared" ca="1" si="2"/>
        <v>25463827.105865993</v>
      </c>
      <c r="R19" s="279"/>
    </row>
    <row r="20" spans="1:18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-8058676.5655863797</v>
      </c>
      <c r="L20" s="18">
        <f ca="1">E20*'GS 50-999 Predicted Monthly'!$V$11</f>
        <v>29214.493659944223</v>
      </c>
      <c r="M20" s="18">
        <f ca="1">F20*'GS 50-999 Predicted Monthly'!$V$12</f>
        <v>8471118.3973442893</v>
      </c>
      <c r="N20" s="18">
        <f>G20*'GS 50-999 Predicted Monthly'!$V$13</f>
        <v>0</v>
      </c>
      <c r="O20" s="18">
        <f>H20*'GS 50-999 Predicted Monthly'!$V$14</f>
        <v>5211585.8027576776</v>
      </c>
      <c r="P20" s="18">
        <f>I20*'GS 50-999 Predicted Monthly'!$V$15</f>
        <v>22963619.096402079</v>
      </c>
      <c r="Q20" s="18">
        <f t="shared" ca="1" si="2"/>
        <v>28616861.224577609</v>
      </c>
    </row>
    <row r="21" spans="1:18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-8058676.5655863797</v>
      </c>
      <c r="L21" s="18">
        <f ca="1">E21*'GS 50-999 Predicted Monthly'!$V$11</f>
        <v>102021.25522246814</v>
      </c>
      <c r="M21" s="18">
        <f ca="1">F21*'GS 50-999 Predicted Monthly'!$V$12</f>
        <v>7760846.3106601536</v>
      </c>
      <c r="N21" s="18">
        <f>G21*'GS 50-999 Predicted Monthly'!$V$13</f>
        <v>0</v>
      </c>
      <c r="O21" s="18">
        <f>H21*'GS 50-999 Predicted Monthly'!$V$14</f>
        <v>5211585.8027576776</v>
      </c>
      <c r="P21" s="18">
        <f>I21*'GS 50-999 Predicted Monthly'!$V$15</f>
        <v>22963619.096402079</v>
      </c>
      <c r="Q21" s="18">
        <f t="shared" ca="1" si="2"/>
        <v>27979395.899455998</v>
      </c>
    </row>
    <row r="22" spans="1:18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-8058676.5655863797</v>
      </c>
      <c r="L22" s="18">
        <f ca="1">E22*'GS 50-999 Predicted Monthly'!$V$11</f>
        <v>992394.89495778945</v>
      </c>
      <c r="M22" s="18">
        <f ca="1">F22*'GS 50-999 Predicted Monthly'!$V$12</f>
        <v>4511244.798510679</v>
      </c>
      <c r="N22" s="18">
        <f>G22*'GS 50-999 Predicted Monthly'!$V$13</f>
        <v>0</v>
      </c>
      <c r="O22" s="18">
        <f>H22*'GS 50-999 Predicted Monthly'!$V$14</f>
        <v>5211585.8027576776</v>
      </c>
      <c r="P22" s="18">
        <f>I22*'GS 50-999 Predicted Monthly'!$V$15</f>
        <v>22222857.190066528</v>
      </c>
      <c r="Q22" s="18">
        <f t="shared" ca="1" si="2"/>
        <v>24879406.120706294</v>
      </c>
    </row>
    <row r="23" spans="1:18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Data'!CG23</f>
        <v>0</v>
      </c>
      <c r="H23" s="18">
        <f>'Monthly Data'!AL23</f>
        <v>745380</v>
      </c>
      <c r="I23" s="18">
        <f>'Monthly Data'!CD23</f>
        <v>31</v>
      </c>
      <c r="K23" s="18">
        <f>'GS 50-999 Predicted Monthly'!$V$10</f>
        <v>-8058676.5655863797</v>
      </c>
      <c r="L23" s="18">
        <f ca="1">E23*'GS 50-999 Predicted Monthly'!$V$11</f>
        <v>4295669.2623475399</v>
      </c>
      <c r="M23" s="18">
        <f ca="1">F23*'GS 50-999 Predicted Monthly'!$V$12</f>
        <v>1004440.7702679132</v>
      </c>
      <c r="N23" s="18">
        <f>G23*'GS 50-999 Predicted Monthly'!$V$13</f>
        <v>0</v>
      </c>
      <c r="O23" s="18">
        <f>H23*'GS 50-999 Predicted Monthly'!$V$14</f>
        <v>5203027.8696655501</v>
      </c>
      <c r="P23" s="18">
        <f>I23*'GS 50-999 Predicted Monthly'!$V$15</f>
        <v>22963619.096402079</v>
      </c>
      <c r="Q23" s="18">
        <f t="shared" ca="1" si="2"/>
        <v>25408080.433096703</v>
      </c>
    </row>
    <row r="24" spans="1:18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Data'!CG24</f>
        <v>0</v>
      </c>
      <c r="H24" s="18">
        <f>'Monthly Data'!AL24</f>
        <v>745380</v>
      </c>
      <c r="I24" s="18">
        <f>'Monthly Data'!CD24</f>
        <v>30</v>
      </c>
      <c r="K24" s="18">
        <f>'GS 50-999 Predicted Monthly'!$V$10</f>
        <v>-8058676.5655863797</v>
      </c>
      <c r="L24" s="18">
        <f ca="1">E24*'GS 50-999 Predicted Monthly'!$V$11</f>
        <v>7703596.3416916775</v>
      </c>
      <c r="M24" s="18">
        <f ca="1">F24*'GS 50-999 Predicted Monthly'!$V$12</f>
        <v>64764.797979132403</v>
      </c>
      <c r="N24" s="18">
        <f>G24*'GS 50-999 Predicted Monthly'!$V$13</f>
        <v>0</v>
      </c>
      <c r="O24" s="18">
        <f>H24*'GS 50-999 Predicted Monthly'!$V$14</f>
        <v>5203027.8696655501</v>
      </c>
      <c r="P24" s="18">
        <f>I24*'GS 50-999 Predicted Monthly'!$V$15</f>
        <v>22222857.190066528</v>
      </c>
      <c r="Q24" s="18">
        <f t="shared" ca="1" si="2"/>
        <v>27135569.633816507</v>
      </c>
    </row>
    <row r="25" spans="1:18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Data'!CG25</f>
        <v>0</v>
      </c>
      <c r="H25" s="18">
        <f>'Monthly Data'!AL25</f>
        <v>745380</v>
      </c>
      <c r="I25" s="18">
        <f>'Monthly Data'!CD25</f>
        <v>31</v>
      </c>
      <c r="K25" s="18">
        <f>'GS 50-999 Predicted Monthly'!$V$10</f>
        <v>-8058676.5655863797</v>
      </c>
      <c r="L25" s="18">
        <f ca="1">E25*'GS 50-999 Predicted Monthly'!$V$11</f>
        <v>10435564.730530098</v>
      </c>
      <c r="M25" s="18">
        <f ca="1">F25*'GS 50-999 Predicted Monthly'!$V$12</f>
        <v>0</v>
      </c>
      <c r="N25" s="18">
        <f>G25*'GS 50-999 Predicted Monthly'!$V$13</f>
        <v>0</v>
      </c>
      <c r="O25" s="18">
        <f>H25*'GS 50-999 Predicted Monthly'!$V$14</f>
        <v>5203027.8696655501</v>
      </c>
      <c r="P25" s="18">
        <f>I25*'GS 50-999 Predicted Monthly'!$V$15</f>
        <v>22963619.096402079</v>
      </c>
      <c r="Q25" s="18">
        <f t="shared" ca="1" si="2"/>
        <v>30543535.131011348</v>
      </c>
    </row>
    <row r="26" spans="1:18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ca="1" si="3"/>
        <v>697.33418478260876</v>
      </c>
      <c r="F26" s="269">
        <f t="shared" ca="1" si="3"/>
        <v>0</v>
      </c>
      <c r="G26" s="269">
        <f>'Monthly Data'!CG26</f>
        <v>0</v>
      </c>
      <c r="H26" s="18">
        <f>'Monthly Data'!AL26</f>
        <v>756702</v>
      </c>
      <c r="I26" s="18">
        <f>'Monthly Data'!CD26</f>
        <v>31</v>
      </c>
      <c r="K26" s="18">
        <f>'GS 50-999 Predicted Monthly'!$V$10</f>
        <v>-8058676.5655863797</v>
      </c>
      <c r="L26" s="18">
        <f ca="1">E26*'GS 50-999 Predicted Monthly'!$V$11</f>
        <v>12591665.281603241</v>
      </c>
      <c r="M26" s="18">
        <f ca="1">F26*'GS 50-999 Predicted Monthly'!$V$12</f>
        <v>0</v>
      </c>
      <c r="N26" s="18">
        <f>G26*'GS 50-999 Predicted Monthly'!$V$13</f>
        <v>0</v>
      </c>
      <c r="O26" s="18">
        <f>H26*'GS 50-999 Predicted Monthly'!$V$14</f>
        <v>5282059.6139306938</v>
      </c>
      <c r="P26" s="18">
        <f>I26*'GS 50-999 Predicted Monthly'!$V$15</f>
        <v>22963619.096402079</v>
      </c>
      <c r="Q26" s="18">
        <f t="shared" ca="1" si="2"/>
        <v>32778667.426349632</v>
      </c>
    </row>
    <row r="27" spans="1:18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3"/>
        <v>624.25501811594188</v>
      </c>
      <c r="F27" s="269">
        <f t="shared" ca="1" si="3"/>
        <v>0</v>
      </c>
      <c r="G27" s="269">
        <f>'Monthly Data'!CG27</f>
        <v>0</v>
      </c>
      <c r="H27" s="18">
        <f>'Monthly Data'!AL27</f>
        <v>756702</v>
      </c>
      <c r="I27" s="18">
        <f>'Monthly Data'!CD27</f>
        <v>28</v>
      </c>
      <c r="K27" s="18">
        <f>'GS 50-999 Predicted Monthly'!$V$10</f>
        <v>-8058676.5655863797</v>
      </c>
      <c r="L27" s="18">
        <f ca="1">E27*'GS 50-999 Predicted Monthly'!$V$11</f>
        <v>11272085.04904655</v>
      </c>
      <c r="M27" s="18">
        <f ca="1">F27*'GS 50-999 Predicted Monthly'!$V$12</f>
        <v>0</v>
      </c>
      <c r="N27" s="18">
        <f>G27*'GS 50-999 Predicted Monthly'!$V$13</f>
        <v>0</v>
      </c>
      <c r="O27" s="18">
        <f>H27*'GS 50-999 Predicted Monthly'!$V$14</f>
        <v>5282059.6139306938</v>
      </c>
      <c r="P27" s="18">
        <f>I27*'GS 50-999 Predicted Monthly'!$V$15</f>
        <v>20741333.377395425</v>
      </c>
      <c r="Q27" s="18">
        <f t="shared" ca="1" si="2"/>
        <v>29236801.474786289</v>
      </c>
    </row>
    <row r="28" spans="1:18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3"/>
        <v>546.13298913043491</v>
      </c>
      <c r="F28" s="269">
        <f t="shared" ca="1" si="3"/>
        <v>2.9583333333332896E-2</v>
      </c>
      <c r="G28" s="269">
        <f>'Monthly Data'!CG28</f>
        <v>0</v>
      </c>
      <c r="H28" s="18">
        <f>'Monthly Data'!AL28</f>
        <v>756702</v>
      </c>
      <c r="I28" s="18">
        <f>'Monthly Data'!CD28</f>
        <v>31</v>
      </c>
      <c r="K28" s="18">
        <f>'GS 50-999 Predicted Monthly'!$V$10</f>
        <v>-8058676.5655863797</v>
      </c>
      <c r="L28" s="18">
        <f ca="1">E28*'GS 50-999 Predicted Monthly'!$V$11</f>
        <v>9861446.5609708931</v>
      </c>
      <c r="M28" s="18">
        <f ca="1">F28*'GS 50-999 Predicted Monthly'!$V$12</f>
        <v>841.1012724562529</v>
      </c>
      <c r="N28" s="18">
        <f>G28*'GS 50-999 Predicted Monthly'!$V$13</f>
        <v>0</v>
      </c>
      <c r="O28" s="18">
        <f>H28*'GS 50-999 Predicted Monthly'!$V$14</f>
        <v>5282059.6139306938</v>
      </c>
      <c r="P28" s="18">
        <f>I28*'GS 50-999 Predicted Monthly'!$V$15</f>
        <v>22963619.096402079</v>
      </c>
      <c r="Q28" s="18">
        <f t="shared" ca="1" si="2"/>
        <v>30049289.806989744</v>
      </c>
    </row>
    <row r="29" spans="1:18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3"/>
        <v>352.41399621212122</v>
      </c>
      <c r="F29" s="269">
        <f t="shared" ca="1" si="3"/>
        <v>5.6420833333333338</v>
      </c>
      <c r="G29" s="269">
        <f>'Monthly Data'!CG29</f>
        <v>0</v>
      </c>
      <c r="H29" s="18">
        <f>'Monthly Data'!AL29</f>
        <v>764644</v>
      </c>
      <c r="I29" s="18">
        <f>'Monthly Data'!CD29</f>
        <v>30</v>
      </c>
      <c r="K29" s="18">
        <f>'GS 50-999 Predicted Monthly'!$V$10</f>
        <v>-8058676.5655863797</v>
      </c>
      <c r="L29" s="18">
        <f ca="1">E29*'GS 50-999 Predicted Monthly'!$V$11</f>
        <v>6363489.9560224349</v>
      </c>
      <c r="M29" s="18">
        <f ca="1">F29*'GS 50-999 Predicted Monthly'!$V$12</f>
        <v>160413.41310324351</v>
      </c>
      <c r="N29" s="18">
        <f>G29*'GS 50-999 Predicted Monthly'!$V$13</f>
        <v>0</v>
      </c>
      <c r="O29" s="18">
        <f>H29*'GS 50-999 Predicted Monthly'!$V$14</f>
        <v>5337497.709051148</v>
      </c>
      <c r="P29" s="18">
        <f>I29*'GS 50-999 Predicted Monthly'!$V$15</f>
        <v>22222857.190066528</v>
      </c>
      <c r="Q29" s="18">
        <f t="shared" ca="1" si="2"/>
        <v>26025581.702656973</v>
      </c>
    </row>
    <row r="30" spans="1:18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3"/>
        <v>150.136897859768</v>
      </c>
      <c r="F30" s="269">
        <f t="shared" ca="1" si="3"/>
        <v>86.191046176046171</v>
      </c>
      <c r="G30" s="269">
        <f>'Monthly Data'!CG30</f>
        <v>0</v>
      </c>
      <c r="H30" s="18">
        <f>'Monthly Data'!AL30</f>
        <v>764644</v>
      </c>
      <c r="I30" s="18">
        <f>'Monthly Data'!CD30</f>
        <v>31</v>
      </c>
      <c r="K30" s="18">
        <f>'GS 50-999 Predicted Monthly'!$V$10</f>
        <v>-8058676.5655863797</v>
      </c>
      <c r="L30" s="18">
        <f ca="1">E30*'GS 50-999 Predicted Monthly'!$V$11</f>
        <v>2711000.8451081468</v>
      </c>
      <c r="M30" s="18">
        <f ca="1">F30*'GS 50-999 Predicted Monthly'!$V$12</f>
        <v>2450548.6855101688</v>
      </c>
      <c r="N30" s="18">
        <f>G30*'GS 50-999 Predicted Monthly'!$V$13</f>
        <v>0</v>
      </c>
      <c r="O30" s="18">
        <f>H30*'GS 50-999 Predicted Monthly'!$V$14</f>
        <v>5337497.709051148</v>
      </c>
      <c r="P30" s="18">
        <f>I30*'GS 50-999 Predicted Monthly'!$V$15</f>
        <v>22963619.096402079</v>
      </c>
      <c r="Q30" s="18">
        <f t="shared" ca="1" si="2"/>
        <v>25403989.770485163</v>
      </c>
    </row>
    <row r="31" spans="1:18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3"/>
        <v>32.520923826173821</v>
      </c>
      <c r="F31" s="269">
        <f t="shared" ca="1" si="3"/>
        <v>194.94285087738348</v>
      </c>
      <c r="G31" s="269">
        <f>'Monthly Data'!CG31</f>
        <v>0</v>
      </c>
      <c r="H31" s="18">
        <f>'Monthly Data'!AL31</f>
        <v>764644</v>
      </c>
      <c r="I31" s="18">
        <f>'Monthly Data'!CD31</f>
        <v>30</v>
      </c>
      <c r="K31" s="18">
        <f>'GS 50-999 Predicted Monthly'!$V$10</f>
        <v>-8058676.5655863797</v>
      </c>
      <c r="L31" s="18">
        <f ca="1">E31*'GS 50-999 Predicted Monthly'!$V$11</f>
        <v>587225.7468567302</v>
      </c>
      <c r="M31" s="18">
        <f ca="1">F31*'GS 50-999 Predicted Monthly'!$V$12</f>
        <v>5542535.6595792416</v>
      </c>
      <c r="N31" s="18">
        <f>G31*'GS 50-999 Predicted Monthly'!$V$13</f>
        <v>0</v>
      </c>
      <c r="O31" s="18">
        <f>H31*'GS 50-999 Predicted Monthly'!$V$14</f>
        <v>5337497.709051148</v>
      </c>
      <c r="P31" s="18">
        <f>I31*'GS 50-999 Predicted Monthly'!$V$15</f>
        <v>22222857.190066528</v>
      </c>
      <c r="Q31" s="18">
        <f t="shared" ca="1" si="2"/>
        <v>25631439.739967268</v>
      </c>
    </row>
    <row r="32" spans="1:18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3"/>
        <v>1.6179166666666653</v>
      </c>
      <c r="F32" s="269">
        <f t="shared" ca="1" si="3"/>
        <v>297.94737858727848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-8058676.5655863797</v>
      </c>
      <c r="L32" s="18">
        <f ca="1">E32*'GS 50-999 Predicted Monthly'!$V$11</f>
        <v>29214.493659944223</v>
      </c>
      <c r="M32" s="18">
        <f ca="1">F32*'GS 50-999 Predicted Monthly'!$V$12</f>
        <v>8471118.3973442893</v>
      </c>
      <c r="N32" s="18">
        <f>G32*'GS 50-999 Predicted Monthly'!$V$13</f>
        <v>0</v>
      </c>
      <c r="O32" s="18">
        <f>H32*'GS 50-999 Predicted Monthly'!$V$14</f>
        <v>5340401.5427920325</v>
      </c>
      <c r="P32" s="18">
        <f>I32*'GS 50-999 Predicted Monthly'!$V$15</f>
        <v>22963619.096402079</v>
      </c>
      <c r="Q32" s="18">
        <f t="shared" ca="1" si="2"/>
        <v>28745676.964611966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3"/>
        <v>5.6499999999999977</v>
      </c>
      <c r="F33" s="269">
        <f t="shared" ca="1" si="3"/>
        <v>272.96558794466404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-8058676.5655863797</v>
      </c>
      <c r="L33" s="18">
        <f ca="1">E33*'GS 50-999 Predicted Monthly'!$V$11</f>
        <v>102021.25522246814</v>
      </c>
      <c r="M33" s="18">
        <f ca="1">F33*'GS 50-999 Predicted Monthly'!$V$12</f>
        <v>7760846.3106601536</v>
      </c>
      <c r="N33" s="18">
        <f>G33*'GS 50-999 Predicted Monthly'!$V$13</f>
        <v>0</v>
      </c>
      <c r="O33" s="18">
        <f>H33*'GS 50-999 Predicted Monthly'!$V$14</f>
        <v>5340401.5427920325</v>
      </c>
      <c r="P33" s="18">
        <f>I33*'GS 50-999 Predicted Monthly'!$V$15</f>
        <v>22963619.096402079</v>
      </c>
      <c r="Q33" s="18">
        <f t="shared" ca="1" si="2"/>
        <v>28108211.639490351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53" ca="1" si="4">E22</f>
        <v>54.959440993788824</v>
      </c>
      <c r="F34" s="269">
        <f t="shared" ca="1" si="4"/>
        <v>158.67014233954447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-8058676.5655863797</v>
      </c>
      <c r="L34" s="18">
        <f ca="1">E34*'GS 50-999 Predicted Monthly'!$V$11</f>
        <v>992394.89495778945</v>
      </c>
      <c r="M34" s="18">
        <f ca="1">F34*'GS 50-999 Predicted Monthly'!$V$12</f>
        <v>4511244.798510679</v>
      </c>
      <c r="N34" s="18">
        <f>G34*'GS 50-999 Predicted Monthly'!$V$13</f>
        <v>0</v>
      </c>
      <c r="O34" s="18">
        <f>H34*'GS 50-999 Predicted Monthly'!$V$14</f>
        <v>5340401.5427920325</v>
      </c>
      <c r="P34" s="18">
        <f>I34*'GS 50-999 Predicted Monthly'!$V$15</f>
        <v>22222857.190066528</v>
      </c>
      <c r="Q34" s="18">
        <f t="shared" ca="1" si="2"/>
        <v>25008221.860740647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4"/>
        <v>237.89681159420289</v>
      </c>
      <c r="F35" s="269">
        <f t="shared" ca="1" si="4"/>
        <v>35.32833333333334</v>
      </c>
      <c r="G35" s="269">
        <f>'Monthly Data'!CG35</f>
        <v>0</v>
      </c>
      <c r="H35" s="18">
        <f>'Monthly Data'!AL35</f>
        <v>771453</v>
      </c>
      <c r="I35" s="18">
        <f>'Monthly Data'!CD35</f>
        <v>31</v>
      </c>
      <c r="K35" s="18">
        <f>'GS 50-999 Predicted Monthly'!$V$10</f>
        <v>-8058676.5655863797</v>
      </c>
      <c r="L35" s="18">
        <f ca="1">E35*'GS 50-999 Predicted Monthly'!$V$11</f>
        <v>4295669.2623475399</v>
      </c>
      <c r="M35" s="18">
        <f ca="1">F35*'GS 50-999 Predicted Monthly'!$V$12</f>
        <v>1004440.7702679132</v>
      </c>
      <c r="N35" s="18">
        <f>G35*'GS 50-999 Predicted Monthly'!$V$13</f>
        <v>0</v>
      </c>
      <c r="O35" s="18">
        <f>H35*'GS 50-999 Predicted Monthly'!$V$14</f>
        <v>5385027.045449432</v>
      </c>
      <c r="P35" s="18">
        <f>I35*'GS 50-999 Predicted Monthly'!$V$15</f>
        <v>22963619.096402079</v>
      </c>
      <c r="Q35" s="18">
        <f t="shared" ca="1" si="2"/>
        <v>25590079.608880583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4"/>
        <v>426.62991389045737</v>
      </c>
      <c r="F36" s="269">
        <f t="shared" ca="1" si="4"/>
        <v>2.2779166666666657</v>
      </c>
      <c r="G36" s="269">
        <f>'Monthly Data'!CG36</f>
        <v>0</v>
      </c>
      <c r="H36" s="18">
        <f>'Monthly Data'!AL36</f>
        <v>771453</v>
      </c>
      <c r="I36" s="18">
        <f>'Monthly Data'!CD36</f>
        <v>30</v>
      </c>
      <c r="K36" s="18">
        <f>'GS 50-999 Predicted Monthly'!$V$10</f>
        <v>-8058676.5655863797</v>
      </c>
      <c r="L36" s="18">
        <f ca="1">E36*'GS 50-999 Predicted Monthly'!$V$11</f>
        <v>7703596.3416916775</v>
      </c>
      <c r="M36" s="18">
        <f ca="1">F36*'GS 50-999 Predicted Monthly'!$V$12</f>
        <v>64764.797979132403</v>
      </c>
      <c r="N36" s="18">
        <f>G36*'GS 50-999 Predicted Monthly'!$V$13</f>
        <v>0</v>
      </c>
      <c r="O36" s="18">
        <f>H36*'GS 50-999 Predicted Monthly'!$V$14</f>
        <v>5385027.045449432</v>
      </c>
      <c r="P36" s="18">
        <f>I36*'GS 50-999 Predicted Monthly'!$V$15</f>
        <v>22222857.190066528</v>
      </c>
      <c r="Q36" s="18">
        <f t="shared" ca="1" si="2"/>
        <v>27317568.80960039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4"/>
        <v>577.92800724637686</v>
      </c>
      <c r="F37" s="269">
        <f t="shared" ca="1" si="4"/>
        <v>0</v>
      </c>
      <c r="G37" s="269">
        <f>'Monthly Data'!CG37</f>
        <v>0</v>
      </c>
      <c r="H37" s="18">
        <f>'Monthly Data'!AL37</f>
        <v>771453</v>
      </c>
      <c r="I37" s="18">
        <f>'Monthly Data'!CD37</f>
        <v>31</v>
      </c>
      <c r="K37" s="18">
        <f>'GS 50-999 Predicted Monthly'!$V$10</f>
        <v>-8058676.5655863797</v>
      </c>
      <c r="L37" s="18">
        <f ca="1">E37*'GS 50-999 Predicted Monthly'!$V$11</f>
        <v>10435564.730530098</v>
      </c>
      <c r="M37" s="18">
        <f ca="1">F37*'GS 50-999 Predicted Monthly'!$V$12</f>
        <v>0</v>
      </c>
      <c r="N37" s="18">
        <f>G37*'GS 50-999 Predicted Monthly'!$V$13</f>
        <v>0</v>
      </c>
      <c r="O37" s="18">
        <f>H37*'GS 50-999 Predicted Monthly'!$V$14</f>
        <v>5385027.045449432</v>
      </c>
      <c r="P37" s="18">
        <f>I37*'GS 50-999 Predicted Monthly'!$V$15</f>
        <v>22963619.096402079</v>
      </c>
      <c r="Q37" s="18">
        <f t="shared" ca="1" si="2"/>
        <v>30725534.306795228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4"/>
        <v>697.33418478260876</v>
      </c>
      <c r="F38" s="269">
        <f t="shared" ca="1" si="4"/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-8058676.5655863797</v>
      </c>
      <c r="L38" s="18">
        <f ca="1">E38*'GS 50-999 Predicted Monthly'!$V$11</f>
        <v>12591665.281603241</v>
      </c>
      <c r="M38" s="18">
        <f ca="1">F38*'GS 50-999 Predicted Monthly'!$V$12</f>
        <v>0</v>
      </c>
      <c r="N38" s="18">
        <f>G38*'GS 50-999 Predicted Monthly'!$V$13</f>
        <v>0</v>
      </c>
      <c r="O38" s="18">
        <f>H38*'GS 50-999 Predicted Monthly'!$V$14</f>
        <v>5440911.8842223296</v>
      </c>
      <c r="P38" s="18">
        <f>I38*'GS 50-999 Predicted Monthly'!$V$15</f>
        <v>22963619.096402079</v>
      </c>
      <c r="Q38" s="18">
        <f t="shared" ca="1" si="2"/>
        <v>32937519.69664127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4"/>
        <v>624.25501811594188</v>
      </c>
      <c r="F39" s="269">
        <f t="shared" ca="1" si="4"/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-8058676.5655863797</v>
      </c>
      <c r="L39" s="18">
        <f ca="1">E39*'GS 50-999 Predicted Monthly'!$V$11</f>
        <v>11272085.04904655</v>
      </c>
      <c r="M39" s="18">
        <f ca="1">F39*'GS 50-999 Predicted Monthly'!$V$12</f>
        <v>0</v>
      </c>
      <c r="N39" s="18">
        <f>G39*'GS 50-999 Predicted Monthly'!$V$13</f>
        <v>0</v>
      </c>
      <c r="O39" s="18">
        <f>H39*'GS 50-999 Predicted Monthly'!$V$14</f>
        <v>5440911.8842223296</v>
      </c>
      <c r="P39" s="18">
        <f>I39*'GS 50-999 Predicted Monthly'!$V$15</f>
        <v>20741333.377395425</v>
      </c>
      <c r="Q39" s="18">
        <f t="shared" ca="1" si="2"/>
        <v>29395653.745077923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4"/>
        <v>546.13298913043491</v>
      </c>
      <c r="F40" s="269">
        <f t="shared" ca="1" si="4"/>
        <v>2.9583333333332896E-2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-8058676.5655863797</v>
      </c>
      <c r="L40" s="18">
        <f ca="1">E40*'GS 50-999 Predicted Monthly'!$V$11</f>
        <v>9861446.5609708931</v>
      </c>
      <c r="M40" s="18">
        <f ca="1">F40*'GS 50-999 Predicted Monthly'!$V$12</f>
        <v>841.1012724562529</v>
      </c>
      <c r="N40" s="18">
        <f>G40*'GS 50-999 Predicted Monthly'!$V$13</f>
        <v>0</v>
      </c>
      <c r="O40" s="18">
        <f>H40*'GS 50-999 Predicted Monthly'!$V$14</f>
        <v>5440911.8842223296</v>
      </c>
      <c r="P40" s="18">
        <f>I40*'GS 50-999 Predicted Monthly'!$V$15</f>
        <v>22963619.096402079</v>
      </c>
      <c r="Q40" s="18">
        <f t="shared" ca="1" si="2"/>
        <v>30208142.077281378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4"/>
        <v>352.41399621212122</v>
      </c>
      <c r="F41" s="269">
        <f t="shared" ca="1" si="4"/>
        <v>5.6420833333333338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-8058676.5655863797</v>
      </c>
      <c r="L41" s="18">
        <f ca="1">E41*'GS 50-999 Predicted Monthly'!$V$11</f>
        <v>6363489.9560224349</v>
      </c>
      <c r="M41" s="18">
        <f ca="1">F41*'GS 50-999 Predicted Monthly'!$V$12</f>
        <v>160413.41310324351</v>
      </c>
      <c r="N41" s="18">
        <f>G41*'GS 50-999 Predicted Monthly'!$V$13</f>
        <v>0</v>
      </c>
      <c r="O41" s="18">
        <f>H41*'GS 50-999 Predicted Monthly'!$V$14</f>
        <v>5478864.1535713477</v>
      </c>
      <c r="P41" s="18">
        <f>I41*'GS 50-999 Predicted Monthly'!$V$15</f>
        <v>22222857.190066528</v>
      </c>
      <c r="Q41" s="18">
        <f t="shared" ca="1" si="2"/>
        <v>26166948.147177175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4"/>
        <v>150.136897859768</v>
      </c>
      <c r="F42" s="269">
        <f t="shared" ca="1" si="4"/>
        <v>86.191046176046171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-8058676.5655863797</v>
      </c>
      <c r="L42" s="18">
        <f ca="1">E42*'GS 50-999 Predicted Monthly'!$V$11</f>
        <v>2711000.8451081468</v>
      </c>
      <c r="M42" s="18">
        <f ca="1">F42*'GS 50-999 Predicted Monthly'!$V$12</f>
        <v>2450548.6855101688</v>
      </c>
      <c r="N42" s="18">
        <f>G42*'GS 50-999 Predicted Monthly'!$V$13</f>
        <v>0</v>
      </c>
      <c r="O42" s="18">
        <f>H42*'GS 50-999 Predicted Monthly'!$V$14</f>
        <v>5478864.1535713477</v>
      </c>
      <c r="P42" s="18">
        <f>I42*'GS 50-999 Predicted Monthly'!$V$15</f>
        <v>22963619.096402079</v>
      </c>
      <c r="Q42" s="18">
        <f t="shared" ca="1" si="2"/>
        <v>25545356.215005361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4"/>
        <v>32.520923826173821</v>
      </c>
      <c r="F43" s="269">
        <f t="shared" ca="1" si="4"/>
        <v>194.94285087738348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-8058676.5655863797</v>
      </c>
      <c r="L43" s="18">
        <f ca="1">E43*'GS 50-999 Predicted Monthly'!$V$11</f>
        <v>587225.7468567302</v>
      </c>
      <c r="M43" s="18">
        <f ca="1">F43*'GS 50-999 Predicted Monthly'!$V$12</f>
        <v>5542535.6595792416</v>
      </c>
      <c r="N43" s="18">
        <f>G43*'GS 50-999 Predicted Monthly'!$V$13</f>
        <v>0</v>
      </c>
      <c r="O43" s="18">
        <f>H43*'GS 50-999 Predicted Monthly'!$V$14</f>
        <v>5478864.1535713477</v>
      </c>
      <c r="P43" s="18">
        <f>I43*'GS 50-999 Predicted Monthly'!$V$15</f>
        <v>22222857.190066528</v>
      </c>
      <c r="Q43" s="18">
        <f t="shared" ca="1" si="2"/>
        <v>25772806.184487469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4"/>
        <v>1.6179166666666653</v>
      </c>
      <c r="F44" s="269">
        <f t="shared" ca="1" si="4"/>
        <v>297.94737858727848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-8058676.5655863797</v>
      </c>
      <c r="L44" s="18">
        <f ca="1">E44*'GS 50-999 Predicted Monthly'!$V$11</f>
        <v>29214.493659944223</v>
      </c>
      <c r="M44" s="18">
        <f ca="1">F44*'GS 50-999 Predicted Monthly'!$V$12</f>
        <v>8471118.3973442893</v>
      </c>
      <c r="N44" s="18">
        <f>G44*'GS 50-999 Predicted Monthly'!$V$13</f>
        <v>0</v>
      </c>
      <c r="O44" s="18">
        <f>H44*'GS 50-999 Predicted Monthly'!$V$14</f>
        <v>5543390.6898712059</v>
      </c>
      <c r="P44" s="18">
        <f>I44*'GS 50-999 Predicted Monthly'!$V$15</f>
        <v>22963619.096402079</v>
      </c>
      <c r="Q44" s="18">
        <f t="shared" ca="1" si="2"/>
        <v>28948666.11169114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4"/>
        <v>5.6499999999999977</v>
      </c>
      <c r="F45" s="269">
        <f t="shared" ca="1" si="4"/>
        <v>272.96558794466404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-8058676.5655863797</v>
      </c>
      <c r="L45" s="18">
        <f ca="1">E45*'GS 50-999 Predicted Monthly'!$V$11</f>
        <v>102021.25522246814</v>
      </c>
      <c r="M45" s="18">
        <f ca="1">F45*'GS 50-999 Predicted Monthly'!$V$12</f>
        <v>7760846.3106601536</v>
      </c>
      <c r="N45" s="18">
        <f>G45*'GS 50-999 Predicted Monthly'!$V$13</f>
        <v>0</v>
      </c>
      <c r="O45" s="18">
        <f>H45*'GS 50-999 Predicted Monthly'!$V$14</f>
        <v>5543390.6898712059</v>
      </c>
      <c r="P45" s="18">
        <f>I45*'GS 50-999 Predicted Monthly'!$V$15</f>
        <v>22963619.096402079</v>
      </c>
      <c r="Q45" s="18">
        <f t="shared" ca="1" si="2"/>
        <v>28311200.786569528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4"/>
        <v>54.959440993788824</v>
      </c>
      <c r="F46" s="269">
        <f t="shared" ca="1" si="4"/>
        <v>158.67014233954447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-8058676.5655863797</v>
      </c>
      <c r="L46" s="18">
        <f ca="1">E46*'GS 50-999 Predicted Monthly'!$V$11</f>
        <v>992394.89495778945</v>
      </c>
      <c r="M46" s="18">
        <f ca="1">F46*'GS 50-999 Predicted Monthly'!$V$12</f>
        <v>4511244.798510679</v>
      </c>
      <c r="N46" s="18">
        <f>G46*'GS 50-999 Predicted Monthly'!$V$13</f>
        <v>0</v>
      </c>
      <c r="O46" s="18">
        <f>H46*'GS 50-999 Predicted Monthly'!$V$14</f>
        <v>5543390.6898712059</v>
      </c>
      <c r="P46" s="18">
        <f>I46*'GS 50-999 Predicted Monthly'!$V$15</f>
        <v>22222857.190066528</v>
      </c>
      <c r="Q46" s="18">
        <f t="shared" ca="1" si="2"/>
        <v>25211211.007819824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4"/>
        <v>237.89681159420289</v>
      </c>
      <c r="F47" s="269">
        <f t="shared" ca="1" si="4"/>
        <v>35.32833333333334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-8058676.5655863797</v>
      </c>
      <c r="L47" s="18">
        <f ca="1">E47*'GS 50-999 Predicted Monthly'!$V$11</f>
        <v>4295669.2623475399</v>
      </c>
      <c r="M47" s="18">
        <f ca="1">F47*'GS 50-999 Predicted Monthly'!$V$12</f>
        <v>1004440.7702679132</v>
      </c>
      <c r="N47" s="18">
        <f>G47*'GS 50-999 Predicted Monthly'!$V$13</f>
        <v>0</v>
      </c>
      <c r="O47" s="18">
        <f>H47*'GS 50-999 Predicted Monthly'!$V$14</f>
        <v>5581726.8795465436</v>
      </c>
      <c r="P47" s="18">
        <f>I47*'GS 50-999 Predicted Monthly'!$V$15</f>
        <v>22963619.096402079</v>
      </c>
      <c r="Q47" s="18">
        <f t="shared" ca="1" si="2"/>
        <v>25786779.442977697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4"/>
        <v>426.62991389045737</v>
      </c>
      <c r="F48" s="269">
        <f t="shared" ca="1" si="4"/>
        <v>2.2779166666666657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-8058676.5655863797</v>
      </c>
      <c r="L48" s="18">
        <f ca="1">E48*'GS 50-999 Predicted Monthly'!$V$11</f>
        <v>7703596.3416916775</v>
      </c>
      <c r="M48" s="18">
        <f ca="1">F48*'GS 50-999 Predicted Monthly'!$V$12</f>
        <v>64764.797979132403</v>
      </c>
      <c r="N48" s="18">
        <f>G48*'GS 50-999 Predicted Monthly'!$V$13</f>
        <v>0</v>
      </c>
      <c r="O48" s="18">
        <f>H48*'GS 50-999 Predicted Monthly'!$V$14</f>
        <v>5581726.8795465436</v>
      </c>
      <c r="P48" s="18">
        <f>I48*'GS 50-999 Predicted Monthly'!$V$15</f>
        <v>22222857.190066528</v>
      </c>
      <c r="Q48" s="18">
        <f t="shared" ca="1" si="2"/>
        <v>27514268.6436975</v>
      </c>
    </row>
    <row r="49" spans="1:17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4"/>
        <v>577.92800724637686</v>
      </c>
      <c r="F49" s="269">
        <f t="shared" ca="1" si="4"/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-8058676.5655863797</v>
      </c>
      <c r="L49" s="18">
        <f ca="1">E49*'GS 50-999 Predicted Monthly'!$V$11</f>
        <v>10435564.730530098</v>
      </c>
      <c r="M49" s="18">
        <f ca="1">F49*'GS 50-999 Predicted Monthly'!$V$12</f>
        <v>0</v>
      </c>
      <c r="N49" s="18">
        <f>G49*'GS 50-999 Predicted Monthly'!$V$13</f>
        <v>0</v>
      </c>
      <c r="O49" s="18">
        <f>H49*'GS 50-999 Predicted Monthly'!$V$14</f>
        <v>5581726.8795465436</v>
      </c>
      <c r="P49" s="18">
        <f>I49*'GS 50-999 Predicted Monthly'!$V$15</f>
        <v>22963619.096402079</v>
      </c>
      <c r="Q49" s="18">
        <f t="shared" ca="1" si="2"/>
        <v>30922234.140892342</v>
      </c>
    </row>
    <row r="50" spans="1:17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ca="1" si="4"/>
        <v>697.33418478260876</v>
      </c>
      <c r="F50" s="269">
        <f t="shared" ca="1" si="4"/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-8058676.5655863797</v>
      </c>
      <c r="L50" s="18">
        <f ca="1">E50*'GS 50-999 Predicted Monthly'!$V$11</f>
        <v>12591665.281603241</v>
      </c>
      <c r="M50" s="18">
        <f ca="1">F50*'GS 50-999 Predicted Monthly'!$V$12</f>
        <v>0</v>
      </c>
      <c r="N50" s="18">
        <f>G50*'GS 50-999 Predicted Monthly'!$V$13</f>
        <v>0</v>
      </c>
      <c r="O50" s="18">
        <f>H50*'GS 50-999 Predicted Monthly'!$V$14</f>
        <v>5589349.4431163669</v>
      </c>
      <c r="P50" s="18">
        <f>I50*'GS 50-999 Predicted Monthly'!$V$15</f>
        <v>22963619.096402079</v>
      </c>
      <c r="Q50" s="18">
        <f t="shared" ca="1" si="2"/>
        <v>33085957.255535308</v>
      </c>
    </row>
    <row r="51" spans="1:17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4"/>
        <v>624.25501811594188</v>
      </c>
      <c r="F51" s="269">
        <f t="shared" ca="1" si="4"/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-8058676.5655863797</v>
      </c>
      <c r="L51" s="18">
        <f ca="1">E51*'GS 50-999 Predicted Monthly'!$V$11</f>
        <v>11272085.04904655</v>
      </c>
      <c r="M51" s="18">
        <f ca="1">F51*'GS 50-999 Predicted Monthly'!$V$12</f>
        <v>0</v>
      </c>
      <c r="N51" s="18">
        <f>G51*'GS 50-999 Predicted Monthly'!$V$13</f>
        <v>0</v>
      </c>
      <c r="O51" s="18">
        <f>H51*'GS 50-999 Predicted Monthly'!$V$14</f>
        <v>5589349.4431163669</v>
      </c>
      <c r="P51" s="18">
        <f>I51*'GS 50-999 Predicted Monthly'!$V$15</f>
        <v>20741333.377395425</v>
      </c>
      <c r="Q51" s="18">
        <f t="shared" ca="1" si="2"/>
        <v>29544091.303971961</v>
      </c>
    </row>
    <row r="52" spans="1:17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4"/>
        <v>546.13298913043491</v>
      </c>
      <c r="F52" s="269">
        <f t="shared" ca="1" si="4"/>
        <v>2.9583333333332896E-2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-8058676.5655863797</v>
      </c>
      <c r="L52" s="18">
        <f ca="1">E52*'GS 50-999 Predicted Monthly'!$V$11</f>
        <v>9861446.5609708931</v>
      </c>
      <c r="M52" s="18">
        <f ca="1">F52*'GS 50-999 Predicted Monthly'!$V$12</f>
        <v>841.1012724562529</v>
      </c>
      <c r="N52" s="18">
        <f>G52*'GS 50-999 Predicted Monthly'!$V$13</f>
        <v>0</v>
      </c>
      <c r="O52" s="18">
        <f>H52*'GS 50-999 Predicted Monthly'!$V$14</f>
        <v>5589349.4431163669</v>
      </c>
      <c r="P52" s="18">
        <f>I52*'GS 50-999 Predicted Monthly'!$V$15</f>
        <v>22963619.096402079</v>
      </c>
      <c r="Q52" s="18">
        <f t="shared" ca="1" si="2"/>
        <v>30356579.636175416</v>
      </c>
    </row>
    <row r="53" spans="1:17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4"/>
        <v>352.41399621212122</v>
      </c>
      <c r="F53" s="269">
        <f t="shared" ca="1" si="4"/>
        <v>5.6420833333333338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-8058676.5655863797</v>
      </c>
      <c r="L53" s="18">
        <f ca="1">E53*'GS 50-999 Predicted Monthly'!$V$11</f>
        <v>6363489.9560224349</v>
      </c>
      <c r="M53" s="18">
        <f ca="1">F53*'GS 50-999 Predicted Monthly'!$V$12</f>
        <v>160413.41310324351</v>
      </c>
      <c r="N53" s="18">
        <f>G53*'GS 50-999 Predicted Monthly'!$V$13</f>
        <v>0</v>
      </c>
      <c r="O53" s="18">
        <f>H53*'GS 50-999 Predicted Monthly'!$V$14</f>
        <v>5630575.5057934504</v>
      </c>
      <c r="P53" s="18">
        <f>I53*'GS 50-999 Predicted Monthly'!$V$15</f>
        <v>22222857.190066528</v>
      </c>
      <c r="Q53" s="18">
        <f t="shared" ca="1" si="2"/>
        <v>26318659.499399275</v>
      </c>
    </row>
    <row r="54" spans="1:17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ref="E54:F73" ca="1" si="5">E42</f>
        <v>150.136897859768</v>
      </c>
      <c r="F54" s="269">
        <f t="shared" ca="1" si="5"/>
        <v>86.191046176046171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-8058676.5655863797</v>
      </c>
      <c r="L54" s="18">
        <f ca="1">E54*'GS 50-999 Predicted Monthly'!$V$11</f>
        <v>2711000.8451081468</v>
      </c>
      <c r="M54" s="18">
        <f ca="1">F54*'GS 50-999 Predicted Monthly'!$V$12</f>
        <v>2450548.6855101688</v>
      </c>
      <c r="N54" s="18">
        <f>G54*'GS 50-999 Predicted Monthly'!$V$13</f>
        <v>0</v>
      </c>
      <c r="O54" s="18">
        <f>H54*'GS 50-999 Predicted Monthly'!$V$14</f>
        <v>5630575.5057934504</v>
      </c>
      <c r="P54" s="18">
        <f>I54*'GS 50-999 Predicted Monthly'!$V$15</f>
        <v>22963619.096402079</v>
      </c>
      <c r="Q54" s="18">
        <f t="shared" ca="1" si="2"/>
        <v>25697067.567227464</v>
      </c>
    </row>
    <row r="55" spans="1:17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5"/>
        <v>32.520923826173821</v>
      </c>
      <c r="F55" s="269">
        <f t="shared" ca="1" si="5"/>
        <v>194.94285087738348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-8058676.5655863797</v>
      </c>
      <c r="L55" s="18">
        <f ca="1">E55*'GS 50-999 Predicted Monthly'!$V$11</f>
        <v>587225.7468567302</v>
      </c>
      <c r="M55" s="18">
        <f ca="1">F55*'GS 50-999 Predicted Monthly'!$V$12</f>
        <v>5542535.6595792416</v>
      </c>
      <c r="N55" s="18">
        <f>G55*'GS 50-999 Predicted Monthly'!$V$13</f>
        <v>0</v>
      </c>
      <c r="O55" s="18">
        <f>H55*'GS 50-999 Predicted Monthly'!$V$14</f>
        <v>5630575.5057934504</v>
      </c>
      <c r="P55" s="18">
        <f>I55*'GS 50-999 Predicted Monthly'!$V$15</f>
        <v>22222857.190066528</v>
      </c>
      <c r="Q55" s="18">
        <f t="shared" ca="1" si="2"/>
        <v>25924517.536709569</v>
      </c>
    </row>
    <row r="56" spans="1:17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5"/>
        <v>1.6179166666666653</v>
      </c>
      <c r="F56" s="269">
        <f t="shared" ca="1" si="5"/>
        <v>297.94737858727848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-8058676.5655863797</v>
      </c>
      <c r="L56" s="18">
        <f ca="1">E56*'GS 50-999 Predicted Monthly'!$V$11</f>
        <v>29214.493659944223</v>
      </c>
      <c r="M56" s="18">
        <f ca="1">F56*'GS 50-999 Predicted Monthly'!$V$12</f>
        <v>8471118.3973442893</v>
      </c>
      <c r="N56" s="18">
        <f>G56*'GS 50-999 Predicted Monthly'!$V$13</f>
        <v>0</v>
      </c>
      <c r="O56" s="18">
        <f>H56*'GS 50-999 Predicted Monthly'!$V$14</f>
        <v>5656521.5394830415</v>
      </c>
      <c r="P56" s="18">
        <f>I56*'GS 50-999 Predicted Monthly'!$V$15</f>
        <v>22963619.096402079</v>
      </c>
      <c r="Q56" s="18">
        <f t="shared" ca="1" si="2"/>
        <v>29061796.961302973</v>
      </c>
    </row>
    <row r="57" spans="1:17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5"/>
        <v>5.6499999999999977</v>
      </c>
      <c r="F57" s="269">
        <f t="shared" ca="1" si="5"/>
        <v>272.96558794466404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-8058676.5655863797</v>
      </c>
      <c r="L57" s="18">
        <f ca="1">E57*'GS 50-999 Predicted Monthly'!$V$11</f>
        <v>102021.25522246814</v>
      </c>
      <c r="M57" s="18">
        <f ca="1">F57*'GS 50-999 Predicted Monthly'!$V$12</f>
        <v>7760846.3106601536</v>
      </c>
      <c r="N57" s="18">
        <f>G57*'GS 50-999 Predicted Monthly'!$V$13</f>
        <v>0</v>
      </c>
      <c r="O57" s="18">
        <f>H57*'GS 50-999 Predicted Monthly'!$V$14</f>
        <v>5656521.5394830415</v>
      </c>
      <c r="P57" s="18">
        <f>I57*'GS 50-999 Predicted Monthly'!$V$15</f>
        <v>22963619.096402079</v>
      </c>
      <c r="Q57" s="18">
        <f t="shared" ca="1" si="2"/>
        <v>28424331.636181362</v>
      </c>
    </row>
    <row r="58" spans="1:17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Data'!N58</f>
        <v>24447792.044599112</v>
      </c>
      <c r="E58" s="269">
        <f t="shared" ca="1" si="5"/>
        <v>54.959440993788824</v>
      </c>
      <c r="F58" s="269">
        <f t="shared" ca="1" si="5"/>
        <v>158.67014233954447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-8058676.5655863797</v>
      </c>
      <c r="L58" s="18">
        <f ca="1">E58*'GS 50-999 Predicted Monthly'!$V$11</f>
        <v>992394.89495778945</v>
      </c>
      <c r="M58" s="18">
        <f ca="1">F58*'GS 50-999 Predicted Monthly'!$V$12</f>
        <v>4511244.798510679</v>
      </c>
      <c r="N58" s="18">
        <f>G58*'GS 50-999 Predicted Monthly'!$V$13</f>
        <v>0</v>
      </c>
      <c r="O58" s="18">
        <f>H58*'GS 50-999 Predicted Monthly'!$V$14</f>
        <v>5656521.5394830415</v>
      </c>
      <c r="P58" s="18">
        <f>I58*'GS 50-999 Predicted Monthly'!$V$15</f>
        <v>22222857.190066528</v>
      </c>
      <c r="Q58" s="18">
        <f t="shared" ca="1" si="2"/>
        <v>25324341.857431658</v>
      </c>
    </row>
    <row r="59" spans="1:17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Data'!N59</f>
        <v>24249973.509908725</v>
      </c>
      <c r="E59" s="269">
        <f t="shared" ca="1" si="5"/>
        <v>237.89681159420289</v>
      </c>
      <c r="F59" s="269">
        <f t="shared" ca="1" si="5"/>
        <v>35.32833333333334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-8058676.5655863797</v>
      </c>
      <c r="L59" s="18">
        <f ca="1">E59*'GS 50-999 Predicted Monthly'!$V$11</f>
        <v>4295669.2623475399</v>
      </c>
      <c r="M59" s="18">
        <f ca="1">F59*'GS 50-999 Predicted Monthly'!$V$12</f>
        <v>1004440.7702679132</v>
      </c>
      <c r="N59" s="18">
        <f>G59*'GS 50-999 Predicted Monthly'!$V$13</f>
        <v>0</v>
      </c>
      <c r="O59" s="18">
        <f>H59*'GS 50-999 Predicted Monthly'!$V$14</f>
        <v>5663850.9275309481</v>
      </c>
      <c r="P59" s="18">
        <f>I59*'GS 50-999 Predicted Monthly'!$V$15</f>
        <v>22963619.096402079</v>
      </c>
      <c r="Q59" s="18">
        <f t="shared" ca="1" si="2"/>
        <v>25868903.490962099</v>
      </c>
    </row>
    <row r="60" spans="1:17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Data'!N60</f>
        <v>30825542.226426981</v>
      </c>
      <c r="E60" s="269">
        <f t="shared" ca="1" si="5"/>
        <v>426.62991389045737</v>
      </c>
      <c r="F60" s="269">
        <f t="shared" ca="1" si="5"/>
        <v>2.2779166666666657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-8058676.5655863797</v>
      </c>
      <c r="L60" s="18">
        <f ca="1">E60*'GS 50-999 Predicted Monthly'!$V$11</f>
        <v>7703596.3416916775</v>
      </c>
      <c r="M60" s="18">
        <f ca="1">F60*'GS 50-999 Predicted Monthly'!$V$12</f>
        <v>64764.797979132403</v>
      </c>
      <c r="N60" s="18">
        <f>G60*'GS 50-999 Predicted Monthly'!$V$13</f>
        <v>0</v>
      </c>
      <c r="O60" s="18">
        <f>H60*'GS 50-999 Predicted Monthly'!$V$14</f>
        <v>5663850.9275309481</v>
      </c>
      <c r="P60" s="18">
        <f>I60*'GS 50-999 Predicted Monthly'!$V$15</f>
        <v>22222857.190066528</v>
      </c>
      <c r="Q60" s="18">
        <f t="shared" ca="1" si="2"/>
        <v>27596392.691681907</v>
      </c>
    </row>
    <row r="61" spans="1:17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Data'!N61</f>
        <v>30515644.19160156</v>
      </c>
      <c r="E61" s="269">
        <f t="shared" ca="1" si="5"/>
        <v>577.92800724637686</v>
      </c>
      <c r="F61" s="269">
        <f t="shared" ca="1" si="5"/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-8058676.5655863797</v>
      </c>
      <c r="L61" s="18">
        <f ca="1">E61*'GS 50-999 Predicted Monthly'!$V$11</f>
        <v>10435564.730530098</v>
      </c>
      <c r="M61" s="18">
        <f ca="1">F61*'GS 50-999 Predicted Monthly'!$V$12</f>
        <v>0</v>
      </c>
      <c r="N61" s="18">
        <f>G61*'GS 50-999 Predicted Monthly'!$V$13</f>
        <v>0</v>
      </c>
      <c r="O61" s="18">
        <f>H61*'GS 50-999 Predicted Monthly'!$V$14</f>
        <v>5663850.9275309481</v>
      </c>
      <c r="P61" s="18">
        <f>I61*'GS 50-999 Predicted Monthly'!$V$15</f>
        <v>22963619.096402079</v>
      </c>
      <c r="Q61" s="18">
        <f t="shared" ca="1" si="2"/>
        <v>31004358.188876744</v>
      </c>
    </row>
    <row r="62" spans="1:17" x14ac:dyDescent="0.25">
      <c r="A62" s="3">
        <f>'Monthly Data'!A62</f>
        <v>43831</v>
      </c>
      <c r="B62" s="1">
        <f t="shared" ref="B62:B115" si="6">YEAR(A62)</f>
        <v>2020</v>
      </c>
      <c r="C62" s="1">
        <f t="shared" ref="C62:C115" si="7">MONTH(A62)</f>
        <v>1</v>
      </c>
      <c r="D62" s="259">
        <f>'Monthly Data'!N62</f>
        <v>31665184.615771491</v>
      </c>
      <c r="E62" s="269">
        <f t="shared" ca="1" si="5"/>
        <v>697.33418478260876</v>
      </c>
      <c r="F62" s="269">
        <f t="shared" ca="1" si="5"/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-8058676.5655863797</v>
      </c>
      <c r="L62" s="18">
        <f ca="1">E62*'GS 50-999 Predicted Monthly'!$V$11</f>
        <v>12591665.281603241</v>
      </c>
      <c r="M62" s="18">
        <f ca="1">F62*'GS 50-999 Predicted Monthly'!$V$12</f>
        <v>0</v>
      </c>
      <c r="N62" s="18">
        <f>G62*'GS 50-999 Predicted Monthly'!$V$13</f>
        <v>0</v>
      </c>
      <c r="O62" s="18">
        <f>H62*'GS 50-999 Predicted Monthly'!$V$14</f>
        <v>5585175.1821138449</v>
      </c>
      <c r="P62" s="18">
        <f>I62*'GS 50-999 Predicted Monthly'!$V$15</f>
        <v>22963619.096402079</v>
      </c>
      <c r="Q62" s="18">
        <f t="shared" ca="1" si="2"/>
        <v>33081782.994532786</v>
      </c>
    </row>
    <row r="63" spans="1:17" x14ac:dyDescent="0.25">
      <c r="A63" s="3">
        <f>'Monthly Data'!A63</f>
        <v>43862</v>
      </c>
      <c r="B63" s="1">
        <f t="shared" si="6"/>
        <v>2020</v>
      </c>
      <c r="C63" s="1">
        <f t="shared" si="7"/>
        <v>2</v>
      </c>
      <c r="D63" s="259">
        <f>'Monthly Data'!N63</f>
        <v>28996456.425020933</v>
      </c>
      <c r="E63" s="269">
        <f t="shared" ca="1" si="5"/>
        <v>624.25501811594188</v>
      </c>
      <c r="F63" s="269">
        <f t="shared" ca="1" si="5"/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-8058676.5655863797</v>
      </c>
      <c r="L63" s="18">
        <f ca="1">E63*'GS 50-999 Predicted Monthly'!$V$11</f>
        <v>11272085.04904655</v>
      </c>
      <c r="M63" s="18">
        <f ca="1">F63*'GS 50-999 Predicted Monthly'!$V$12</f>
        <v>0</v>
      </c>
      <c r="N63" s="18">
        <f>G63*'GS 50-999 Predicted Monthly'!$V$13</f>
        <v>0</v>
      </c>
      <c r="O63" s="18">
        <f>H63*'GS 50-999 Predicted Monthly'!$V$14</f>
        <v>5585175.1821138449</v>
      </c>
      <c r="P63" s="18">
        <f>I63*'GS 50-999 Predicted Monthly'!$V$15</f>
        <v>21482095.283730976</v>
      </c>
      <c r="Q63" s="18">
        <f t="shared" ca="1" si="2"/>
        <v>30280678.94930499</v>
      </c>
    </row>
    <row r="64" spans="1:17" x14ac:dyDescent="0.25">
      <c r="A64" s="3">
        <f>'Monthly Data'!A64</f>
        <v>43891</v>
      </c>
      <c r="B64" s="1">
        <f t="shared" si="6"/>
        <v>2020</v>
      </c>
      <c r="C64" s="1">
        <f t="shared" si="7"/>
        <v>3</v>
      </c>
      <c r="D64" s="259">
        <f>'Monthly Data'!N64</f>
        <v>27523984.230147589</v>
      </c>
      <c r="E64" s="269">
        <f t="shared" ca="1" si="5"/>
        <v>546.13298913043491</v>
      </c>
      <c r="F64" s="269">
        <f t="shared" ca="1" si="5"/>
        <v>2.9583333333332896E-2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-8058676.5655863797</v>
      </c>
      <c r="L64" s="18">
        <f ca="1">E64*'GS 50-999 Predicted Monthly'!$V$11</f>
        <v>9861446.5609708931</v>
      </c>
      <c r="M64" s="18">
        <f ca="1">F64*'GS 50-999 Predicted Monthly'!$V$12</f>
        <v>841.1012724562529</v>
      </c>
      <c r="N64" s="18">
        <f>G64*'GS 50-999 Predicted Monthly'!$V$13</f>
        <v>-1423825.2775062299</v>
      </c>
      <c r="O64" s="18">
        <f>H64*'GS 50-999 Predicted Monthly'!$V$14</f>
        <v>5585175.1821138449</v>
      </c>
      <c r="P64" s="18">
        <f>I64*'GS 50-999 Predicted Monthly'!$V$15</f>
        <v>22963619.096402079</v>
      </c>
      <c r="Q64" s="18">
        <f t="shared" ca="1" si="2"/>
        <v>28928580.097666666</v>
      </c>
    </row>
    <row r="65" spans="1:17" x14ac:dyDescent="0.25">
      <c r="A65" s="3">
        <f>'Monthly Data'!A65</f>
        <v>43922</v>
      </c>
      <c r="B65" s="1">
        <f t="shared" si="6"/>
        <v>2020</v>
      </c>
      <c r="C65" s="1">
        <f t="shared" si="7"/>
        <v>4</v>
      </c>
      <c r="D65" s="259">
        <f>'Monthly Data'!N65</f>
        <v>22124574.074711651</v>
      </c>
      <c r="E65" s="269">
        <f t="shared" ca="1" si="5"/>
        <v>352.41399621212122</v>
      </c>
      <c r="F65" s="269">
        <f t="shared" ca="1" si="5"/>
        <v>5.6420833333333338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-8058676.5655863797</v>
      </c>
      <c r="L65" s="18">
        <f ca="1">E65*'GS 50-999 Predicted Monthly'!$V$11</f>
        <v>6363489.9560224349</v>
      </c>
      <c r="M65" s="18">
        <f ca="1">F65*'GS 50-999 Predicted Monthly'!$V$12</f>
        <v>160413.41310324351</v>
      </c>
      <c r="N65" s="18">
        <f>G65*'GS 50-999 Predicted Monthly'!$V$13</f>
        <v>-2847650.5550124599</v>
      </c>
      <c r="O65" s="18">
        <f>H65*'GS 50-999 Predicted Monthly'!$V$14</f>
        <v>4931903.3352191206</v>
      </c>
      <c r="P65" s="18">
        <f>I65*'GS 50-999 Predicted Monthly'!$V$15</f>
        <v>22222857.190066528</v>
      </c>
      <c r="Q65" s="18">
        <f t="shared" ca="1" si="2"/>
        <v>22772336.773812488</v>
      </c>
    </row>
    <row r="66" spans="1:17" x14ac:dyDescent="0.25">
      <c r="A66" s="3">
        <f>'Monthly Data'!A66</f>
        <v>43952</v>
      </c>
      <c r="B66" s="1">
        <f t="shared" si="6"/>
        <v>2020</v>
      </c>
      <c r="C66" s="1">
        <f t="shared" si="7"/>
        <v>5</v>
      </c>
      <c r="D66" s="259">
        <f>'Monthly Data'!N66</f>
        <v>21859678.942449689</v>
      </c>
      <c r="E66" s="269">
        <f t="shared" ca="1" si="5"/>
        <v>150.136897859768</v>
      </c>
      <c r="F66" s="269">
        <f t="shared" ca="1" si="5"/>
        <v>86.191046176046171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-8058676.5655863797</v>
      </c>
      <c r="L66" s="18">
        <f ca="1">E66*'GS 50-999 Predicted Monthly'!$V$11</f>
        <v>2711000.8451081468</v>
      </c>
      <c r="M66" s="18">
        <f ca="1">F66*'GS 50-999 Predicted Monthly'!$V$12</f>
        <v>2450548.6855101688</v>
      </c>
      <c r="N66" s="18">
        <f>G66*'GS 50-999 Predicted Monthly'!$V$13</f>
        <v>-2847650.5550124599</v>
      </c>
      <c r="O66" s="18">
        <f>H66*'GS 50-999 Predicted Monthly'!$V$14</f>
        <v>4931903.3352191206</v>
      </c>
      <c r="P66" s="18">
        <f>I66*'GS 50-999 Predicted Monthly'!$V$15</f>
        <v>22963619.096402079</v>
      </c>
      <c r="Q66" s="18">
        <f t="shared" ca="1" si="2"/>
        <v>22150744.841640674</v>
      </c>
    </row>
    <row r="67" spans="1:17" x14ac:dyDescent="0.25">
      <c r="A67" s="3">
        <f>'Monthly Data'!A67</f>
        <v>43983</v>
      </c>
      <c r="B67" s="1">
        <f t="shared" si="6"/>
        <v>2020</v>
      </c>
      <c r="C67" s="1">
        <f t="shared" si="7"/>
        <v>6</v>
      </c>
      <c r="D67" s="259">
        <f>'Monthly Data'!N67</f>
        <v>24219008.095878799</v>
      </c>
      <c r="E67" s="269">
        <f t="shared" ca="1" si="5"/>
        <v>32.520923826173821</v>
      </c>
      <c r="F67" s="269">
        <f t="shared" ca="1" si="5"/>
        <v>194.94285087738348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-8058676.5655863797</v>
      </c>
      <c r="L67" s="18">
        <f ca="1">E67*'GS 50-999 Predicted Monthly'!$V$11</f>
        <v>587225.7468567302</v>
      </c>
      <c r="M67" s="18">
        <f ca="1">F67*'GS 50-999 Predicted Monthly'!$V$12</f>
        <v>5542535.6595792416</v>
      </c>
      <c r="N67" s="18">
        <f>G67*'GS 50-999 Predicted Monthly'!$V$13</f>
        <v>-1423825.2775062299</v>
      </c>
      <c r="O67" s="18">
        <f>H67*'GS 50-999 Predicted Monthly'!$V$14</f>
        <v>4931903.3352191206</v>
      </c>
      <c r="P67" s="18">
        <f>I67*'GS 50-999 Predicted Monthly'!$V$15</f>
        <v>22222857.190066528</v>
      </c>
      <c r="Q67" s="18">
        <f t="shared" ref="Q67:Q130" ca="1" si="8">SUM(K67:P67)</f>
        <v>23802020.088629011</v>
      </c>
    </row>
    <row r="68" spans="1:17" x14ac:dyDescent="0.25">
      <c r="A68" s="3">
        <f>'Monthly Data'!A68</f>
        <v>44013</v>
      </c>
      <c r="B68" s="1">
        <f t="shared" si="6"/>
        <v>2020</v>
      </c>
      <c r="C68" s="1">
        <f t="shared" si="7"/>
        <v>7</v>
      </c>
      <c r="D68" s="259">
        <f>'Monthly Data'!N68</f>
        <v>28888464.206618078</v>
      </c>
      <c r="E68" s="269">
        <f t="shared" ca="1" si="5"/>
        <v>1.6179166666666653</v>
      </c>
      <c r="F68" s="269">
        <f t="shared" ca="1" si="5"/>
        <v>297.94737858727848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-8058676.5655863797</v>
      </c>
      <c r="L68" s="18">
        <f ca="1">E68*'GS 50-999 Predicted Monthly'!$V$11</f>
        <v>29214.493659944223</v>
      </c>
      <c r="M68" s="18">
        <f ca="1">F68*'GS 50-999 Predicted Monthly'!$V$12</f>
        <v>8471118.3973442893</v>
      </c>
      <c r="N68" s="18">
        <f>G68*'GS 50-999 Predicted Monthly'!$V$13</f>
        <v>-1423825.2775062299</v>
      </c>
      <c r="O68" s="18">
        <f>H68*'GS 50-999 Predicted Monthly'!$V$14</f>
        <v>5425317.7386042112</v>
      </c>
      <c r="P68" s="18">
        <f>I68*'GS 50-999 Predicted Monthly'!$V$15</f>
        <v>22963619.096402079</v>
      </c>
      <c r="Q68" s="18">
        <f t="shared" ca="1" si="8"/>
        <v>27406767.882917915</v>
      </c>
    </row>
    <row r="69" spans="1:17" x14ac:dyDescent="0.25">
      <c r="A69" s="3">
        <f>'Monthly Data'!A69</f>
        <v>44044</v>
      </c>
      <c r="B69" s="1">
        <f t="shared" si="6"/>
        <v>2020</v>
      </c>
      <c r="C69" s="1">
        <f t="shared" si="7"/>
        <v>8</v>
      </c>
      <c r="D69" s="259">
        <f>'Monthly Data'!N69</f>
        <v>26919034.292032495</v>
      </c>
      <c r="E69" s="269">
        <f t="shared" ca="1" si="5"/>
        <v>5.6499999999999977</v>
      </c>
      <c r="F69" s="269">
        <f t="shared" ca="1" si="5"/>
        <v>272.96558794466404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-8058676.5655863797</v>
      </c>
      <c r="L69" s="18">
        <f ca="1">E69*'GS 50-999 Predicted Monthly'!$V$11</f>
        <v>102021.25522246814</v>
      </c>
      <c r="M69" s="18">
        <f ca="1">F69*'GS 50-999 Predicted Monthly'!$V$12</f>
        <v>7760846.3106601536</v>
      </c>
      <c r="N69" s="18">
        <f>G69*'GS 50-999 Predicted Monthly'!$V$13</f>
        <v>-1423825.2775062299</v>
      </c>
      <c r="O69" s="18">
        <f>H69*'GS 50-999 Predicted Monthly'!$V$14</f>
        <v>5425317.7386042112</v>
      </c>
      <c r="P69" s="18">
        <f>I69*'GS 50-999 Predicted Monthly'!$V$15</f>
        <v>22963619.096402079</v>
      </c>
      <c r="Q69" s="18">
        <f t="shared" ca="1" si="8"/>
        <v>26769302.557796303</v>
      </c>
    </row>
    <row r="70" spans="1:17" x14ac:dyDescent="0.25">
      <c r="A70" s="3">
        <f>'Monthly Data'!A70</f>
        <v>44075</v>
      </c>
      <c r="B70" s="1">
        <f t="shared" si="6"/>
        <v>2020</v>
      </c>
      <c r="C70" s="1">
        <f t="shared" si="7"/>
        <v>9</v>
      </c>
      <c r="D70" s="259">
        <f>'Monthly Data'!N70</f>
        <v>22899887.372774672</v>
      </c>
      <c r="E70" s="269">
        <f t="shared" ca="1" si="5"/>
        <v>54.959440993788824</v>
      </c>
      <c r="F70" s="269">
        <f t="shared" ca="1" si="5"/>
        <v>158.67014233954447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-8058676.5655863797</v>
      </c>
      <c r="L70" s="18">
        <f ca="1">E70*'GS 50-999 Predicted Monthly'!$V$11</f>
        <v>992394.89495778945</v>
      </c>
      <c r="M70" s="18">
        <f ca="1">F70*'GS 50-999 Predicted Monthly'!$V$12</f>
        <v>4511244.798510679</v>
      </c>
      <c r="N70" s="18">
        <f>G70*'GS 50-999 Predicted Monthly'!$V$13</f>
        <v>-1423825.2775062299</v>
      </c>
      <c r="O70" s="18">
        <f>H70*'GS 50-999 Predicted Monthly'!$V$14</f>
        <v>5425317.7386042112</v>
      </c>
      <c r="P70" s="18">
        <f>I70*'GS 50-999 Predicted Monthly'!$V$15</f>
        <v>22222857.190066528</v>
      </c>
      <c r="Q70" s="18">
        <f t="shared" ca="1" si="8"/>
        <v>23669312.779046599</v>
      </c>
    </row>
    <row r="71" spans="1:17" x14ac:dyDescent="0.25">
      <c r="A71" s="3">
        <f>'Monthly Data'!A71</f>
        <v>44105</v>
      </c>
      <c r="B71" s="1">
        <f t="shared" si="6"/>
        <v>2020</v>
      </c>
      <c r="C71" s="1">
        <f t="shared" si="7"/>
        <v>10</v>
      </c>
      <c r="D71" s="259">
        <f>'Monthly Data'!N71</f>
        <v>22361323.862121925</v>
      </c>
      <c r="E71" s="269">
        <f t="shared" ca="1" si="5"/>
        <v>237.89681159420289</v>
      </c>
      <c r="F71" s="269">
        <f t="shared" ca="1" si="5"/>
        <v>35.32833333333334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-8058676.5655863797</v>
      </c>
      <c r="L71" s="18">
        <f ca="1">E71*'GS 50-999 Predicted Monthly'!$V$11</f>
        <v>4295669.2623475399</v>
      </c>
      <c r="M71" s="18">
        <f ca="1">F71*'GS 50-999 Predicted Monthly'!$V$12</f>
        <v>1004440.7702679132</v>
      </c>
      <c r="N71" s="18">
        <f>G71*'GS 50-999 Predicted Monthly'!$V$13</f>
        <v>-1423825.2775062299</v>
      </c>
      <c r="O71" s="18">
        <f>H71*'GS 50-999 Predicted Monthly'!$V$14</f>
        <v>5555529.5525524542</v>
      </c>
      <c r="P71" s="18">
        <f>I71*'GS 50-999 Predicted Monthly'!$V$15</f>
        <v>22963619.096402079</v>
      </c>
      <c r="Q71" s="18">
        <f t="shared" ca="1" si="8"/>
        <v>24336756.838477377</v>
      </c>
    </row>
    <row r="72" spans="1:17" x14ac:dyDescent="0.25">
      <c r="A72" s="3">
        <f>'Monthly Data'!A72</f>
        <v>44136</v>
      </c>
      <c r="B72" s="1">
        <f t="shared" si="6"/>
        <v>2020</v>
      </c>
      <c r="C72" s="1">
        <f t="shared" si="7"/>
        <v>11</v>
      </c>
      <c r="D72" s="259">
        <f>'Monthly Data'!N72</f>
        <v>23101196.568596739</v>
      </c>
      <c r="E72" s="269">
        <f t="shared" ca="1" si="5"/>
        <v>426.62991389045737</v>
      </c>
      <c r="F72" s="269">
        <f t="shared" ca="1" si="5"/>
        <v>2.2779166666666657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-8058676.5655863797</v>
      </c>
      <c r="L72" s="18">
        <f ca="1">E72*'GS 50-999 Predicted Monthly'!$V$11</f>
        <v>7703596.3416916775</v>
      </c>
      <c r="M72" s="18">
        <f ca="1">F72*'GS 50-999 Predicted Monthly'!$V$12</f>
        <v>64764.797979132403</v>
      </c>
      <c r="N72" s="18">
        <f>G72*'GS 50-999 Predicted Monthly'!$V$13</f>
        <v>-1423825.2775062299</v>
      </c>
      <c r="O72" s="18">
        <f>H72*'GS 50-999 Predicted Monthly'!$V$14</f>
        <v>5555529.5525524542</v>
      </c>
      <c r="P72" s="18">
        <f>I72*'GS 50-999 Predicted Monthly'!$V$15</f>
        <v>22222857.190066528</v>
      </c>
      <c r="Q72" s="18">
        <f t="shared" ca="1" si="8"/>
        <v>26064246.03919718</v>
      </c>
    </row>
    <row r="73" spans="1:17" x14ac:dyDescent="0.25">
      <c r="A73" s="3">
        <f>'Monthly Data'!A73</f>
        <v>44166</v>
      </c>
      <c r="B73" s="1">
        <f t="shared" si="6"/>
        <v>2020</v>
      </c>
      <c r="C73" s="1">
        <f t="shared" si="7"/>
        <v>12</v>
      </c>
      <c r="D73" s="259">
        <f>'Monthly Data'!N73</f>
        <v>31742077.27981564</v>
      </c>
      <c r="E73" s="269">
        <f t="shared" ca="1" si="5"/>
        <v>577.92800724637686</v>
      </c>
      <c r="F73" s="269">
        <f t="shared" ca="1" si="5"/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-8058676.5655863797</v>
      </c>
      <c r="L73" s="18">
        <f ca="1">E73*'GS 50-999 Predicted Monthly'!$V$11</f>
        <v>10435564.730530098</v>
      </c>
      <c r="M73" s="18">
        <f ca="1">F73*'GS 50-999 Predicted Monthly'!$V$12</f>
        <v>0</v>
      </c>
      <c r="N73" s="18">
        <f>G73*'GS 50-999 Predicted Monthly'!$V$13</f>
        <v>-1423825.2775062299</v>
      </c>
      <c r="O73" s="18">
        <f>H73*'GS 50-999 Predicted Monthly'!$V$14</f>
        <v>5555529.5525524542</v>
      </c>
      <c r="P73" s="18">
        <f>I73*'GS 50-999 Predicted Monthly'!$V$15</f>
        <v>22963619.096402079</v>
      </c>
      <c r="Q73" s="18">
        <f t="shared" ca="1" si="8"/>
        <v>29472211.536392022</v>
      </c>
    </row>
    <row r="74" spans="1:17" x14ac:dyDescent="0.25">
      <c r="A74" s="3">
        <f>'Monthly Data'!A74</f>
        <v>44197</v>
      </c>
      <c r="B74" s="1">
        <f t="shared" si="6"/>
        <v>2021</v>
      </c>
      <c r="C74" s="1">
        <f t="shared" si="7"/>
        <v>1</v>
      </c>
      <c r="D74" s="259">
        <f ca="1">'Monthly Data'!N74</f>
        <v>29798844.243443634</v>
      </c>
      <c r="E74" s="269">
        <f t="shared" ref="E74:F93" ca="1" si="9">E62</f>
        <v>697.33418478260876</v>
      </c>
      <c r="F74" s="269">
        <f t="shared" ca="1" si="9"/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-8058676.5655863797</v>
      </c>
      <c r="L74" s="18">
        <f ca="1">E74*'GS 50-999 Predicted Monthly'!$V$11</f>
        <v>12591665.281603241</v>
      </c>
      <c r="M74" s="18">
        <f ca="1">F74*'GS 50-999 Predicted Monthly'!$V$12</f>
        <v>0</v>
      </c>
      <c r="N74" s="18">
        <f>G74*'GS 50-999 Predicted Monthly'!$V$13</f>
        <v>-1423825.2775062299</v>
      </c>
      <c r="O74" s="18">
        <f>H74*'GS 50-999 Predicted Monthly'!$V$14</f>
        <v>5644215.1479321271</v>
      </c>
      <c r="P74" s="18">
        <f>I74*'GS 50-999 Predicted Monthly'!$V$15</f>
        <v>22963619.096402079</v>
      </c>
      <c r="Q74" s="18">
        <f t="shared" ca="1" si="8"/>
        <v>31716997.68284484</v>
      </c>
    </row>
    <row r="75" spans="1:17" x14ac:dyDescent="0.25">
      <c r="A75" s="3">
        <f>'Monthly Data'!A75</f>
        <v>44228</v>
      </c>
      <c r="B75" s="1">
        <f t="shared" si="6"/>
        <v>2021</v>
      </c>
      <c r="C75" s="1">
        <f t="shared" si="7"/>
        <v>2</v>
      </c>
      <c r="D75" s="259">
        <f ca="1">'Monthly Data'!N75</f>
        <v>25706093.351383086</v>
      </c>
      <c r="E75" s="269">
        <f t="shared" ca="1" si="9"/>
        <v>624.25501811594188</v>
      </c>
      <c r="F75" s="269">
        <f t="shared" ca="1" si="9"/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-8058676.5655863797</v>
      </c>
      <c r="L75" s="18">
        <f ca="1">E75*'GS 50-999 Predicted Monthly'!$V$11</f>
        <v>11272085.04904655</v>
      </c>
      <c r="M75" s="18">
        <f ca="1">F75*'GS 50-999 Predicted Monthly'!$V$12</f>
        <v>0</v>
      </c>
      <c r="N75" s="18">
        <f>G75*'GS 50-999 Predicted Monthly'!$V$13</f>
        <v>-1423825.2775062299</v>
      </c>
      <c r="O75" s="18">
        <f>H75*'GS 50-999 Predicted Monthly'!$V$14</f>
        <v>5644215.1479321271</v>
      </c>
      <c r="P75" s="18">
        <f>I75*'GS 50-999 Predicted Monthly'!$V$15</f>
        <v>20741333.377395425</v>
      </c>
      <c r="Q75" s="18">
        <f t="shared" ca="1" si="8"/>
        <v>28175131.731281493</v>
      </c>
    </row>
    <row r="76" spans="1:17" x14ac:dyDescent="0.25">
      <c r="A76" s="3">
        <f>'Monthly Data'!A76</f>
        <v>44256</v>
      </c>
      <c r="B76" s="1">
        <f t="shared" si="6"/>
        <v>2021</v>
      </c>
      <c r="C76" s="1">
        <f t="shared" si="7"/>
        <v>3</v>
      </c>
      <c r="D76" s="259">
        <f ca="1">'Monthly Data'!N76</f>
        <v>29786403.420041516</v>
      </c>
      <c r="E76" s="269">
        <f t="shared" ca="1" si="9"/>
        <v>546.13298913043491</v>
      </c>
      <c r="F76" s="269">
        <f t="shared" ca="1" si="9"/>
        <v>2.9583333333332896E-2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-8058676.5655863797</v>
      </c>
      <c r="L76" s="18">
        <f ca="1">E76*'GS 50-999 Predicted Monthly'!$V$11</f>
        <v>9861446.5609708931</v>
      </c>
      <c r="M76" s="18">
        <f ca="1">F76*'GS 50-999 Predicted Monthly'!$V$12</f>
        <v>841.1012724562529</v>
      </c>
      <c r="N76" s="18">
        <f>G76*'GS 50-999 Predicted Monthly'!$V$13</f>
        <v>-1423825.2775062299</v>
      </c>
      <c r="O76" s="18">
        <f>H76*'GS 50-999 Predicted Monthly'!$V$14</f>
        <v>5644215.1479321271</v>
      </c>
      <c r="P76" s="18">
        <f>I76*'GS 50-999 Predicted Monthly'!$V$15</f>
        <v>22963619.096402079</v>
      </c>
      <c r="Q76" s="18">
        <f t="shared" ca="1" si="8"/>
        <v>28987620.063484944</v>
      </c>
    </row>
    <row r="77" spans="1:17" x14ac:dyDescent="0.25">
      <c r="A77" s="3">
        <f>'Monthly Data'!A77</f>
        <v>44287</v>
      </c>
      <c r="B77" s="1">
        <f t="shared" si="6"/>
        <v>2021</v>
      </c>
      <c r="C77" s="1">
        <f t="shared" si="7"/>
        <v>4</v>
      </c>
      <c r="D77" s="259">
        <f ca="1">'Monthly Data'!N77</f>
        <v>23602654.788700633</v>
      </c>
      <c r="E77" s="269">
        <f t="shared" ca="1" si="9"/>
        <v>352.41399621212122</v>
      </c>
      <c r="F77" s="269">
        <f t="shared" ca="1" si="9"/>
        <v>5.6420833333333338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-8058676.5655863797</v>
      </c>
      <c r="L77" s="18">
        <f ca="1">E77*'GS 50-999 Predicted Monthly'!$V$11</f>
        <v>6363489.9560224349</v>
      </c>
      <c r="M77" s="18">
        <f ca="1">F77*'GS 50-999 Predicted Monthly'!$V$12</f>
        <v>160413.41310324351</v>
      </c>
      <c r="N77" s="18">
        <f>G77*'GS 50-999 Predicted Monthly'!$V$13</f>
        <v>-1423825.2775062299</v>
      </c>
      <c r="O77" s="18">
        <f>H77*'GS 50-999 Predicted Monthly'!$V$14</f>
        <v>5601872.2261239337</v>
      </c>
      <c r="P77" s="18">
        <f>I77*'GS 50-999 Predicted Monthly'!$V$15</f>
        <v>22222857.190066528</v>
      </c>
      <c r="Q77" s="18">
        <f t="shared" ca="1" si="8"/>
        <v>24866130.94222353</v>
      </c>
    </row>
    <row r="78" spans="1:17" x14ac:dyDescent="0.25">
      <c r="A78" s="3">
        <f>'Monthly Data'!A78</f>
        <v>44317</v>
      </c>
      <c r="B78" s="1">
        <f t="shared" si="6"/>
        <v>2021</v>
      </c>
      <c r="C78" s="1">
        <f t="shared" si="7"/>
        <v>5</v>
      </c>
      <c r="D78" s="259">
        <f ca="1">'Monthly Data'!N78</f>
        <v>23210470.667977381</v>
      </c>
      <c r="E78" s="269">
        <f t="shared" ca="1" si="9"/>
        <v>150.136897859768</v>
      </c>
      <c r="F78" s="269">
        <f t="shared" ca="1" si="9"/>
        <v>86.191046176046171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-8058676.5655863797</v>
      </c>
      <c r="L78" s="18">
        <f ca="1">E78*'GS 50-999 Predicted Monthly'!$V$11</f>
        <v>2711000.8451081468</v>
      </c>
      <c r="M78" s="18">
        <f ca="1">F78*'GS 50-999 Predicted Monthly'!$V$12</f>
        <v>2450548.6855101688</v>
      </c>
      <c r="N78" s="18">
        <f>G78*'GS 50-999 Predicted Monthly'!$V$13</f>
        <v>-1423825.2775062299</v>
      </c>
      <c r="O78" s="18">
        <f>H78*'GS 50-999 Predicted Monthly'!$V$14</f>
        <v>5601872.2261239337</v>
      </c>
      <c r="P78" s="18">
        <f>I78*'GS 50-999 Predicted Monthly'!$V$15</f>
        <v>22963619.096402079</v>
      </c>
      <c r="Q78" s="18">
        <f t="shared" ca="1" si="8"/>
        <v>24244539.01005172</v>
      </c>
    </row>
    <row r="79" spans="1:17" x14ac:dyDescent="0.25">
      <c r="A79" s="3">
        <f>'Monthly Data'!A79</f>
        <v>44348</v>
      </c>
      <c r="B79" s="1">
        <f t="shared" si="6"/>
        <v>2021</v>
      </c>
      <c r="C79" s="1">
        <f t="shared" si="7"/>
        <v>6</v>
      </c>
      <c r="D79" s="259">
        <f ca="1">'Monthly Data'!N79</f>
        <v>25279139.756389167</v>
      </c>
      <c r="E79" s="269">
        <f t="shared" ca="1" si="9"/>
        <v>32.520923826173821</v>
      </c>
      <c r="F79" s="269">
        <f t="shared" ca="1" si="9"/>
        <v>194.94285087738348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-8058676.5655863797</v>
      </c>
      <c r="L79" s="18">
        <f ca="1">E79*'GS 50-999 Predicted Monthly'!$V$11</f>
        <v>587225.7468567302</v>
      </c>
      <c r="M79" s="18">
        <f ca="1">F79*'GS 50-999 Predicted Monthly'!$V$12</f>
        <v>5542535.6595792416</v>
      </c>
      <c r="N79" s="18">
        <f>G79*'GS 50-999 Predicted Monthly'!$V$13</f>
        <v>-1423825.2775062299</v>
      </c>
      <c r="O79" s="18">
        <f>H79*'GS 50-999 Predicted Monthly'!$V$14</f>
        <v>5601872.2261239337</v>
      </c>
      <c r="P79" s="18">
        <f>I79*'GS 50-999 Predicted Monthly'!$V$15</f>
        <v>22222857.190066528</v>
      </c>
      <c r="Q79" s="18">
        <f t="shared" ca="1" si="8"/>
        <v>24471988.979533825</v>
      </c>
    </row>
    <row r="80" spans="1:17" x14ac:dyDescent="0.25">
      <c r="A80" s="3">
        <f>'Monthly Data'!A80</f>
        <v>44378</v>
      </c>
      <c r="B80" s="1">
        <f t="shared" si="6"/>
        <v>2021</v>
      </c>
      <c r="C80" s="1">
        <f t="shared" si="7"/>
        <v>7</v>
      </c>
      <c r="D80" s="259">
        <f ca="1">'Monthly Data'!N80</f>
        <v>26273466.379551142</v>
      </c>
      <c r="E80" s="269">
        <f t="shared" ca="1" si="9"/>
        <v>1.6179166666666653</v>
      </c>
      <c r="F80" s="269">
        <f t="shared" ca="1" si="9"/>
        <v>297.94737858727848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-8058676.5655863797</v>
      </c>
      <c r="L80" s="18">
        <f ca="1">E80*'GS 50-999 Predicted Monthly'!$V$11</f>
        <v>29214.493659944223</v>
      </c>
      <c r="M80" s="18">
        <f ca="1">F80*'GS 50-999 Predicted Monthly'!$V$12</f>
        <v>8471118.3973442893</v>
      </c>
      <c r="N80" s="18">
        <f>G80*'GS 50-999 Predicted Monthly'!$V$13</f>
        <v>-1423825.2775062299</v>
      </c>
      <c r="O80" s="18">
        <f>H80*'GS 50-999 Predicted Monthly'!$V$14</f>
        <v>5720859.6058045244</v>
      </c>
      <c r="P80" s="18">
        <f>I80*'GS 50-999 Predicted Monthly'!$V$15</f>
        <v>22963619.096402079</v>
      </c>
      <c r="Q80" s="18">
        <f t="shared" ca="1" si="8"/>
        <v>27702309.750118226</v>
      </c>
    </row>
    <row r="81" spans="1:17" x14ac:dyDescent="0.25">
      <c r="A81" s="3">
        <f>'Monthly Data'!A81</f>
        <v>44409</v>
      </c>
      <c r="B81" s="1">
        <f t="shared" si="6"/>
        <v>2021</v>
      </c>
      <c r="C81" s="1">
        <f t="shared" si="7"/>
        <v>8</v>
      </c>
      <c r="D81" s="259">
        <f ca="1">'Monthly Data'!N81</f>
        <v>29378242.468364421</v>
      </c>
      <c r="E81" s="269">
        <f t="shared" ca="1" si="9"/>
        <v>5.6499999999999977</v>
      </c>
      <c r="F81" s="269">
        <f t="shared" ca="1" si="9"/>
        <v>272.96558794466404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-8058676.5655863797</v>
      </c>
      <c r="L81" s="18">
        <f ca="1">E81*'GS 50-999 Predicted Monthly'!$V$11</f>
        <v>102021.25522246814</v>
      </c>
      <c r="M81" s="18">
        <f ca="1">F81*'GS 50-999 Predicted Monthly'!$V$12</f>
        <v>7760846.3106601536</v>
      </c>
      <c r="N81" s="18">
        <f>G81*'GS 50-999 Predicted Monthly'!$V$13</f>
        <v>-1423825.2775062299</v>
      </c>
      <c r="O81" s="18">
        <f>H81*'GS 50-999 Predicted Monthly'!$V$14</f>
        <v>5720859.6058045244</v>
      </c>
      <c r="P81" s="18">
        <f>I81*'GS 50-999 Predicted Monthly'!$V$15</f>
        <v>22963619.096402079</v>
      </c>
      <c r="Q81" s="18">
        <f t="shared" ca="1" si="8"/>
        <v>27064844.424996614</v>
      </c>
    </row>
    <row r="82" spans="1:17" x14ac:dyDescent="0.25">
      <c r="A82" s="3">
        <f>'Monthly Data'!A82</f>
        <v>44440</v>
      </c>
      <c r="B82" s="1">
        <f t="shared" si="6"/>
        <v>2021</v>
      </c>
      <c r="C82" s="1">
        <f t="shared" si="7"/>
        <v>9</v>
      </c>
      <c r="D82" s="259">
        <f ca="1">'Monthly Data'!N82</f>
        <v>22144788.873658702</v>
      </c>
      <c r="E82" s="269">
        <f t="shared" ca="1" si="9"/>
        <v>54.959440993788824</v>
      </c>
      <c r="F82" s="269">
        <f t="shared" ca="1" si="9"/>
        <v>158.67014233954447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-8058676.5655863797</v>
      </c>
      <c r="L82" s="18">
        <f ca="1">E82*'GS 50-999 Predicted Monthly'!$V$11</f>
        <v>992394.89495778945</v>
      </c>
      <c r="M82" s="18">
        <f ca="1">F82*'GS 50-999 Predicted Monthly'!$V$12</f>
        <v>4511244.798510679</v>
      </c>
      <c r="N82" s="18">
        <f>G82*'GS 50-999 Predicted Monthly'!$V$13</f>
        <v>-1423825.2775062299</v>
      </c>
      <c r="O82" s="18">
        <f>H82*'GS 50-999 Predicted Monthly'!$V$14</f>
        <v>5720859.6058045244</v>
      </c>
      <c r="P82" s="18">
        <f>I82*'GS 50-999 Predicted Monthly'!$V$15</f>
        <v>22222857.190066528</v>
      </c>
      <c r="Q82" s="18">
        <f t="shared" ca="1" si="8"/>
        <v>23964854.64624691</v>
      </c>
    </row>
    <row r="83" spans="1:17" x14ac:dyDescent="0.25">
      <c r="A83" s="3">
        <f>'Monthly Data'!A83</f>
        <v>44470</v>
      </c>
      <c r="B83" s="1">
        <f t="shared" si="6"/>
        <v>2021</v>
      </c>
      <c r="C83" s="1">
        <f t="shared" si="7"/>
        <v>10</v>
      </c>
      <c r="D83" s="259">
        <f ca="1">'Monthly Data'!N83</f>
        <v>26549272.757541277</v>
      </c>
      <c r="E83" s="269">
        <f t="shared" ca="1" si="9"/>
        <v>237.89681159420289</v>
      </c>
      <c r="F83" s="269">
        <f t="shared" ca="1" si="9"/>
        <v>35.32833333333334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-8058676.5655863797</v>
      </c>
      <c r="L83" s="18">
        <f ca="1">E83*'GS 50-999 Predicted Monthly'!$V$11</f>
        <v>4295669.2623475399</v>
      </c>
      <c r="M83" s="18">
        <f ca="1">F83*'GS 50-999 Predicted Monthly'!$V$12</f>
        <v>1004440.7702679132</v>
      </c>
      <c r="N83" s="18">
        <f>G83*'GS 50-999 Predicted Monthly'!$V$13</f>
        <v>-1423825.2775062299</v>
      </c>
      <c r="O83" s="18">
        <f>H83*'GS 50-999 Predicted Monthly'!$V$14</f>
        <v>5852320.9059056966</v>
      </c>
      <c r="P83" s="18">
        <f>I83*'GS 50-999 Predicted Monthly'!$V$15</f>
        <v>22963619.096402079</v>
      </c>
      <c r="Q83" s="18">
        <f t="shared" ca="1" si="8"/>
        <v>24633548.19183062</v>
      </c>
    </row>
    <row r="84" spans="1:17" x14ac:dyDescent="0.25">
      <c r="A84" s="3">
        <f>'Monthly Data'!A84</f>
        <v>44501</v>
      </c>
      <c r="B84" s="1">
        <f t="shared" si="6"/>
        <v>2021</v>
      </c>
      <c r="C84" s="1">
        <f t="shared" si="7"/>
        <v>11</v>
      </c>
      <c r="D84" s="259">
        <f ca="1">'Monthly Data'!N84</f>
        <v>26220542.418517999</v>
      </c>
      <c r="E84" s="269">
        <f t="shared" ca="1" si="9"/>
        <v>426.62991389045737</v>
      </c>
      <c r="F84" s="269">
        <f t="shared" ca="1" si="9"/>
        <v>2.2779166666666657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-8058676.5655863797</v>
      </c>
      <c r="L84" s="18">
        <f ca="1">E84*'GS 50-999 Predicted Monthly'!$V$11</f>
        <v>7703596.3416916775</v>
      </c>
      <c r="M84" s="18">
        <f ca="1">F84*'GS 50-999 Predicted Monthly'!$V$12</f>
        <v>64764.797979132403</v>
      </c>
      <c r="N84" s="18">
        <f>G84*'GS 50-999 Predicted Monthly'!$V$13</f>
        <v>-1423825.2775062299</v>
      </c>
      <c r="O84" s="18">
        <f>H84*'GS 50-999 Predicted Monthly'!$V$14</f>
        <v>5852320.9059056966</v>
      </c>
      <c r="P84" s="18">
        <f>I84*'GS 50-999 Predicted Monthly'!$V$15</f>
        <v>22222857.190066528</v>
      </c>
      <c r="Q84" s="18">
        <f t="shared" ca="1" si="8"/>
        <v>26361037.392550424</v>
      </c>
    </row>
    <row r="85" spans="1:17" x14ac:dyDescent="0.25">
      <c r="A85" s="3">
        <f>'Monthly Data'!A85</f>
        <v>44531</v>
      </c>
      <c r="B85" s="1">
        <f t="shared" si="6"/>
        <v>2021</v>
      </c>
      <c r="C85" s="1">
        <f t="shared" si="7"/>
        <v>12</v>
      </c>
      <c r="D85" s="259">
        <f ca="1">'Monthly Data'!N85</f>
        <v>31156263.187342376</v>
      </c>
      <c r="E85" s="269">
        <f t="shared" ca="1" si="9"/>
        <v>577.92800724637686</v>
      </c>
      <c r="F85" s="269">
        <f t="shared" ca="1" si="9"/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-8058676.5655863797</v>
      </c>
      <c r="L85" s="18">
        <f ca="1">E85*'GS 50-999 Predicted Monthly'!$V$11</f>
        <v>10435564.730530098</v>
      </c>
      <c r="M85" s="18">
        <f ca="1">F85*'GS 50-999 Predicted Monthly'!$V$12</f>
        <v>0</v>
      </c>
      <c r="N85" s="18">
        <f>G85*'GS 50-999 Predicted Monthly'!$V$13</f>
        <v>-1423825.2775062299</v>
      </c>
      <c r="O85" s="18">
        <f>H85*'GS 50-999 Predicted Monthly'!$V$14</f>
        <v>5852320.9059056966</v>
      </c>
      <c r="P85" s="18">
        <f>I85*'GS 50-999 Predicted Monthly'!$V$15</f>
        <v>22963619.096402079</v>
      </c>
      <c r="Q85" s="18">
        <f t="shared" ca="1" si="8"/>
        <v>29769002.889745265</v>
      </c>
    </row>
    <row r="86" spans="1:17" x14ac:dyDescent="0.25">
      <c r="A86" s="3">
        <f>'Monthly Data'!A86</f>
        <v>44562</v>
      </c>
      <c r="B86" s="1">
        <f t="shared" si="6"/>
        <v>2022</v>
      </c>
      <c r="C86" s="1">
        <f t="shared" si="7"/>
        <v>1</v>
      </c>
      <c r="D86" s="259">
        <f ca="1">'Monthly Data'!N86</f>
        <v>35176801.96527338</v>
      </c>
      <c r="E86" s="269">
        <f t="shared" ca="1" si="9"/>
        <v>697.33418478260876</v>
      </c>
      <c r="F86" s="269">
        <f t="shared" ca="1" si="9"/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-8058676.5655863797</v>
      </c>
      <c r="L86" s="18">
        <f ca="1">E86*'GS 50-999 Predicted Monthly'!$V$11</f>
        <v>12591665.281603241</v>
      </c>
      <c r="M86" s="18">
        <f ca="1">F86*'GS 50-999 Predicted Monthly'!$V$12</f>
        <v>0</v>
      </c>
      <c r="N86" s="18">
        <f>G86*'GS 50-999 Predicted Monthly'!$V$13</f>
        <v>-711912.63875311497</v>
      </c>
      <c r="O86" s="18">
        <f>H86*'GS 50-999 Predicted Monthly'!$V$14</f>
        <v>5899934.0067388136</v>
      </c>
      <c r="P86" s="18">
        <f>I86*'GS 50-999 Predicted Monthly'!$V$15</f>
        <v>22963619.096402079</v>
      </c>
      <c r="Q86" s="18">
        <f t="shared" ca="1" si="8"/>
        <v>32684629.180404641</v>
      </c>
    </row>
    <row r="87" spans="1:17" x14ac:dyDescent="0.25">
      <c r="A87" s="3">
        <f>'Monthly Data'!A87</f>
        <v>44593</v>
      </c>
      <c r="B87" s="1">
        <f t="shared" si="6"/>
        <v>2022</v>
      </c>
      <c r="C87" s="1">
        <f t="shared" si="7"/>
        <v>2</v>
      </c>
      <c r="D87" s="259">
        <f ca="1">'Monthly Data'!N87</f>
        <v>33408771.139714204</v>
      </c>
      <c r="E87" s="269">
        <f t="shared" ca="1" si="9"/>
        <v>624.25501811594188</v>
      </c>
      <c r="F87" s="269">
        <f t="shared" ca="1" si="9"/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-8058676.5655863797</v>
      </c>
      <c r="L87" s="18">
        <f ca="1">E87*'GS 50-999 Predicted Monthly'!$V$11</f>
        <v>11272085.04904655</v>
      </c>
      <c r="M87" s="18">
        <f ca="1">F87*'GS 50-999 Predicted Monthly'!$V$12</f>
        <v>0</v>
      </c>
      <c r="N87" s="18">
        <f>G87*'GS 50-999 Predicted Monthly'!$V$13</f>
        <v>-711912.63875311497</v>
      </c>
      <c r="O87" s="18">
        <f>H87*'GS 50-999 Predicted Monthly'!$V$14</f>
        <v>5899934.0067388136</v>
      </c>
      <c r="P87" s="18">
        <f>I87*'GS 50-999 Predicted Monthly'!$V$15</f>
        <v>20741333.377395425</v>
      </c>
      <c r="Q87" s="18">
        <f t="shared" ca="1" si="8"/>
        <v>29142763.228841294</v>
      </c>
    </row>
    <row r="88" spans="1:17" x14ac:dyDescent="0.25">
      <c r="A88" s="3">
        <f>'Monthly Data'!A88</f>
        <v>44621</v>
      </c>
      <c r="B88" s="1">
        <f t="shared" si="6"/>
        <v>2022</v>
      </c>
      <c r="C88" s="1">
        <f t="shared" si="7"/>
        <v>3</v>
      </c>
      <c r="D88" s="259">
        <f ca="1">'Monthly Data'!N88</f>
        <v>30298393.215115838</v>
      </c>
      <c r="E88" s="269">
        <f t="shared" ca="1" si="9"/>
        <v>546.13298913043491</v>
      </c>
      <c r="F88" s="269">
        <f t="shared" ca="1" si="9"/>
        <v>2.9583333333332896E-2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-8058676.5655863797</v>
      </c>
      <c r="L88" s="18">
        <f ca="1">E88*'GS 50-999 Predicted Monthly'!$V$11</f>
        <v>9861446.5609708931</v>
      </c>
      <c r="M88" s="18">
        <f ca="1">F88*'GS 50-999 Predicted Monthly'!$V$12</f>
        <v>841.1012724562529</v>
      </c>
      <c r="N88" s="18">
        <f>G88*'GS 50-999 Predicted Monthly'!$V$13</f>
        <v>-711912.63875311497</v>
      </c>
      <c r="O88" s="18">
        <f>H88*'GS 50-999 Predicted Monthly'!$V$14</f>
        <v>5899934.0067388136</v>
      </c>
      <c r="P88" s="18">
        <f>I88*'GS 50-999 Predicted Monthly'!$V$15</f>
        <v>22963619.096402079</v>
      </c>
      <c r="Q88" s="18">
        <f t="shared" ca="1" si="8"/>
        <v>29955251.561044745</v>
      </c>
    </row>
    <row r="89" spans="1:17" x14ac:dyDescent="0.25">
      <c r="A89" s="3">
        <f>'Monthly Data'!A89</f>
        <v>44652</v>
      </c>
      <c r="B89" s="1">
        <f t="shared" si="6"/>
        <v>2022</v>
      </c>
      <c r="C89" s="1">
        <f t="shared" si="7"/>
        <v>4</v>
      </c>
      <c r="D89" s="259">
        <f ca="1">'Monthly Data'!N89</f>
        <v>27521169.928174544</v>
      </c>
      <c r="E89" s="269">
        <f t="shared" ca="1" si="9"/>
        <v>352.41399621212122</v>
      </c>
      <c r="F89" s="269">
        <f t="shared" ca="1" si="9"/>
        <v>5.6420833333333338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-8058676.5655863797</v>
      </c>
      <c r="L89" s="18">
        <f ca="1">E89*'GS 50-999 Predicted Monthly'!$V$11</f>
        <v>6363489.9560224349</v>
      </c>
      <c r="M89" s="18">
        <f ca="1">F89*'GS 50-999 Predicted Monthly'!$V$12</f>
        <v>160413.41310324351</v>
      </c>
      <c r="N89" s="18">
        <f>G89*'GS 50-999 Predicted Monthly'!$V$13</f>
        <v>-711912.63875311497</v>
      </c>
      <c r="O89" s="18">
        <f>H89*'GS 50-999 Predicted Monthly'!$V$14</f>
        <v>5944629.3130919067</v>
      </c>
      <c r="P89" s="18">
        <f>I89*'GS 50-999 Predicted Monthly'!$V$15</f>
        <v>22222857.190066528</v>
      </c>
      <c r="Q89" s="18">
        <f t="shared" ca="1" si="8"/>
        <v>25920800.667944618</v>
      </c>
    </row>
    <row r="90" spans="1:17" x14ac:dyDescent="0.25">
      <c r="A90" s="3">
        <f>'Monthly Data'!A90</f>
        <v>44682</v>
      </c>
      <c r="B90" s="1">
        <f t="shared" si="6"/>
        <v>2022</v>
      </c>
      <c r="C90" s="1">
        <f t="shared" si="7"/>
        <v>5</v>
      </c>
      <c r="D90" s="259">
        <f ca="1">'Monthly Data'!N90</f>
        <v>25761255.044132829</v>
      </c>
      <c r="E90" s="269">
        <f t="shared" ca="1" si="9"/>
        <v>150.136897859768</v>
      </c>
      <c r="F90" s="269">
        <f t="shared" ca="1" si="9"/>
        <v>86.191046176046171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-8058676.5655863797</v>
      </c>
      <c r="L90" s="18">
        <f ca="1">E90*'GS 50-999 Predicted Monthly'!$V$11</f>
        <v>2711000.8451081468</v>
      </c>
      <c r="M90" s="18">
        <f ca="1">F90*'GS 50-999 Predicted Monthly'!$V$12</f>
        <v>2450548.6855101688</v>
      </c>
      <c r="N90" s="18">
        <f>G90*'GS 50-999 Predicted Monthly'!$V$13</f>
        <v>-711912.63875311497</v>
      </c>
      <c r="O90" s="18">
        <f>H90*'GS 50-999 Predicted Monthly'!$V$14</f>
        <v>5944629.3130919067</v>
      </c>
      <c r="P90" s="18">
        <f>I90*'GS 50-999 Predicted Monthly'!$V$15</f>
        <v>22963619.096402079</v>
      </c>
      <c r="Q90" s="18">
        <f t="shared" ca="1" si="8"/>
        <v>25299208.735772807</v>
      </c>
    </row>
    <row r="91" spans="1:17" x14ac:dyDescent="0.25">
      <c r="A91" s="3">
        <f>'Monthly Data'!A91</f>
        <v>44713</v>
      </c>
      <c r="B91" s="1">
        <f t="shared" si="6"/>
        <v>2022</v>
      </c>
      <c r="C91" s="1">
        <f t="shared" si="7"/>
        <v>6</v>
      </c>
      <c r="D91" s="259">
        <f ca="1">'Monthly Data'!N91</f>
        <v>27040158.176146176</v>
      </c>
      <c r="E91" s="269">
        <f t="shared" ca="1" si="9"/>
        <v>32.520923826173821</v>
      </c>
      <c r="F91" s="269">
        <f t="shared" ca="1" si="9"/>
        <v>194.94285087738348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-8058676.5655863797</v>
      </c>
      <c r="L91" s="18">
        <f ca="1">E91*'GS 50-999 Predicted Monthly'!$V$11</f>
        <v>587225.7468567302</v>
      </c>
      <c r="M91" s="18">
        <f ca="1">F91*'GS 50-999 Predicted Monthly'!$V$12</f>
        <v>5542535.6595792416</v>
      </c>
      <c r="N91" s="18">
        <f>G91*'GS 50-999 Predicted Monthly'!$V$13</f>
        <v>-711912.63875311497</v>
      </c>
      <c r="O91" s="18">
        <f>H91*'GS 50-999 Predicted Monthly'!$V$14</f>
        <v>5944629.3130919067</v>
      </c>
      <c r="P91" s="18">
        <f>I91*'GS 50-999 Predicted Monthly'!$V$15</f>
        <v>22222857.190066528</v>
      </c>
      <c r="Q91" s="18">
        <f t="shared" ca="1" si="8"/>
        <v>25526658.705254912</v>
      </c>
    </row>
    <row r="92" spans="1:17" x14ac:dyDescent="0.25">
      <c r="A92" s="3">
        <f>'Monthly Data'!A92</f>
        <v>44743</v>
      </c>
      <c r="B92" s="1">
        <f t="shared" si="6"/>
        <v>2022</v>
      </c>
      <c r="C92" s="1">
        <f t="shared" si="7"/>
        <v>7</v>
      </c>
      <c r="D92" s="259">
        <f ca="1">'Monthly Data'!N92</f>
        <v>30484938.389494199</v>
      </c>
      <c r="E92" s="269">
        <f t="shared" ca="1" si="9"/>
        <v>1.6179166666666653</v>
      </c>
      <c r="F92" s="269">
        <f t="shared" ca="1" si="9"/>
        <v>297.94737858727848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-8058676.5655863797</v>
      </c>
      <c r="L92" s="18">
        <f ca="1">E92*'GS 50-999 Predicted Monthly'!$V$11</f>
        <v>29214.493659944223</v>
      </c>
      <c r="M92" s="18">
        <f ca="1">F92*'GS 50-999 Predicted Monthly'!$V$12</f>
        <v>8471118.3973442893</v>
      </c>
      <c r="N92" s="18">
        <f>G92*'GS 50-999 Predicted Monthly'!$V$13</f>
        <v>-711912.63875311497</v>
      </c>
      <c r="O92" s="18">
        <f>H92*'GS 50-999 Predicted Monthly'!$V$14</f>
        <v>5954108.6549671991</v>
      </c>
      <c r="P92" s="18">
        <f>I92*'GS 50-999 Predicted Monthly'!$V$15</f>
        <v>22963619.096402079</v>
      </c>
      <c r="Q92" s="18">
        <f t="shared" ca="1" si="8"/>
        <v>28647471.438034017</v>
      </c>
    </row>
    <row r="93" spans="1:17" x14ac:dyDescent="0.25">
      <c r="A93" s="3">
        <f>'Monthly Data'!A93</f>
        <v>44774</v>
      </c>
      <c r="B93" s="1">
        <f t="shared" si="6"/>
        <v>2022</v>
      </c>
      <c r="C93" s="1">
        <f t="shared" si="7"/>
        <v>8</v>
      </c>
      <c r="D93" s="259">
        <f ca="1">'Monthly Data'!N93</f>
        <v>28259452.094492789</v>
      </c>
      <c r="E93" s="269">
        <f t="shared" ca="1" si="9"/>
        <v>5.6499999999999977</v>
      </c>
      <c r="F93" s="269">
        <f t="shared" ca="1" si="9"/>
        <v>272.96558794466404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-8058676.5655863797</v>
      </c>
      <c r="L93" s="18">
        <f ca="1">E93*'GS 50-999 Predicted Monthly'!$V$11</f>
        <v>102021.25522246814</v>
      </c>
      <c r="M93" s="18">
        <f ca="1">F93*'GS 50-999 Predicted Monthly'!$V$12</f>
        <v>7760846.3106601536</v>
      </c>
      <c r="N93" s="18">
        <f>G93*'GS 50-999 Predicted Monthly'!$V$13</f>
        <v>-711912.63875311497</v>
      </c>
      <c r="O93" s="18">
        <f>H93*'GS 50-999 Predicted Monthly'!$V$14</f>
        <v>5954108.6549671991</v>
      </c>
      <c r="P93" s="18">
        <f>I93*'GS 50-999 Predicted Monthly'!$V$15</f>
        <v>22963619.096402079</v>
      </c>
      <c r="Q93" s="18">
        <f t="shared" ca="1" si="8"/>
        <v>28010006.112912405</v>
      </c>
    </row>
    <row r="94" spans="1:17" x14ac:dyDescent="0.25">
      <c r="A94" s="3">
        <f>'Monthly Data'!A94</f>
        <v>44805</v>
      </c>
      <c r="B94" s="1">
        <f t="shared" si="6"/>
        <v>2022</v>
      </c>
      <c r="C94" s="1">
        <f t="shared" si="7"/>
        <v>9</v>
      </c>
      <c r="D94" s="259">
        <f ca="1">'Monthly Data'!N94</f>
        <v>27495717.611174747</v>
      </c>
      <c r="E94" s="269">
        <f t="shared" ref="E94:F113" ca="1" si="10">E82</f>
        <v>54.959440993788824</v>
      </c>
      <c r="F94" s="269">
        <f t="shared" ca="1" si="10"/>
        <v>158.67014233954447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-8058676.5655863797</v>
      </c>
      <c r="L94" s="18">
        <f ca="1">E94*'GS 50-999 Predicted Monthly'!$V$11</f>
        <v>992394.89495778945</v>
      </c>
      <c r="M94" s="18">
        <f ca="1">F94*'GS 50-999 Predicted Monthly'!$V$12</f>
        <v>4511244.798510679</v>
      </c>
      <c r="N94" s="18">
        <f>G94*'GS 50-999 Predicted Monthly'!$V$13</f>
        <v>-711912.63875311497</v>
      </c>
      <c r="O94" s="18">
        <f>H94*'GS 50-999 Predicted Monthly'!$V$14</f>
        <v>5954108.6549671991</v>
      </c>
      <c r="P94" s="18">
        <f>I94*'GS 50-999 Predicted Monthly'!$V$15</f>
        <v>22222857.190066528</v>
      </c>
      <c r="Q94" s="18">
        <f t="shared" ca="1" si="8"/>
        <v>24910016.334162701</v>
      </c>
    </row>
    <row r="95" spans="1:17" x14ac:dyDescent="0.25">
      <c r="A95" s="3">
        <f>'Monthly Data'!A95</f>
        <v>44835</v>
      </c>
      <c r="B95" s="1">
        <f t="shared" si="6"/>
        <v>2022</v>
      </c>
      <c r="C95" s="1">
        <f t="shared" si="7"/>
        <v>10</v>
      </c>
      <c r="D95" s="259">
        <f ca="1">'Monthly Data'!N95</f>
        <v>26748748.465016764</v>
      </c>
      <c r="E95" s="269">
        <f t="shared" ca="1" si="10"/>
        <v>237.89681159420289</v>
      </c>
      <c r="F95" s="269">
        <f t="shared" ca="1" si="10"/>
        <v>35.32833333333334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-8058676.5655863797</v>
      </c>
      <c r="L95" s="18">
        <f ca="1">E95*'GS 50-999 Predicted Monthly'!$V$11</f>
        <v>4295669.2623475399</v>
      </c>
      <c r="M95" s="18">
        <f ca="1">F95*'GS 50-999 Predicted Monthly'!$V$12</f>
        <v>1004440.7702679132</v>
      </c>
      <c r="N95" s="18">
        <f>G95*'GS 50-999 Predicted Monthly'!$V$13</f>
        <v>-711912.63875311497</v>
      </c>
      <c r="O95" s="18">
        <f>H95*'GS 50-999 Predicted Monthly'!$V$14</f>
        <v>5947477.3038762361</v>
      </c>
      <c r="P95" s="18">
        <f>I95*'GS 50-999 Predicted Monthly'!$V$15</f>
        <v>22963619.096402079</v>
      </c>
      <c r="Q95" s="18">
        <f t="shared" ca="1" si="8"/>
        <v>25440617.228554271</v>
      </c>
    </row>
    <row r="96" spans="1:17" x14ac:dyDescent="0.25">
      <c r="A96" s="3">
        <f>'Monthly Data'!A96</f>
        <v>44866</v>
      </c>
      <c r="B96" s="1">
        <f t="shared" si="6"/>
        <v>2022</v>
      </c>
      <c r="C96" s="1">
        <f t="shared" si="7"/>
        <v>11</v>
      </c>
      <c r="D96" s="259">
        <f ca="1">'Monthly Data'!N96</f>
        <v>27275002.248175103</v>
      </c>
      <c r="E96" s="269">
        <f t="shared" ca="1" si="10"/>
        <v>426.62991389045737</v>
      </c>
      <c r="F96" s="269">
        <f t="shared" ca="1" si="10"/>
        <v>2.2779166666666657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-8058676.5655863797</v>
      </c>
      <c r="L96" s="18">
        <f ca="1">E96*'GS 50-999 Predicted Monthly'!$V$11</f>
        <v>7703596.3416916775</v>
      </c>
      <c r="M96" s="18">
        <f ca="1">F96*'GS 50-999 Predicted Monthly'!$V$12</f>
        <v>64764.797979132403</v>
      </c>
      <c r="N96" s="18">
        <f>G96*'GS 50-999 Predicted Monthly'!$V$13</f>
        <v>-711912.63875311497</v>
      </c>
      <c r="O96" s="18">
        <f>H96*'GS 50-999 Predicted Monthly'!$V$14</f>
        <v>5947477.3038762361</v>
      </c>
      <c r="P96" s="18">
        <f>I96*'GS 50-999 Predicted Monthly'!$V$15</f>
        <v>22222857.190066528</v>
      </c>
      <c r="Q96" s="18">
        <f t="shared" ca="1" si="8"/>
        <v>27168106.429274078</v>
      </c>
    </row>
    <row r="97" spans="1:20" x14ac:dyDescent="0.25">
      <c r="A97" s="3">
        <f>'Monthly Data'!A97</f>
        <v>44896</v>
      </c>
      <c r="B97" s="1">
        <f t="shared" si="6"/>
        <v>2022</v>
      </c>
      <c r="C97" s="1">
        <f t="shared" si="7"/>
        <v>12</v>
      </c>
      <c r="D97" s="259">
        <f ca="1">'Monthly Data'!N97</f>
        <v>33271813.999341901</v>
      </c>
      <c r="E97" s="269">
        <f t="shared" ca="1" si="10"/>
        <v>577.92800724637686</v>
      </c>
      <c r="F97" s="269">
        <f t="shared" ca="1" si="10"/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-8058676.5655863797</v>
      </c>
      <c r="L97" s="18">
        <f ca="1">E97*'GS 50-999 Predicted Monthly'!$V$11</f>
        <v>10435564.730530098</v>
      </c>
      <c r="M97" s="18">
        <f ca="1">F97*'GS 50-999 Predicted Monthly'!$V$12</f>
        <v>0</v>
      </c>
      <c r="N97" s="18">
        <f>G97*'GS 50-999 Predicted Monthly'!$V$13</f>
        <v>-711912.63875311497</v>
      </c>
      <c r="O97" s="18">
        <f>H97*'GS 50-999 Predicted Monthly'!$V$14</f>
        <v>5947477.3038762361</v>
      </c>
      <c r="P97" s="18">
        <f>I97*'GS 50-999 Predicted Monthly'!$V$15</f>
        <v>22963619.096402079</v>
      </c>
      <c r="Q97" s="18">
        <f t="shared" ca="1" si="8"/>
        <v>30576071.926468916</v>
      </c>
    </row>
    <row r="98" spans="1:20" x14ac:dyDescent="0.25">
      <c r="A98" s="3">
        <f>'Monthly Data'!A98</f>
        <v>44927</v>
      </c>
      <c r="B98" s="1">
        <f t="shared" si="6"/>
        <v>2023</v>
      </c>
      <c r="C98" s="1">
        <f t="shared" si="7"/>
        <v>1</v>
      </c>
      <c r="D98" s="259">
        <f ca="1">'Monthly Data'!N98</f>
        <v>33661587.019219451</v>
      </c>
      <c r="E98" s="269">
        <f t="shared" ca="1" si="10"/>
        <v>697.33418478260876</v>
      </c>
      <c r="F98" s="269">
        <f t="shared" ca="1" si="10"/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-8058676.5655863797</v>
      </c>
      <c r="L98" s="18">
        <f ca="1">E98*'GS 50-999 Predicted Monthly'!$V$11</f>
        <v>12591665.281603241</v>
      </c>
      <c r="M98" s="18">
        <f ca="1">F98*'GS 50-999 Predicted Monthly'!$V$12</f>
        <v>0</v>
      </c>
      <c r="N98" s="18">
        <f>G98*'GS 50-999 Predicted Monthly'!$V$13</f>
        <v>0</v>
      </c>
      <c r="O98" s="18">
        <f>H98*'GS 50-999 Predicted Monthly'!$V$14</f>
        <v>6007710.9128908915</v>
      </c>
      <c r="P98" s="18">
        <f>I98*'GS 50-999 Predicted Monthly'!$V$15</f>
        <v>22963619.096402079</v>
      </c>
      <c r="Q98" s="18">
        <f t="shared" ca="1" si="8"/>
        <v>33504318.725309834</v>
      </c>
    </row>
    <row r="99" spans="1:20" x14ac:dyDescent="0.25">
      <c r="A99" s="3">
        <f>'Monthly Data'!A99</f>
        <v>44958</v>
      </c>
      <c r="B99" s="1">
        <f t="shared" si="6"/>
        <v>2023</v>
      </c>
      <c r="C99" s="1">
        <f t="shared" si="7"/>
        <v>2</v>
      </c>
      <c r="D99" s="259">
        <f ca="1">'Monthly Data'!N99</f>
        <v>29222997.72258636</v>
      </c>
      <c r="E99" s="269">
        <f t="shared" ca="1" si="10"/>
        <v>624.25501811594188</v>
      </c>
      <c r="F99" s="269">
        <f t="shared" ca="1" si="10"/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-8058676.5655863797</v>
      </c>
      <c r="L99" s="18">
        <f ca="1">E99*'GS 50-999 Predicted Monthly'!$V$11</f>
        <v>11272085.04904655</v>
      </c>
      <c r="M99" s="18">
        <f ca="1">F99*'GS 50-999 Predicted Monthly'!$V$12</f>
        <v>0</v>
      </c>
      <c r="N99" s="18">
        <f>G99*'GS 50-999 Predicted Monthly'!$V$13</f>
        <v>0</v>
      </c>
      <c r="O99" s="18">
        <f>H99*'GS 50-999 Predicted Monthly'!$V$14</f>
        <v>6007710.9128908915</v>
      </c>
      <c r="P99" s="18">
        <f>I99*'GS 50-999 Predicted Monthly'!$V$15</f>
        <v>20741333.377395425</v>
      </c>
      <c r="Q99" s="18">
        <f t="shared" ca="1" si="8"/>
        <v>29962452.773746487</v>
      </c>
    </row>
    <row r="100" spans="1:20" x14ac:dyDescent="0.25">
      <c r="A100" s="3">
        <f>'Monthly Data'!A100</f>
        <v>44986</v>
      </c>
      <c r="B100" s="1">
        <f t="shared" si="6"/>
        <v>2023</v>
      </c>
      <c r="C100" s="1">
        <f t="shared" si="7"/>
        <v>3</v>
      </c>
      <c r="D100" s="259">
        <f ca="1">'Monthly Data'!N100</f>
        <v>28904938.26976084</v>
      </c>
      <c r="E100" s="269">
        <f t="shared" ca="1" si="10"/>
        <v>546.13298913043491</v>
      </c>
      <c r="F100" s="269">
        <f t="shared" ca="1" si="10"/>
        <v>2.9583333333332896E-2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-8058676.5655863797</v>
      </c>
      <c r="L100" s="18">
        <f ca="1">E100*'GS 50-999 Predicted Monthly'!$V$11</f>
        <v>9861446.5609708931</v>
      </c>
      <c r="M100" s="18">
        <f ca="1">F100*'GS 50-999 Predicted Monthly'!$V$12</f>
        <v>841.1012724562529</v>
      </c>
      <c r="N100" s="18">
        <f>G100*'GS 50-999 Predicted Monthly'!$V$13</f>
        <v>0</v>
      </c>
      <c r="O100" s="18">
        <f>H100*'GS 50-999 Predicted Monthly'!$V$14</f>
        <v>6007710.9128908915</v>
      </c>
      <c r="P100" s="18">
        <f>I100*'GS 50-999 Predicted Monthly'!$V$15</f>
        <v>22963619.096402079</v>
      </c>
      <c r="Q100" s="18">
        <f t="shared" ca="1" si="8"/>
        <v>30774941.105949938</v>
      </c>
      <c r="S100" s="18"/>
      <c r="T100" s="276"/>
    </row>
    <row r="101" spans="1:20" x14ac:dyDescent="0.25">
      <c r="A101" s="3">
        <f>'Monthly Data'!A101</f>
        <v>45017</v>
      </c>
      <c r="B101" s="1">
        <f t="shared" si="6"/>
        <v>2023</v>
      </c>
      <c r="C101" s="1">
        <f t="shared" si="7"/>
        <v>4</v>
      </c>
      <c r="D101" s="259">
        <f ca="1">'Monthly Data'!N101</f>
        <v>25571616.771525819</v>
      </c>
      <c r="E101" s="269">
        <f t="shared" ca="1" si="10"/>
        <v>352.41399621212122</v>
      </c>
      <c r="F101" s="269">
        <f t="shared" ca="1" si="10"/>
        <v>5.6420833333333338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-8058676.5655863797</v>
      </c>
      <c r="L101" s="18">
        <f ca="1">E101*'GS 50-999 Predicted Monthly'!$V$11</f>
        <v>6363489.9560224349</v>
      </c>
      <c r="M101" s="18">
        <f ca="1">F101*'GS 50-999 Predicted Monthly'!$V$12</f>
        <v>160413.41310324351</v>
      </c>
      <c r="N101" s="18">
        <f>G101*'GS 50-999 Predicted Monthly'!$V$13</f>
        <v>0</v>
      </c>
      <c r="O101" s="18">
        <f>H101*'GS 50-999 Predicted Monthly'!$V$14</f>
        <v>6041530.8034548042</v>
      </c>
      <c r="P101" s="18">
        <f>I101*'GS 50-999 Predicted Monthly'!$V$15</f>
        <v>22222857.190066528</v>
      </c>
      <c r="Q101" s="18">
        <f t="shared" ca="1" si="8"/>
        <v>26729614.797060631</v>
      </c>
      <c r="S101" s="18"/>
      <c r="T101" s="276"/>
    </row>
    <row r="102" spans="1:20" x14ac:dyDescent="0.25">
      <c r="A102" s="3">
        <f>'Monthly Data'!A102</f>
        <v>45047</v>
      </c>
      <c r="B102" s="1">
        <f t="shared" si="6"/>
        <v>2023</v>
      </c>
      <c r="C102" s="1">
        <f t="shared" si="7"/>
        <v>5</v>
      </c>
      <c r="D102" s="259">
        <f ca="1">'Monthly Data'!N102</f>
        <v>26149280.443362694</v>
      </c>
      <c r="E102" s="269">
        <f t="shared" ca="1" si="10"/>
        <v>150.136897859768</v>
      </c>
      <c r="F102" s="269">
        <f t="shared" ca="1" si="10"/>
        <v>86.191046176046171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-8058676.5655863797</v>
      </c>
      <c r="L102" s="18">
        <f ca="1">E102*'GS 50-999 Predicted Monthly'!$V$11</f>
        <v>2711000.8451081468</v>
      </c>
      <c r="M102" s="18">
        <f ca="1">F102*'GS 50-999 Predicted Monthly'!$V$12</f>
        <v>2450548.6855101688</v>
      </c>
      <c r="N102" s="18">
        <f>G102*'GS 50-999 Predicted Monthly'!$V$13</f>
        <v>0</v>
      </c>
      <c r="O102" s="18">
        <f>H102*'GS 50-999 Predicted Monthly'!$V$14</f>
        <v>6041530.8034548042</v>
      </c>
      <c r="P102" s="18">
        <f>I102*'GS 50-999 Predicted Monthly'!$V$15</f>
        <v>22963619.096402079</v>
      </c>
      <c r="Q102" s="18">
        <f t="shared" ca="1" si="8"/>
        <v>26108022.864888817</v>
      </c>
      <c r="S102" s="18"/>
      <c r="T102" s="276"/>
    </row>
    <row r="103" spans="1:20" x14ac:dyDescent="0.25">
      <c r="A103" s="3">
        <f>'Monthly Data'!A103</f>
        <v>45078</v>
      </c>
      <c r="B103" s="1">
        <f t="shared" si="6"/>
        <v>2023</v>
      </c>
      <c r="C103" s="1">
        <f t="shared" si="7"/>
        <v>6</v>
      </c>
      <c r="D103" s="259">
        <f ca="1">'Monthly Data'!N103</f>
        <v>26011151.457731459</v>
      </c>
      <c r="E103" s="269">
        <f t="shared" ca="1" si="10"/>
        <v>32.520923826173821</v>
      </c>
      <c r="F103" s="269">
        <f t="shared" ca="1" si="10"/>
        <v>194.94285087738348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-8058676.5655863797</v>
      </c>
      <c r="L103" s="18">
        <f ca="1">E103*'GS 50-999 Predicted Monthly'!$V$11</f>
        <v>587225.7468567302</v>
      </c>
      <c r="M103" s="18">
        <f ca="1">F103*'GS 50-999 Predicted Monthly'!$V$12</f>
        <v>5542535.6595792416</v>
      </c>
      <c r="N103" s="18">
        <f>G103*'GS 50-999 Predicted Monthly'!$V$13</f>
        <v>0</v>
      </c>
      <c r="O103" s="18">
        <f>H103*'GS 50-999 Predicted Monthly'!$V$14</f>
        <v>6041530.8034548042</v>
      </c>
      <c r="P103" s="18">
        <f>I103*'GS 50-999 Predicted Monthly'!$V$15</f>
        <v>22222857.190066528</v>
      </c>
      <c r="Q103" s="18">
        <f t="shared" ca="1" si="8"/>
        <v>26335472.834370926</v>
      </c>
      <c r="S103" s="18"/>
      <c r="T103" s="276"/>
    </row>
    <row r="104" spans="1:20" x14ac:dyDescent="0.25">
      <c r="A104" s="3">
        <f>'Monthly Data'!A104</f>
        <v>45108</v>
      </c>
      <c r="B104" s="1">
        <f t="shared" si="6"/>
        <v>2023</v>
      </c>
      <c r="C104" s="1">
        <f t="shared" si="7"/>
        <v>7</v>
      </c>
      <c r="D104" s="259">
        <f ca="1">'Monthly Data'!N104</f>
        <v>29221325.233950596</v>
      </c>
      <c r="E104" s="269">
        <f t="shared" ca="1" si="10"/>
        <v>1.6179166666666653</v>
      </c>
      <c r="F104" s="269">
        <f t="shared" ca="1" si="10"/>
        <v>297.94737858727848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-8058676.5655863797</v>
      </c>
      <c r="L104" s="18">
        <f ca="1">E104*'GS 50-999 Predicted Monthly'!$V$11</f>
        <v>29214.493659944223</v>
      </c>
      <c r="M104" s="18">
        <f ca="1">F104*'GS 50-999 Predicted Monthly'!$V$12</f>
        <v>8471118.3973442893</v>
      </c>
      <c r="N104" s="18">
        <f>G104*'GS 50-999 Predicted Monthly'!$V$13</f>
        <v>0</v>
      </c>
      <c r="O104" s="18">
        <f>H104*'GS 50-999 Predicted Monthly'!$V$14</f>
        <v>6056873.6557684233</v>
      </c>
      <c r="P104" s="18">
        <f>I104*'GS 50-999 Predicted Monthly'!$V$15</f>
        <v>22963619.096402079</v>
      </c>
      <c r="Q104" s="18">
        <f t="shared" ca="1" si="8"/>
        <v>29462149.077588357</v>
      </c>
      <c r="S104" s="18"/>
      <c r="T104" s="276"/>
    </row>
    <row r="105" spans="1:20" x14ac:dyDescent="0.25">
      <c r="A105" s="3">
        <f>'Monthly Data'!A105</f>
        <v>45139</v>
      </c>
      <c r="B105" s="1">
        <f t="shared" si="6"/>
        <v>2023</v>
      </c>
      <c r="C105" s="1">
        <f t="shared" si="7"/>
        <v>8</v>
      </c>
      <c r="D105" s="259">
        <f ca="1">'Monthly Data'!N105</f>
        <v>27248513.558368277</v>
      </c>
      <c r="E105" s="269">
        <f t="shared" ca="1" si="10"/>
        <v>5.6499999999999977</v>
      </c>
      <c r="F105" s="269">
        <f t="shared" ca="1" si="10"/>
        <v>272.96558794466404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-8058676.5655863797</v>
      </c>
      <c r="L105" s="18">
        <f ca="1">E105*'GS 50-999 Predicted Monthly'!$V$11</f>
        <v>102021.25522246814</v>
      </c>
      <c r="M105" s="18">
        <f ca="1">F105*'GS 50-999 Predicted Monthly'!$V$12</f>
        <v>7760846.3106601536</v>
      </c>
      <c r="N105" s="18">
        <f>G105*'GS 50-999 Predicted Monthly'!$V$13</f>
        <v>0</v>
      </c>
      <c r="O105" s="18">
        <f>H105*'GS 50-999 Predicted Monthly'!$V$14</f>
        <v>6056873.6557684233</v>
      </c>
      <c r="P105" s="18">
        <f>I105*'GS 50-999 Predicted Monthly'!$V$15</f>
        <v>22963619.096402079</v>
      </c>
      <c r="Q105" s="18">
        <f t="shared" ca="1" si="8"/>
        <v>28824683.752466746</v>
      </c>
      <c r="S105" s="18"/>
      <c r="T105" s="276"/>
    </row>
    <row r="106" spans="1:20" x14ac:dyDescent="0.25">
      <c r="A106" s="3">
        <f>'Monthly Data'!A106</f>
        <v>45170</v>
      </c>
      <c r="B106" s="1">
        <f t="shared" si="6"/>
        <v>2023</v>
      </c>
      <c r="C106" s="1">
        <f t="shared" si="7"/>
        <v>9</v>
      </c>
      <c r="D106" s="259">
        <f ca="1">'Monthly Data'!N106</f>
        <v>25834097.328989398</v>
      </c>
      <c r="E106" s="269">
        <f t="shared" ca="1" si="10"/>
        <v>54.959440993788824</v>
      </c>
      <c r="F106" s="269">
        <f t="shared" ca="1" si="10"/>
        <v>158.67014233954447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-8058676.5655863797</v>
      </c>
      <c r="L106" s="18">
        <f ca="1">E106*'GS 50-999 Predicted Monthly'!$V$11</f>
        <v>992394.89495778945</v>
      </c>
      <c r="M106" s="18">
        <f ca="1">F106*'GS 50-999 Predicted Monthly'!$V$12</f>
        <v>4511244.798510679</v>
      </c>
      <c r="N106" s="18">
        <f>G106*'GS 50-999 Predicted Monthly'!$V$13</f>
        <v>0</v>
      </c>
      <c r="O106" s="18">
        <f>H106*'GS 50-999 Predicted Monthly'!$V$14</f>
        <v>6056873.6557684233</v>
      </c>
      <c r="P106" s="18">
        <f>I106*'GS 50-999 Predicted Monthly'!$V$15</f>
        <v>22222857.190066528</v>
      </c>
      <c r="Q106" s="18">
        <f t="shared" ca="1" si="8"/>
        <v>25724693.973717041</v>
      </c>
      <c r="S106" s="18"/>
      <c r="T106" s="276"/>
    </row>
    <row r="107" spans="1:20" x14ac:dyDescent="0.25">
      <c r="A107" s="3">
        <f>'Monthly Data'!A107</f>
        <v>45200</v>
      </c>
      <c r="B107" s="1">
        <f t="shared" si="6"/>
        <v>2023</v>
      </c>
      <c r="C107" s="1">
        <f t="shared" si="7"/>
        <v>10</v>
      </c>
      <c r="D107" s="259">
        <f ca="1">'Monthly Data'!N107</f>
        <v>25438509.770386744</v>
      </c>
      <c r="E107" s="269">
        <f t="shared" ca="1" si="10"/>
        <v>237.89681159420289</v>
      </c>
      <c r="F107" s="269">
        <f t="shared" ca="1" si="10"/>
        <v>35.32833333333334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-8058676.5655863797</v>
      </c>
      <c r="L107" s="18">
        <f ca="1">E107*'GS 50-999 Predicted Monthly'!$V$11</f>
        <v>4295669.2623475399</v>
      </c>
      <c r="M107" s="18">
        <f ca="1">F107*'GS 50-999 Predicted Monthly'!$V$12</f>
        <v>1004440.7702679132</v>
      </c>
      <c r="N107" s="18">
        <f>G107*'GS 50-999 Predicted Monthly'!$V$13</f>
        <v>0</v>
      </c>
      <c r="O107" s="18">
        <f>H107*'GS 50-999 Predicted Monthly'!$V$14</f>
        <v>6069961.8487111134</v>
      </c>
      <c r="P107" s="18">
        <f>I107*'GS 50-999 Predicted Monthly'!$V$15</f>
        <v>22963619.096402079</v>
      </c>
      <c r="Q107" s="18">
        <f t="shared" ca="1" si="8"/>
        <v>26275014.412142266</v>
      </c>
      <c r="S107" s="18"/>
      <c r="T107" s="276"/>
    </row>
    <row r="108" spans="1:20" x14ac:dyDescent="0.25">
      <c r="A108" s="3">
        <f>'Monthly Data'!A108</f>
        <v>45231</v>
      </c>
      <c r="B108" s="1">
        <f t="shared" si="6"/>
        <v>2023</v>
      </c>
      <c r="C108" s="1">
        <f t="shared" si="7"/>
        <v>11</v>
      </c>
      <c r="D108" s="259">
        <f ca="1">'Monthly Data'!N108</f>
        <v>27643217.62062512</v>
      </c>
      <c r="E108" s="269">
        <f t="shared" ca="1" si="10"/>
        <v>426.62991389045737</v>
      </c>
      <c r="F108" s="269">
        <f t="shared" ca="1" si="10"/>
        <v>2.2779166666666657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-8058676.5655863797</v>
      </c>
      <c r="L108" s="18">
        <f ca="1">E108*'GS 50-999 Predicted Monthly'!$V$11</f>
        <v>7703596.3416916775</v>
      </c>
      <c r="M108" s="18">
        <f ca="1">F108*'GS 50-999 Predicted Monthly'!$V$12</f>
        <v>64764.797979132403</v>
      </c>
      <c r="N108" s="18">
        <f>G108*'GS 50-999 Predicted Monthly'!$V$13</f>
        <v>0</v>
      </c>
      <c r="O108" s="18">
        <f>H108*'GS 50-999 Predicted Monthly'!$V$14</f>
        <v>6069961.8487111134</v>
      </c>
      <c r="P108" s="18">
        <f>I108*'GS 50-999 Predicted Monthly'!$V$15</f>
        <v>22222857.190066528</v>
      </c>
      <c r="Q108" s="18">
        <f t="shared" ca="1" si="8"/>
        <v>28002503.612862073</v>
      </c>
      <c r="S108" s="18"/>
      <c r="T108" s="276"/>
    </row>
    <row r="109" spans="1:20" x14ac:dyDescent="0.25">
      <c r="A109" s="3">
        <f>'Monthly Data'!A109</f>
        <v>45261</v>
      </c>
      <c r="B109" s="1">
        <f t="shared" si="6"/>
        <v>2023</v>
      </c>
      <c r="C109" s="1">
        <f t="shared" si="7"/>
        <v>12</v>
      </c>
      <c r="D109" s="259">
        <f ca="1">'Monthly Data'!N109</f>
        <v>28937646.579592828</v>
      </c>
      <c r="E109" s="269">
        <f t="shared" ca="1" si="10"/>
        <v>577.92800724637686</v>
      </c>
      <c r="F109" s="269">
        <f t="shared" ca="1" si="10"/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-8058676.5655863797</v>
      </c>
      <c r="L109" s="18">
        <f ca="1">E109*'GS 50-999 Predicted Monthly'!$V$11</f>
        <v>10435564.730530098</v>
      </c>
      <c r="M109" s="18">
        <f ca="1">F109*'GS 50-999 Predicted Monthly'!$V$12</f>
        <v>0</v>
      </c>
      <c r="N109" s="18">
        <f>G109*'GS 50-999 Predicted Monthly'!$V$13</f>
        <v>0</v>
      </c>
      <c r="O109" s="18">
        <f>H109*'GS 50-999 Predicted Monthly'!$V$14</f>
        <v>6069961.8487111134</v>
      </c>
      <c r="P109" s="18">
        <f>I109*'GS 50-999 Predicted Monthly'!$V$15</f>
        <v>22963619.096402079</v>
      </c>
      <c r="Q109" s="18">
        <f t="shared" ca="1" si="8"/>
        <v>31410469.110056911</v>
      </c>
      <c r="R109" s="259"/>
      <c r="S109" s="18"/>
      <c r="T109" s="276"/>
    </row>
    <row r="110" spans="1:20" x14ac:dyDescent="0.25">
      <c r="A110" s="3">
        <f>'Monthly Data'!A110</f>
        <v>45292</v>
      </c>
      <c r="B110" s="1">
        <f t="shared" si="6"/>
        <v>2024</v>
      </c>
      <c r="C110" s="1">
        <f t="shared" si="7"/>
        <v>1</v>
      </c>
      <c r="D110" s="259">
        <f ca="1">'Monthly Data'!N110</f>
        <v>32762071.883867092</v>
      </c>
      <c r="E110" s="269">
        <f t="shared" ca="1" si="10"/>
        <v>697.33418478260876</v>
      </c>
      <c r="F110" s="269">
        <f t="shared" ca="1" si="10"/>
        <v>0</v>
      </c>
      <c r="G110" s="269">
        <f>'Monthly Data'!CG110</f>
        <v>0</v>
      </c>
      <c r="H110" s="18">
        <f>'Monthly Data'!AL110</f>
        <v>874402</v>
      </c>
      <c r="I110" s="18">
        <f>'Monthly Data'!CD110</f>
        <v>31</v>
      </c>
      <c r="K110" s="18">
        <f>'GS 50-999 Predicted Monthly'!$V$10</f>
        <v>-8058676.5655863797</v>
      </c>
      <c r="L110" s="18">
        <f ca="1">E110*'GS 50-999 Predicted Monthly'!$V$11</f>
        <v>12591665.281603241</v>
      </c>
      <c r="M110" s="18">
        <f ca="1">F110*'GS 50-999 Predicted Monthly'!$V$12</f>
        <v>0</v>
      </c>
      <c r="N110" s="18">
        <f>G110*'GS 50-999 Predicted Monthly'!$V$13</f>
        <v>0</v>
      </c>
      <c r="O110" s="18">
        <f>H110*'GS 50-999 Predicted Monthly'!$V$14</f>
        <v>6103649.1122532077</v>
      </c>
      <c r="P110" s="18">
        <f>I110*'GS 50-999 Predicted Monthly'!$V$15</f>
        <v>22963619.096402079</v>
      </c>
      <c r="Q110" s="18">
        <f t="shared" ca="1" si="8"/>
        <v>33600256.924672149</v>
      </c>
      <c r="R110" s="259"/>
      <c r="S110" s="18"/>
      <c r="T110" s="276"/>
    </row>
    <row r="111" spans="1:20" x14ac:dyDescent="0.25">
      <c r="A111" s="3">
        <f>'Monthly Data'!A111</f>
        <v>45323</v>
      </c>
      <c r="B111" s="1">
        <f t="shared" si="6"/>
        <v>2024</v>
      </c>
      <c r="C111" s="1">
        <f t="shared" si="7"/>
        <v>2</v>
      </c>
      <c r="D111" s="259">
        <f ca="1">'Monthly Data'!N111</f>
        <v>28308241.473781988</v>
      </c>
      <c r="E111" s="269">
        <f t="shared" ca="1" si="10"/>
        <v>624.25501811594188</v>
      </c>
      <c r="F111" s="269">
        <f t="shared" ca="1" si="10"/>
        <v>0</v>
      </c>
      <c r="G111" s="269">
        <f>'Monthly Data'!CG111</f>
        <v>0</v>
      </c>
      <c r="H111" s="18">
        <f>'Monthly Data'!AL111</f>
        <v>874402</v>
      </c>
      <c r="I111" s="18">
        <f>'Monthly Data'!CD111</f>
        <v>29</v>
      </c>
      <c r="K111" s="18">
        <f>'GS 50-999 Predicted Monthly'!$V$10</f>
        <v>-8058676.5655863797</v>
      </c>
      <c r="L111" s="18">
        <f ca="1">E111*'GS 50-999 Predicted Monthly'!$V$11</f>
        <v>11272085.04904655</v>
      </c>
      <c r="M111" s="18">
        <f ca="1">F111*'GS 50-999 Predicted Monthly'!$V$12</f>
        <v>0</v>
      </c>
      <c r="N111" s="18">
        <f>G111*'GS 50-999 Predicted Monthly'!$V$13</f>
        <v>0</v>
      </c>
      <c r="O111" s="18">
        <f>H111*'GS 50-999 Predicted Monthly'!$V$14</f>
        <v>6103649.1122532077</v>
      </c>
      <c r="P111" s="18">
        <f>I111*'GS 50-999 Predicted Monthly'!$V$15</f>
        <v>21482095.283730976</v>
      </c>
      <c r="Q111" s="18">
        <f t="shared" ca="1" si="8"/>
        <v>30799152.879444353</v>
      </c>
      <c r="R111" s="259"/>
      <c r="S111" s="18"/>
      <c r="T111" s="276"/>
    </row>
    <row r="112" spans="1:20" x14ac:dyDescent="0.25">
      <c r="A112" s="3">
        <f>'Monthly Data'!A112</f>
        <v>45352</v>
      </c>
      <c r="B112" s="1">
        <f t="shared" si="6"/>
        <v>2024</v>
      </c>
      <c r="C112" s="1">
        <f t="shared" si="7"/>
        <v>3</v>
      </c>
      <c r="D112" s="259">
        <f ca="1">'Monthly Data'!N112</f>
        <v>27974502.183322255</v>
      </c>
      <c r="E112" s="269">
        <f t="shared" ca="1" si="10"/>
        <v>546.13298913043491</v>
      </c>
      <c r="F112" s="269">
        <f t="shared" ca="1" si="10"/>
        <v>2.9583333333332896E-2</v>
      </c>
      <c r="G112" s="269">
        <f>'Monthly Data'!CG112</f>
        <v>0</v>
      </c>
      <c r="H112" s="18">
        <f>'Monthly Data'!AL112</f>
        <v>874402</v>
      </c>
      <c r="I112" s="18">
        <f>'Monthly Data'!CD112</f>
        <v>31</v>
      </c>
      <c r="K112" s="18">
        <f>'GS 50-999 Predicted Monthly'!$V$10</f>
        <v>-8058676.5655863797</v>
      </c>
      <c r="L112" s="18">
        <f ca="1">E112*'GS 50-999 Predicted Monthly'!$V$11</f>
        <v>9861446.5609708931</v>
      </c>
      <c r="M112" s="18">
        <f ca="1">F112*'GS 50-999 Predicted Monthly'!$V$12</f>
        <v>841.1012724562529</v>
      </c>
      <c r="N112" s="18">
        <f>G112*'GS 50-999 Predicted Monthly'!$V$13</f>
        <v>0</v>
      </c>
      <c r="O112" s="18">
        <f>H112*'GS 50-999 Predicted Monthly'!$V$14</f>
        <v>6103649.1122532077</v>
      </c>
      <c r="P112" s="18">
        <f>I112*'GS 50-999 Predicted Monthly'!$V$15</f>
        <v>22963619.096402079</v>
      </c>
      <c r="Q112" s="18">
        <f t="shared" ca="1" si="8"/>
        <v>30870879.305312257</v>
      </c>
      <c r="R112" s="259"/>
    </row>
    <row r="113" spans="1:19" x14ac:dyDescent="0.25">
      <c r="A113" s="3">
        <f>'Monthly Data'!A113</f>
        <v>45383</v>
      </c>
      <c r="B113" s="1">
        <f t="shared" si="6"/>
        <v>2024</v>
      </c>
      <c r="C113" s="1">
        <f t="shared" si="7"/>
        <v>4</v>
      </c>
      <c r="D113" s="259">
        <f ca="1">'Monthly Data'!N113</f>
        <v>23880897.692670103</v>
      </c>
      <c r="E113" s="269">
        <f t="shared" ca="1" si="10"/>
        <v>352.41399621212122</v>
      </c>
      <c r="F113" s="269">
        <f t="shared" ca="1" si="10"/>
        <v>5.6420833333333338</v>
      </c>
      <c r="G113" s="269">
        <f>'Monthly Data'!CG113</f>
        <v>0</v>
      </c>
      <c r="H113" s="18">
        <f>'Monthly Data'!AL113</f>
        <v>877135</v>
      </c>
      <c r="I113" s="18">
        <f>'Monthly Data'!CD113</f>
        <v>30</v>
      </c>
      <c r="K113" s="18">
        <f>'GS 50-999 Predicted Monthly'!$V$10</f>
        <v>-8058676.5655863797</v>
      </c>
      <c r="L113" s="18">
        <f ca="1">E113*'GS 50-999 Predicted Monthly'!$V$11</f>
        <v>6363489.9560224349</v>
      </c>
      <c r="M113" s="18">
        <f ca="1">F113*'GS 50-999 Predicted Monthly'!$V$12</f>
        <v>160413.41310324351</v>
      </c>
      <c r="N113" s="18">
        <f>G113*'GS 50-999 Predicted Monthly'!$V$13</f>
        <v>0</v>
      </c>
      <c r="O113" s="18">
        <f>H113*'GS 50-999 Predicted Monthly'!$V$14</f>
        <v>6122726.4622864742</v>
      </c>
      <c r="P113" s="18">
        <f>I113*'GS 50-999 Predicted Monthly'!$V$15</f>
        <v>22222857.190066528</v>
      </c>
      <c r="Q113" s="18">
        <f t="shared" ca="1" si="8"/>
        <v>26810810.455892302</v>
      </c>
      <c r="R113" s="259"/>
      <c r="S113" s="18"/>
    </row>
    <row r="114" spans="1:19" x14ac:dyDescent="0.25">
      <c r="A114" s="3">
        <f>'Monthly Data'!A114</f>
        <v>45413</v>
      </c>
      <c r="B114" s="1">
        <f t="shared" si="6"/>
        <v>2024</v>
      </c>
      <c r="C114" s="1">
        <f t="shared" si="7"/>
        <v>5</v>
      </c>
      <c r="D114" s="259">
        <f ca="1">'Monthly Data'!N114</f>
        <v>25683253.31217394</v>
      </c>
      <c r="E114" s="269">
        <f t="shared" ref="E114:F133" ca="1" si="11">E102</f>
        <v>150.136897859768</v>
      </c>
      <c r="F114" s="269">
        <f t="shared" ca="1" si="11"/>
        <v>86.191046176046171</v>
      </c>
      <c r="G114" s="269">
        <f>'Monthly Data'!CG114</f>
        <v>0</v>
      </c>
      <c r="H114" s="18">
        <f>'Monthly Data'!AL114</f>
        <v>877135</v>
      </c>
      <c r="I114" s="18">
        <f>'Monthly Data'!CD114</f>
        <v>31</v>
      </c>
      <c r="K114" s="18">
        <f>'GS 50-999 Predicted Monthly'!$V$10</f>
        <v>-8058676.5655863797</v>
      </c>
      <c r="L114" s="18">
        <f ca="1">E114*'GS 50-999 Predicted Monthly'!$V$11</f>
        <v>2711000.8451081468</v>
      </c>
      <c r="M114" s="18">
        <f ca="1">F114*'GS 50-999 Predicted Monthly'!$V$12</f>
        <v>2450548.6855101688</v>
      </c>
      <c r="N114" s="18">
        <f>G114*'GS 50-999 Predicted Monthly'!$V$13</f>
        <v>0</v>
      </c>
      <c r="O114" s="18">
        <f>H114*'GS 50-999 Predicted Monthly'!$V$14</f>
        <v>6122726.4622864742</v>
      </c>
      <c r="P114" s="18">
        <f>I114*'GS 50-999 Predicted Monthly'!$V$15</f>
        <v>22963619.096402079</v>
      </c>
      <c r="Q114" s="18">
        <f t="shared" ca="1" si="8"/>
        <v>26189218.523720488</v>
      </c>
      <c r="R114" s="259"/>
      <c r="S114" s="18"/>
    </row>
    <row r="115" spans="1:19" x14ac:dyDescent="0.25">
      <c r="A115" s="3">
        <f>'Monthly Data'!A115</f>
        <v>45444</v>
      </c>
      <c r="B115" s="1">
        <f t="shared" si="6"/>
        <v>2024</v>
      </c>
      <c r="C115" s="1">
        <f t="shared" si="7"/>
        <v>6</v>
      </c>
      <c r="D115" s="259">
        <f ca="1">'Monthly Data'!N115</f>
        <v>27231708.21783587</v>
      </c>
      <c r="E115" s="269">
        <f t="shared" ca="1" si="11"/>
        <v>32.520923826173821</v>
      </c>
      <c r="F115" s="269">
        <f t="shared" ca="1" si="11"/>
        <v>194.94285087738348</v>
      </c>
      <c r="G115" s="269">
        <f>'Monthly Data'!CG115</f>
        <v>0</v>
      </c>
      <c r="H115" s="18">
        <f>'Monthly Data'!AL115</f>
        <v>877135</v>
      </c>
      <c r="I115" s="18">
        <f>'Monthly Data'!CD115</f>
        <v>30</v>
      </c>
      <c r="K115" s="18">
        <f>'GS 50-999 Predicted Monthly'!$V$10</f>
        <v>-8058676.5655863797</v>
      </c>
      <c r="L115" s="18">
        <f ca="1">E115*'GS 50-999 Predicted Monthly'!$V$11</f>
        <v>587225.7468567302</v>
      </c>
      <c r="M115" s="18">
        <f ca="1">F115*'GS 50-999 Predicted Monthly'!$V$12</f>
        <v>5542535.6595792416</v>
      </c>
      <c r="N115" s="18">
        <f>G115*'GS 50-999 Predicted Monthly'!$V$13</f>
        <v>0</v>
      </c>
      <c r="O115" s="18">
        <f>H115*'GS 50-999 Predicted Monthly'!$V$14</f>
        <v>6122726.4622864742</v>
      </c>
      <c r="P115" s="18">
        <f>I115*'GS 50-999 Predicted Monthly'!$V$15</f>
        <v>22222857.190066528</v>
      </c>
      <c r="Q115" s="18">
        <f t="shared" ca="1" si="8"/>
        <v>26416668.493202593</v>
      </c>
      <c r="R115" s="259"/>
      <c r="S115" s="18"/>
    </row>
    <row r="116" spans="1:19" x14ac:dyDescent="0.25">
      <c r="A116" s="3">
        <v>45474</v>
      </c>
      <c r="B116" s="1">
        <f t="shared" ref="B116:B125" si="12">YEAR(A116)</f>
        <v>2024</v>
      </c>
      <c r="C116" s="1">
        <f t="shared" ref="C116:C125" si="13">MONTH(A116)</f>
        <v>7</v>
      </c>
      <c r="D116" s="259">
        <f ca="1">'Monthly Data'!N116</f>
        <v>29591654.186304532</v>
      </c>
      <c r="E116" s="269">
        <f t="shared" ca="1" si="11"/>
        <v>1.6179166666666653</v>
      </c>
      <c r="F116" s="269">
        <f t="shared" ca="1" si="11"/>
        <v>297.94737858727848</v>
      </c>
      <c r="G116" s="269">
        <f>'Monthly Data'!CG116</f>
        <v>0</v>
      </c>
      <c r="H116" s="18">
        <f>'Monthly Data'!AL116</f>
        <v>877865</v>
      </c>
      <c r="I116" s="18">
        <f>'Monthly Data'!CD116</f>
        <v>31</v>
      </c>
      <c r="K116" s="18">
        <f>'GS 50-999 Predicted Monthly'!$V$10</f>
        <v>-8058676.5655863797</v>
      </c>
      <c r="L116" s="18">
        <f ca="1">E116*'GS 50-999 Predicted Monthly'!$V$11</f>
        <v>29214.493659944223</v>
      </c>
      <c r="M116" s="18">
        <f ca="1">F116*'GS 50-999 Predicted Monthly'!$V$12</f>
        <v>8471118.3973442893</v>
      </c>
      <c r="N116" s="18">
        <f>G116*'GS 50-999 Predicted Monthly'!$V$13</f>
        <v>0</v>
      </c>
      <c r="O116" s="18">
        <f>H116*'GS 50-999 Predicted Monthly'!$V$14</f>
        <v>6127822.1320721619</v>
      </c>
      <c r="P116" s="18">
        <f>I116*'GS 50-999 Predicted Monthly'!$V$15</f>
        <v>22963619.096402079</v>
      </c>
      <c r="Q116" s="18">
        <f t="shared" ca="1" si="8"/>
        <v>29533097.553892095</v>
      </c>
      <c r="R116" s="259"/>
      <c r="S116" s="18"/>
    </row>
    <row r="117" spans="1:19" x14ac:dyDescent="0.25">
      <c r="A117" s="3">
        <v>45505</v>
      </c>
      <c r="B117" s="1">
        <f t="shared" si="12"/>
        <v>2024</v>
      </c>
      <c r="C117" s="1">
        <f t="shared" si="13"/>
        <v>8</v>
      </c>
      <c r="D117" s="259">
        <f ca="1">'Monthly Data'!N117</f>
        <v>24509168.77534771</v>
      </c>
      <c r="E117" s="269">
        <f t="shared" ca="1" si="11"/>
        <v>5.6499999999999977</v>
      </c>
      <c r="F117" s="269">
        <f t="shared" ca="1" si="11"/>
        <v>272.96558794466404</v>
      </c>
      <c r="G117" s="269">
        <f>'Monthly Data'!CG117</f>
        <v>0</v>
      </c>
      <c r="H117" s="18">
        <f>'Monthly Data'!AL117</f>
        <v>877865</v>
      </c>
      <c r="I117" s="18">
        <f>'Monthly Data'!CD117</f>
        <v>31</v>
      </c>
      <c r="K117" s="18">
        <f>'GS 50-999 Predicted Monthly'!$V$10</f>
        <v>-8058676.5655863797</v>
      </c>
      <c r="L117" s="18">
        <f ca="1">E117*'GS 50-999 Predicted Monthly'!$V$11</f>
        <v>102021.25522246814</v>
      </c>
      <c r="M117" s="18">
        <f ca="1">F117*'GS 50-999 Predicted Monthly'!$V$12</f>
        <v>7760846.3106601536</v>
      </c>
      <c r="N117" s="18">
        <f>G117*'GS 50-999 Predicted Monthly'!$V$13</f>
        <v>0</v>
      </c>
      <c r="O117" s="18">
        <f>H117*'GS 50-999 Predicted Monthly'!$V$14</f>
        <v>6127822.1320721619</v>
      </c>
      <c r="P117" s="18">
        <f>I117*'GS 50-999 Predicted Monthly'!$V$15</f>
        <v>22963619.096402079</v>
      </c>
      <c r="Q117" s="18">
        <f t="shared" ca="1" si="8"/>
        <v>28895632.228770483</v>
      </c>
      <c r="S117" s="18"/>
    </row>
    <row r="118" spans="1:19" x14ac:dyDescent="0.25">
      <c r="A118" s="3">
        <v>45536</v>
      </c>
      <c r="B118" s="1">
        <f t="shared" si="12"/>
        <v>2024</v>
      </c>
      <c r="C118" s="1">
        <f t="shared" si="13"/>
        <v>9</v>
      </c>
      <c r="D118" s="259">
        <f ca="1">'Monthly Data'!N118</f>
        <v>23905544.421330396</v>
      </c>
      <c r="E118" s="269">
        <f t="shared" ca="1" si="11"/>
        <v>54.959440993788824</v>
      </c>
      <c r="F118" s="269">
        <f t="shared" ca="1" si="11"/>
        <v>158.67014233954447</v>
      </c>
      <c r="G118" s="269">
        <f>'Monthly Data'!CG118</f>
        <v>0</v>
      </c>
      <c r="H118" s="18">
        <f>'Monthly Data'!AL118</f>
        <v>877865</v>
      </c>
      <c r="I118" s="18">
        <f>'Monthly Data'!CD118</f>
        <v>30</v>
      </c>
      <c r="K118" s="18">
        <f>'GS 50-999 Predicted Monthly'!$V$10</f>
        <v>-8058676.5655863797</v>
      </c>
      <c r="L118" s="18">
        <f ca="1">E118*'GS 50-999 Predicted Monthly'!$V$11</f>
        <v>992394.89495778945</v>
      </c>
      <c r="M118" s="18">
        <f ca="1">F118*'GS 50-999 Predicted Monthly'!$V$12</f>
        <v>4511244.798510679</v>
      </c>
      <c r="N118" s="18">
        <f>G118*'GS 50-999 Predicted Monthly'!$V$13</f>
        <v>0</v>
      </c>
      <c r="O118" s="18">
        <f>H118*'GS 50-999 Predicted Monthly'!$V$14</f>
        <v>6127822.1320721619</v>
      </c>
      <c r="P118" s="18">
        <f>I118*'GS 50-999 Predicted Monthly'!$V$15</f>
        <v>22222857.190066528</v>
      </c>
      <c r="Q118" s="18">
        <f t="shared" ca="1" si="8"/>
        <v>25795642.450020779</v>
      </c>
      <c r="S118" s="18"/>
    </row>
    <row r="119" spans="1:19" x14ac:dyDescent="0.25">
      <c r="A119" s="3">
        <v>45566</v>
      </c>
      <c r="B119" s="1">
        <f t="shared" si="12"/>
        <v>2024</v>
      </c>
      <c r="C119" s="1">
        <f t="shared" si="13"/>
        <v>10</v>
      </c>
      <c r="D119" s="259">
        <f ca="1">'Monthly Data'!N119</f>
        <v>25133313.896704752</v>
      </c>
      <c r="E119" s="269">
        <f t="shared" ca="1" si="11"/>
        <v>237.89681159420289</v>
      </c>
      <c r="F119" s="269">
        <f t="shared" ca="1" si="11"/>
        <v>35.32833333333334</v>
      </c>
      <c r="G119" s="269">
        <f>'Monthly Data'!CG119</f>
        <v>0</v>
      </c>
      <c r="H119" s="18">
        <f>'Monthly Data'!AL119</f>
        <v>882184.85199999996</v>
      </c>
      <c r="I119" s="18">
        <f>'Monthly Data'!CD119</f>
        <v>31</v>
      </c>
      <c r="K119" s="18">
        <f>'GS 50-999 Predicted Monthly'!$V$10</f>
        <v>-8058676.5655863797</v>
      </c>
      <c r="L119" s="18">
        <f ca="1">E119*'GS 50-999 Predicted Monthly'!$V$11</f>
        <v>4295669.2623475399</v>
      </c>
      <c r="M119" s="18">
        <f ca="1">F119*'GS 50-999 Predicted Monthly'!$V$12</f>
        <v>1004440.7702679132</v>
      </c>
      <c r="N119" s="18">
        <f>G119*'GS 50-999 Predicted Monthly'!$V$13</f>
        <v>0</v>
      </c>
      <c r="O119" s="18">
        <f>H119*'GS 50-999 Predicted Monthly'!$V$14</f>
        <v>6157976.2955174251</v>
      </c>
      <c r="P119" s="18">
        <f>I119*'GS 50-999 Predicted Monthly'!$V$15</f>
        <v>22963619.096402079</v>
      </c>
      <c r="Q119" s="18">
        <f t="shared" ca="1" si="8"/>
        <v>26363028.858948577</v>
      </c>
      <c r="S119" s="18"/>
    </row>
    <row r="120" spans="1:19" x14ac:dyDescent="0.25">
      <c r="A120" s="3">
        <v>45597</v>
      </c>
      <c r="B120" s="1">
        <f t="shared" si="12"/>
        <v>2024</v>
      </c>
      <c r="C120" s="1">
        <f t="shared" si="13"/>
        <v>11</v>
      </c>
      <c r="D120" s="259">
        <f ca="1">'Monthly Data'!N120</f>
        <v>28104665.798465267</v>
      </c>
      <c r="E120" s="269">
        <f t="shared" ca="1" si="11"/>
        <v>426.62991389045737</v>
      </c>
      <c r="F120" s="269">
        <f t="shared" ca="1" si="11"/>
        <v>2.2779166666666657</v>
      </c>
      <c r="G120" s="269">
        <f>'Monthly Data'!CG120</f>
        <v>0</v>
      </c>
      <c r="H120" s="18">
        <f>'Monthly Data'!AL120</f>
        <v>882184.85199999996</v>
      </c>
      <c r="I120" s="18">
        <f>'Monthly Data'!CD120</f>
        <v>30</v>
      </c>
      <c r="K120" s="18">
        <f>'GS 50-999 Predicted Monthly'!$V$10</f>
        <v>-8058676.5655863797</v>
      </c>
      <c r="L120" s="18">
        <f ca="1">E120*'GS 50-999 Predicted Monthly'!$V$11</f>
        <v>7703596.3416916775</v>
      </c>
      <c r="M120" s="18">
        <f ca="1">F120*'GS 50-999 Predicted Monthly'!$V$12</f>
        <v>64764.797979132403</v>
      </c>
      <c r="N120" s="18">
        <f>G120*'GS 50-999 Predicted Monthly'!$V$13</f>
        <v>0</v>
      </c>
      <c r="O120" s="18">
        <f>H120*'GS 50-999 Predicted Monthly'!$V$14</f>
        <v>6157976.2955174251</v>
      </c>
      <c r="P120" s="18">
        <f>I120*'GS 50-999 Predicted Monthly'!$V$15</f>
        <v>22222857.190066528</v>
      </c>
      <c r="Q120" s="18">
        <f t="shared" ca="1" si="8"/>
        <v>28090518.059668384</v>
      </c>
      <c r="S120" s="18"/>
    </row>
    <row r="121" spans="1:19" x14ac:dyDescent="0.25">
      <c r="A121" s="3">
        <v>45627</v>
      </c>
      <c r="B121" s="1">
        <f t="shared" si="12"/>
        <v>2024</v>
      </c>
      <c r="C121" s="1">
        <f t="shared" si="13"/>
        <v>12</v>
      </c>
      <c r="D121" s="259">
        <f ca="1">'Monthly Data'!N121</f>
        <v>33772187.196194738</v>
      </c>
      <c r="E121" s="269">
        <f t="shared" ca="1" si="11"/>
        <v>577.92800724637686</v>
      </c>
      <c r="F121" s="269">
        <f t="shared" ca="1" si="11"/>
        <v>0</v>
      </c>
      <c r="G121" s="269">
        <f>'Monthly Data'!CG121</f>
        <v>0</v>
      </c>
      <c r="H121" s="18">
        <f>'Monthly Data'!AL121</f>
        <v>882184.85199999996</v>
      </c>
      <c r="I121" s="18">
        <f>'Monthly Data'!CD121</f>
        <v>31</v>
      </c>
      <c r="K121" s="18">
        <f>'GS 50-999 Predicted Monthly'!$V$10</f>
        <v>-8058676.5655863797</v>
      </c>
      <c r="L121" s="18">
        <f ca="1">E121*'GS 50-999 Predicted Monthly'!$V$11</f>
        <v>10435564.730530098</v>
      </c>
      <c r="M121" s="18">
        <f ca="1">F121*'GS 50-999 Predicted Monthly'!$V$12</f>
        <v>0</v>
      </c>
      <c r="N121" s="18">
        <f>G121*'GS 50-999 Predicted Monthly'!$V$13</f>
        <v>0</v>
      </c>
      <c r="O121" s="18">
        <f>H121*'GS 50-999 Predicted Monthly'!$V$14</f>
        <v>6157976.2955174251</v>
      </c>
      <c r="P121" s="18">
        <f>I121*'GS 50-999 Predicted Monthly'!$V$15</f>
        <v>22963619.096402079</v>
      </c>
      <c r="Q121" s="18">
        <f t="shared" ca="1" si="8"/>
        <v>31498483.556863222</v>
      </c>
      <c r="S121" s="18"/>
    </row>
    <row r="122" spans="1:19" x14ac:dyDescent="0.25">
      <c r="A122" s="3">
        <v>45658</v>
      </c>
      <c r="B122" s="1">
        <f t="shared" si="12"/>
        <v>2025</v>
      </c>
      <c r="C122" s="1">
        <f t="shared" si="13"/>
        <v>1</v>
      </c>
      <c r="D122" s="259"/>
      <c r="E122" s="269">
        <f t="shared" ca="1" si="11"/>
        <v>697.33418478260876</v>
      </c>
      <c r="F122" s="269">
        <f t="shared" ca="1" si="11"/>
        <v>0</v>
      </c>
      <c r="G122" s="269"/>
      <c r="H122" s="18">
        <f>Economic!K124</f>
        <v>882271.6179999999</v>
      </c>
      <c r="I122" s="18">
        <f>I74</f>
        <v>31</v>
      </c>
      <c r="K122" s="18">
        <f>'GS 50-999 Predicted Monthly'!$V$10</f>
        <v>-8058676.5655863797</v>
      </c>
      <c r="L122" s="18">
        <f ca="1">E122*'GS 50-999 Predicted Monthly'!$V$11</f>
        <v>12591665.281603241</v>
      </c>
      <c r="M122" s="18">
        <f ca="1">F122*'GS 50-999 Predicted Monthly'!$V$12</f>
        <v>0</v>
      </c>
      <c r="N122" s="18">
        <f>G122*'GS 50-999 Predicted Monthly'!$V$13</f>
        <v>0</v>
      </c>
      <c r="O122" s="18">
        <f>H122*'GS 50-999 Predicted Monthly'!$V$14</f>
        <v>6158581.954263486</v>
      </c>
      <c r="P122" s="18">
        <f>I122*'GS 50-999 Predicted Monthly'!$V$15</f>
        <v>22963619.096402079</v>
      </c>
      <c r="Q122" s="18">
        <f t="shared" ca="1" si="8"/>
        <v>33655189.766682431</v>
      </c>
      <c r="S122" s="18"/>
    </row>
    <row r="123" spans="1:19" x14ac:dyDescent="0.25">
      <c r="A123" s="3">
        <v>45689</v>
      </c>
      <c r="B123" s="1">
        <f t="shared" si="12"/>
        <v>2025</v>
      </c>
      <c r="C123" s="1">
        <f t="shared" si="13"/>
        <v>2</v>
      </c>
      <c r="D123" s="259"/>
      <c r="E123" s="269">
        <f t="shared" ca="1" si="11"/>
        <v>624.25501811594188</v>
      </c>
      <c r="F123" s="269">
        <f t="shared" ca="1" si="11"/>
        <v>0</v>
      </c>
      <c r="G123" s="269"/>
      <c r="H123" s="18">
        <f>Economic!K125</f>
        <v>882271.6179999999</v>
      </c>
      <c r="I123" s="18">
        <f t="shared" ref="I123:I145" si="14">I75</f>
        <v>28</v>
      </c>
      <c r="K123" s="18">
        <f>'GS 50-999 Predicted Monthly'!$V$10</f>
        <v>-8058676.5655863797</v>
      </c>
      <c r="L123" s="18">
        <f ca="1">E123*'GS 50-999 Predicted Monthly'!$V$11</f>
        <v>11272085.04904655</v>
      </c>
      <c r="M123" s="18">
        <f ca="1">F123*'GS 50-999 Predicted Monthly'!$V$12</f>
        <v>0</v>
      </c>
      <c r="N123" s="18">
        <f>G123*'GS 50-999 Predicted Monthly'!$V$13</f>
        <v>0</v>
      </c>
      <c r="O123" s="18">
        <f>H123*'GS 50-999 Predicted Monthly'!$V$14</f>
        <v>6158581.954263486</v>
      </c>
      <c r="P123" s="18">
        <f>I123*'GS 50-999 Predicted Monthly'!$V$15</f>
        <v>20741333.377395425</v>
      </c>
      <c r="Q123" s="18">
        <f t="shared" ca="1" si="8"/>
        <v>30113323.81511908</v>
      </c>
      <c r="S123" s="18"/>
    </row>
    <row r="124" spans="1:19" x14ac:dyDescent="0.25">
      <c r="A124" s="3">
        <v>45717</v>
      </c>
      <c r="B124" s="1">
        <f t="shared" si="12"/>
        <v>2025</v>
      </c>
      <c r="C124" s="1">
        <f t="shared" si="13"/>
        <v>3</v>
      </c>
      <c r="D124" s="259"/>
      <c r="E124" s="269">
        <f t="shared" ca="1" si="11"/>
        <v>546.13298913043491</v>
      </c>
      <c r="F124" s="269">
        <f t="shared" ca="1" si="11"/>
        <v>2.9583333333332896E-2</v>
      </c>
      <c r="G124" s="269"/>
      <c r="H124" s="18">
        <f>Economic!K126</f>
        <v>882271.6179999999</v>
      </c>
      <c r="I124" s="18">
        <f t="shared" si="14"/>
        <v>31</v>
      </c>
      <c r="K124" s="18">
        <f>'GS 50-999 Predicted Monthly'!$V$10</f>
        <v>-8058676.5655863797</v>
      </c>
      <c r="L124" s="18">
        <f ca="1">E124*'GS 50-999 Predicted Monthly'!$V$11</f>
        <v>9861446.5609708931</v>
      </c>
      <c r="M124" s="18">
        <f ca="1">F124*'GS 50-999 Predicted Monthly'!$V$12</f>
        <v>841.1012724562529</v>
      </c>
      <c r="N124" s="18">
        <f>G124*'GS 50-999 Predicted Monthly'!$V$13</f>
        <v>0</v>
      </c>
      <c r="O124" s="18">
        <f>H124*'GS 50-999 Predicted Monthly'!$V$14</f>
        <v>6158581.954263486</v>
      </c>
      <c r="P124" s="18">
        <f>I124*'GS 50-999 Predicted Monthly'!$V$15</f>
        <v>22963619.096402079</v>
      </c>
      <c r="Q124" s="18">
        <f t="shared" ca="1" si="8"/>
        <v>30925812.147322536</v>
      </c>
      <c r="S124" s="18"/>
    </row>
    <row r="125" spans="1:19" x14ac:dyDescent="0.25">
      <c r="A125" s="3">
        <v>45748</v>
      </c>
      <c r="B125" s="1">
        <f t="shared" si="12"/>
        <v>2025</v>
      </c>
      <c r="C125" s="1">
        <f t="shared" si="13"/>
        <v>4</v>
      </c>
      <c r="D125" s="259"/>
      <c r="E125" s="269">
        <f t="shared" ca="1" si="11"/>
        <v>352.41399621212122</v>
      </c>
      <c r="F125" s="269">
        <f t="shared" ca="1" si="11"/>
        <v>5.6420833333333338</v>
      </c>
      <c r="G125" s="269"/>
      <c r="H125" s="18">
        <f>Economic!K127</f>
        <v>885029.21499999997</v>
      </c>
      <c r="I125" s="18">
        <f t="shared" si="14"/>
        <v>30</v>
      </c>
      <c r="K125" s="18">
        <f>'GS 50-999 Predicted Monthly'!$V$10</f>
        <v>-8058676.5655863797</v>
      </c>
      <c r="L125" s="18">
        <f ca="1">E125*'GS 50-999 Predicted Monthly'!$V$11</f>
        <v>6363489.9560224349</v>
      </c>
      <c r="M125" s="18">
        <f ca="1">F125*'GS 50-999 Predicted Monthly'!$V$12</f>
        <v>160413.41310324351</v>
      </c>
      <c r="N125" s="18">
        <f>G125*'GS 50-999 Predicted Monthly'!$V$13</f>
        <v>0</v>
      </c>
      <c r="O125" s="18">
        <f>H125*'GS 50-999 Predicted Monthly'!$V$14</f>
        <v>6177831.0004470516</v>
      </c>
      <c r="P125" s="18">
        <f>I125*'GS 50-999 Predicted Monthly'!$V$15</f>
        <v>22222857.190066528</v>
      </c>
      <c r="Q125" s="18">
        <f t="shared" ca="1" si="8"/>
        <v>26865914.99405288</v>
      </c>
    </row>
    <row r="126" spans="1:19" x14ac:dyDescent="0.25">
      <c r="A126" s="3">
        <v>45778</v>
      </c>
      <c r="B126" s="1">
        <f t="shared" ref="B126:B145" si="15">YEAR(A126)</f>
        <v>2025</v>
      </c>
      <c r="C126" s="1">
        <f t="shared" ref="C126:C145" si="16">MONTH(A126)</f>
        <v>5</v>
      </c>
      <c r="D126" s="259"/>
      <c r="E126" s="269">
        <f t="shared" ca="1" si="11"/>
        <v>150.136897859768</v>
      </c>
      <c r="F126" s="269">
        <f t="shared" ca="1" si="11"/>
        <v>86.191046176046171</v>
      </c>
      <c r="G126" s="269"/>
      <c r="H126" s="18">
        <f>Economic!K128</f>
        <v>885029.21499999997</v>
      </c>
      <c r="I126" s="18">
        <f t="shared" si="14"/>
        <v>31</v>
      </c>
      <c r="K126" s="18">
        <f>'GS 50-999 Predicted Monthly'!$V$10</f>
        <v>-8058676.5655863797</v>
      </c>
      <c r="L126" s="18">
        <f ca="1">E126*'GS 50-999 Predicted Monthly'!$V$11</f>
        <v>2711000.8451081468</v>
      </c>
      <c r="M126" s="18">
        <f ca="1">F126*'GS 50-999 Predicted Monthly'!$V$12</f>
        <v>2450548.6855101688</v>
      </c>
      <c r="N126" s="18">
        <f>G126*'GS 50-999 Predicted Monthly'!$V$13</f>
        <v>0</v>
      </c>
      <c r="O126" s="18">
        <f>H126*'GS 50-999 Predicted Monthly'!$V$14</f>
        <v>6177831.0004470516</v>
      </c>
      <c r="P126" s="18">
        <f>I126*'GS 50-999 Predicted Monthly'!$V$15</f>
        <v>22963619.096402079</v>
      </c>
      <c r="Q126" s="18">
        <f t="shared" ca="1" si="8"/>
        <v>26244323.061881065</v>
      </c>
    </row>
    <row r="127" spans="1:19" x14ac:dyDescent="0.25">
      <c r="A127" s="3">
        <v>45809</v>
      </c>
      <c r="B127" s="1">
        <f t="shared" si="15"/>
        <v>2025</v>
      </c>
      <c r="C127" s="1">
        <f t="shared" si="16"/>
        <v>6</v>
      </c>
      <c r="D127" s="259"/>
      <c r="E127" s="269">
        <f t="shared" ca="1" si="11"/>
        <v>32.520923826173821</v>
      </c>
      <c r="F127" s="269">
        <f t="shared" ca="1" si="11"/>
        <v>194.94285087738348</v>
      </c>
      <c r="G127" s="269"/>
      <c r="H127" s="18">
        <f>Economic!K129</f>
        <v>885029.21499999997</v>
      </c>
      <c r="I127" s="18">
        <f t="shared" si="14"/>
        <v>30</v>
      </c>
      <c r="K127" s="18">
        <f>'GS 50-999 Predicted Monthly'!$V$10</f>
        <v>-8058676.5655863797</v>
      </c>
      <c r="L127" s="18">
        <f ca="1">E127*'GS 50-999 Predicted Monthly'!$V$11</f>
        <v>587225.7468567302</v>
      </c>
      <c r="M127" s="18">
        <f ca="1">F127*'GS 50-999 Predicted Monthly'!$V$12</f>
        <v>5542535.6595792416</v>
      </c>
      <c r="N127" s="18">
        <f>G127*'GS 50-999 Predicted Monthly'!$V$13</f>
        <v>0</v>
      </c>
      <c r="O127" s="18">
        <f>H127*'GS 50-999 Predicted Monthly'!$V$14</f>
        <v>6177831.0004470516</v>
      </c>
      <c r="P127" s="18">
        <f>I127*'GS 50-999 Predicted Monthly'!$V$15</f>
        <v>22222857.190066528</v>
      </c>
      <c r="Q127" s="18">
        <f t="shared" ca="1" si="8"/>
        <v>26471773.031363171</v>
      </c>
    </row>
    <row r="128" spans="1:19" x14ac:dyDescent="0.25">
      <c r="A128" s="3">
        <v>45839</v>
      </c>
      <c r="B128" s="1">
        <f t="shared" si="15"/>
        <v>2025</v>
      </c>
      <c r="C128" s="1">
        <f t="shared" si="16"/>
        <v>7</v>
      </c>
      <c r="D128" s="259"/>
      <c r="E128" s="269">
        <f t="shared" ca="1" si="11"/>
        <v>1.6179166666666653</v>
      </c>
      <c r="F128" s="269">
        <f t="shared" ca="1" si="11"/>
        <v>297.94737858727848</v>
      </c>
      <c r="G128" s="269"/>
      <c r="H128" s="18">
        <f>Economic!K130</f>
        <v>885765.78499999992</v>
      </c>
      <c r="I128" s="18">
        <f t="shared" si="14"/>
        <v>31</v>
      </c>
      <c r="K128" s="18">
        <f>'GS 50-999 Predicted Monthly'!$V$10</f>
        <v>-8058676.5655863797</v>
      </c>
      <c r="L128" s="18">
        <f ca="1">E128*'GS 50-999 Predicted Monthly'!$V$11</f>
        <v>29214.493659944223</v>
      </c>
      <c r="M128" s="18">
        <f ca="1">F128*'GS 50-999 Predicted Monthly'!$V$12</f>
        <v>8471118.3973442893</v>
      </c>
      <c r="N128" s="18">
        <f>G128*'GS 50-999 Predicted Monthly'!$V$13</f>
        <v>0</v>
      </c>
      <c r="O128" s="18">
        <f>H128*'GS 50-999 Predicted Monthly'!$V$14</f>
        <v>6182972.5312608108</v>
      </c>
      <c r="P128" s="18">
        <f>I128*'GS 50-999 Predicted Monthly'!$V$15</f>
        <v>22963619.096402079</v>
      </c>
      <c r="Q128" s="18">
        <f t="shared" ca="1" si="8"/>
        <v>29588247.953080744</v>
      </c>
    </row>
    <row r="129" spans="1:17" x14ac:dyDescent="0.25">
      <c r="A129" s="3">
        <v>45870</v>
      </c>
      <c r="B129" s="1">
        <f t="shared" si="15"/>
        <v>2025</v>
      </c>
      <c r="C129" s="1">
        <f t="shared" si="16"/>
        <v>8</v>
      </c>
      <c r="D129" s="259"/>
      <c r="E129" s="269">
        <f t="shared" ca="1" si="11"/>
        <v>5.6499999999999977</v>
      </c>
      <c r="F129" s="269">
        <f t="shared" ca="1" si="11"/>
        <v>272.96558794466404</v>
      </c>
      <c r="G129" s="269"/>
      <c r="H129" s="18">
        <f>Economic!K131</f>
        <v>885765.78499999992</v>
      </c>
      <c r="I129" s="18">
        <f t="shared" si="14"/>
        <v>31</v>
      </c>
      <c r="K129" s="18">
        <f>'GS 50-999 Predicted Monthly'!$V$10</f>
        <v>-8058676.5655863797</v>
      </c>
      <c r="L129" s="18">
        <f ca="1">E129*'GS 50-999 Predicted Monthly'!$V$11</f>
        <v>102021.25522246814</v>
      </c>
      <c r="M129" s="18">
        <f ca="1">F129*'GS 50-999 Predicted Monthly'!$V$12</f>
        <v>7760846.3106601536</v>
      </c>
      <c r="N129" s="18">
        <f>G129*'GS 50-999 Predicted Monthly'!$V$13</f>
        <v>0</v>
      </c>
      <c r="O129" s="18">
        <f>H129*'GS 50-999 Predicted Monthly'!$V$14</f>
        <v>6182972.5312608108</v>
      </c>
      <c r="P129" s="18">
        <f>I129*'GS 50-999 Predicted Monthly'!$V$15</f>
        <v>22963619.096402079</v>
      </c>
      <c r="Q129" s="18">
        <f t="shared" ca="1" si="8"/>
        <v>28950782.627959132</v>
      </c>
    </row>
    <row r="130" spans="1:17" x14ac:dyDescent="0.25">
      <c r="A130" s="3">
        <v>45901</v>
      </c>
      <c r="B130" s="1">
        <f t="shared" si="15"/>
        <v>2025</v>
      </c>
      <c r="C130" s="1">
        <f t="shared" si="16"/>
        <v>9</v>
      </c>
      <c r="D130" s="259"/>
      <c r="E130" s="269">
        <f t="shared" ca="1" si="11"/>
        <v>54.959440993788824</v>
      </c>
      <c r="F130" s="269">
        <f t="shared" ca="1" si="11"/>
        <v>158.67014233954447</v>
      </c>
      <c r="G130" s="269"/>
      <c r="H130" s="18">
        <f>Economic!K132</f>
        <v>885765.78499999992</v>
      </c>
      <c r="I130" s="18">
        <f t="shared" si="14"/>
        <v>30</v>
      </c>
      <c r="K130" s="18">
        <f>'GS 50-999 Predicted Monthly'!$V$10</f>
        <v>-8058676.5655863797</v>
      </c>
      <c r="L130" s="18">
        <f ca="1">E130*'GS 50-999 Predicted Monthly'!$V$11</f>
        <v>992394.89495778945</v>
      </c>
      <c r="M130" s="18">
        <f ca="1">F130*'GS 50-999 Predicted Monthly'!$V$12</f>
        <v>4511244.798510679</v>
      </c>
      <c r="N130" s="18">
        <f>G130*'GS 50-999 Predicted Monthly'!$V$13</f>
        <v>0</v>
      </c>
      <c r="O130" s="18">
        <f>H130*'GS 50-999 Predicted Monthly'!$V$14</f>
        <v>6182972.5312608108</v>
      </c>
      <c r="P130" s="18">
        <f>I130*'GS 50-999 Predicted Monthly'!$V$15</f>
        <v>22222857.190066528</v>
      </c>
      <c r="Q130" s="18">
        <f t="shared" ca="1" si="8"/>
        <v>25850792.849209428</v>
      </c>
    </row>
    <row r="131" spans="1:17" x14ac:dyDescent="0.25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1"/>
        <v>237.89681159420289</v>
      </c>
      <c r="F131" s="269">
        <f t="shared" ca="1" si="11"/>
        <v>35.32833333333334</v>
      </c>
      <c r="G131" s="269"/>
      <c r="H131" s="18">
        <f>Economic!K133</f>
        <v>890124.51566799986</v>
      </c>
      <c r="I131" s="18">
        <f t="shared" si="14"/>
        <v>31</v>
      </c>
      <c r="K131" s="18">
        <f>'GS 50-999 Predicted Monthly'!$V$10</f>
        <v>-8058676.5655863797</v>
      </c>
      <c r="L131" s="18">
        <f ca="1">E131*'GS 50-999 Predicted Monthly'!$V$11</f>
        <v>4295669.2623475399</v>
      </c>
      <c r="M131" s="18">
        <f ca="1">F131*'GS 50-999 Predicted Monthly'!$V$12</f>
        <v>1004440.7702679132</v>
      </c>
      <c r="N131" s="18">
        <f>G131*'GS 50-999 Predicted Monthly'!$V$13</f>
        <v>0</v>
      </c>
      <c r="O131" s="18">
        <f>H131*'GS 50-999 Predicted Monthly'!$V$14</f>
        <v>6213398.0821770811</v>
      </c>
      <c r="P131" s="18">
        <f>I131*'GS 50-999 Predicted Monthly'!$V$15</f>
        <v>22963619.096402079</v>
      </c>
      <c r="Q131" s="18">
        <f t="shared" ref="Q131:Q145" ca="1" si="17">SUM(K131:P131)</f>
        <v>26418450.645608231</v>
      </c>
    </row>
    <row r="132" spans="1:17" x14ac:dyDescent="0.25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1"/>
        <v>426.62991389045737</v>
      </c>
      <c r="F132" s="269">
        <f t="shared" ca="1" si="11"/>
        <v>2.2779166666666657</v>
      </c>
      <c r="G132" s="269"/>
      <c r="H132" s="18">
        <f>Economic!K134</f>
        <v>890124.51566799986</v>
      </c>
      <c r="I132" s="18">
        <f t="shared" si="14"/>
        <v>30</v>
      </c>
      <c r="K132" s="18">
        <f>'GS 50-999 Predicted Monthly'!$V$10</f>
        <v>-8058676.5655863797</v>
      </c>
      <c r="L132" s="18">
        <f ca="1">E132*'GS 50-999 Predicted Monthly'!$V$11</f>
        <v>7703596.3416916775</v>
      </c>
      <c r="M132" s="18">
        <f ca="1">F132*'GS 50-999 Predicted Monthly'!$V$12</f>
        <v>64764.797979132403</v>
      </c>
      <c r="N132" s="18">
        <f>G132*'GS 50-999 Predicted Monthly'!$V$13</f>
        <v>0</v>
      </c>
      <c r="O132" s="18">
        <f>H132*'GS 50-999 Predicted Monthly'!$V$14</f>
        <v>6213398.0821770811</v>
      </c>
      <c r="P132" s="18">
        <f>I132*'GS 50-999 Predicted Monthly'!$V$15</f>
        <v>22222857.190066528</v>
      </c>
      <c r="Q132" s="18">
        <f t="shared" ca="1" si="17"/>
        <v>28145939.846328039</v>
      </c>
    </row>
    <row r="133" spans="1:17" x14ac:dyDescent="0.25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1"/>
        <v>577.92800724637686</v>
      </c>
      <c r="F133" s="269">
        <f t="shared" ca="1" si="11"/>
        <v>0</v>
      </c>
      <c r="G133" s="269"/>
      <c r="H133" s="18">
        <f>Economic!K135</f>
        <v>890124.51566799986</v>
      </c>
      <c r="I133" s="18">
        <f t="shared" si="14"/>
        <v>31</v>
      </c>
      <c r="K133" s="18">
        <f>'GS 50-999 Predicted Monthly'!$V$10</f>
        <v>-8058676.5655863797</v>
      </c>
      <c r="L133" s="18">
        <f ca="1">E133*'GS 50-999 Predicted Monthly'!$V$11</f>
        <v>10435564.730530098</v>
      </c>
      <c r="M133" s="18">
        <f ca="1">F133*'GS 50-999 Predicted Monthly'!$V$12</f>
        <v>0</v>
      </c>
      <c r="N133" s="18">
        <f>G133*'GS 50-999 Predicted Monthly'!$V$13</f>
        <v>0</v>
      </c>
      <c r="O133" s="18">
        <f>H133*'GS 50-999 Predicted Monthly'!$V$14</f>
        <v>6213398.0821770811</v>
      </c>
      <c r="P133" s="18">
        <f>I133*'GS 50-999 Predicted Monthly'!$V$15</f>
        <v>22963619.096402079</v>
      </c>
      <c r="Q133" s="18">
        <f t="shared" ca="1" si="17"/>
        <v>31553905.343522877</v>
      </c>
    </row>
    <row r="134" spans="1:17" x14ac:dyDescent="0.25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ref="E134:F145" ca="1" si="18">E122</f>
        <v>697.33418478260876</v>
      </c>
      <c r="F134" s="269">
        <f t="shared" ca="1" si="18"/>
        <v>0</v>
      </c>
      <c r="G134" s="269"/>
      <c r="H134" s="18">
        <f>Economic!K136</f>
        <v>890212.06256199977</v>
      </c>
      <c r="I134" s="18">
        <f t="shared" si="14"/>
        <v>31</v>
      </c>
      <c r="K134" s="18">
        <f>'GS 50-999 Predicted Monthly'!$V$10</f>
        <v>-8058676.5655863797</v>
      </c>
      <c r="L134" s="18">
        <f ca="1">E134*'GS 50-999 Predicted Monthly'!$V$11</f>
        <v>12591665.281603241</v>
      </c>
      <c r="M134" s="18">
        <f ca="1">F134*'GS 50-999 Predicted Monthly'!$V$12</f>
        <v>0</v>
      </c>
      <c r="N134" s="18">
        <f>G134*'GS 50-999 Predicted Monthly'!$V$13</f>
        <v>0</v>
      </c>
      <c r="O134" s="18">
        <f>H134*'GS 50-999 Predicted Monthly'!$V$14</f>
        <v>6214009.1918518562</v>
      </c>
      <c r="P134" s="18">
        <f>I134*'GS 50-999 Predicted Monthly'!$V$15</f>
        <v>22963619.096402079</v>
      </c>
      <c r="Q134" s="18">
        <f t="shared" ca="1" si="17"/>
        <v>33710617.004270792</v>
      </c>
    </row>
    <row r="135" spans="1:17" x14ac:dyDescent="0.25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8"/>
        <v>624.25501811594188</v>
      </c>
      <c r="F135" s="269">
        <f t="shared" ca="1" si="18"/>
        <v>0</v>
      </c>
      <c r="G135" s="269"/>
      <c r="H135" s="18">
        <f>Economic!K137</f>
        <v>890212.06256199977</v>
      </c>
      <c r="I135" s="18">
        <f t="shared" si="14"/>
        <v>28</v>
      </c>
      <c r="K135" s="18">
        <f>'GS 50-999 Predicted Monthly'!$V$10</f>
        <v>-8058676.5655863797</v>
      </c>
      <c r="L135" s="18">
        <f ca="1">E135*'GS 50-999 Predicted Monthly'!$V$11</f>
        <v>11272085.04904655</v>
      </c>
      <c r="M135" s="18">
        <f ca="1">F135*'GS 50-999 Predicted Monthly'!$V$12</f>
        <v>0</v>
      </c>
      <c r="N135" s="18">
        <f>G135*'GS 50-999 Predicted Monthly'!$V$13</f>
        <v>0</v>
      </c>
      <c r="O135" s="18">
        <f>H135*'GS 50-999 Predicted Monthly'!$V$14</f>
        <v>6214009.1918518562</v>
      </c>
      <c r="P135" s="18">
        <f>I135*'GS 50-999 Predicted Monthly'!$V$15</f>
        <v>20741333.377395425</v>
      </c>
      <c r="Q135" s="18">
        <f t="shared" ca="1" si="17"/>
        <v>30168751.052707452</v>
      </c>
    </row>
    <row r="136" spans="1:17" x14ac:dyDescent="0.25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8"/>
        <v>546.13298913043491</v>
      </c>
      <c r="F136" s="269">
        <f t="shared" ca="1" si="18"/>
        <v>2.9583333333332896E-2</v>
      </c>
      <c r="G136" s="269"/>
      <c r="H136" s="18">
        <f>Economic!K138</f>
        <v>890212.06256199977</v>
      </c>
      <c r="I136" s="18">
        <f t="shared" si="14"/>
        <v>31</v>
      </c>
      <c r="K136" s="18">
        <f>'GS 50-999 Predicted Monthly'!$V$10</f>
        <v>-8058676.5655863797</v>
      </c>
      <c r="L136" s="18">
        <f ca="1">E136*'GS 50-999 Predicted Monthly'!$V$11</f>
        <v>9861446.5609708931</v>
      </c>
      <c r="M136" s="18">
        <f ca="1">F136*'GS 50-999 Predicted Monthly'!$V$12</f>
        <v>841.1012724562529</v>
      </c>
      <c r="N136" s="18">
        <f>G136*'GS 50-999 Predicted Monthly'!$V$13</f>
        <v>0</v>
      </c>
      <c r="O136" s="18">
        <f>H136*'GS 50-999 Predicted Monthly'!$V$14</f>
        <v>6214009.1918518562</v>
      </c>
      <c r="P136" s="18">
        <f>I136*'GS 50-999 Predicted Monthly'!$V$15</f>
        <v>22963619.096402079</v>
      </c>
      <c r="Q136" s="18">
        <f t="shared" ca="1" si="17"/>
        <v>30981239.384910904</v>
      </c>
    </row>
    <row r="137" spans="1:17" x14ac:dyDescent="0.25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8"/>
        <v>352.41399621212122</v>
      </c>
      <c r="F137" s="269">
        <f t="shared" ca="1" si="18"/>
        <v>5.6420833333333338</v>
      </c>
      <c r="G137" s="269"/>
      <c r="H137" s="18">
        <f>Economic!K139</f>
        <v>892994.47793499986</v>
      </c>
      <c r="I137" s="18">
        <f t="shared" si="14"/>
        <v>30</v>
      </c>
      <c r="K137" s="18">
        <f>'GS 50-999 Predicted Monthly'!$V$10</f>
        <v>-8058676.5655863797</v>
      </c>
      <c r="L137" s="18">
        <f ca="1">E137*'GS 50-999 Predicted Monthly'!$V$11</f>
        <v>6363489.9560224349</v>
      </c>
      <c r="M137" s="18">
        <f ca="1">F137*'GS 50-999 Predicted Monthly'!$V$12</f>
        <v>160413.41310324351</v>
      </c>
      <c r="N137" s="18">
        <f>G137*'GS 50-999 Predicted Monthly'!$V$13</f>
        <v>0</v>
      </c>
      <c r="O137" s="18">
        <f>H137*'GS 50-999 Predicted Monthly'!$V$14</f>
        <v>6233431.4794510743</v>
      </c>
      <c r="P137" s="18">
        <f>I137*'GS 50-999 Predicted Monthly'!$V$15</f>
        <v>22222857.190066528</v>
      </c>
      <c r="Q137" s="18">
        <f t="shared" ca="1" si="17"/>
        <v>26921515.473056901</v>
      </c>
    </row>
    <row r="138" spans="1:17" x14ac:dyDescent="0.25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8"/>
        <v>150.136897859768</v>
      </c>
      <c r="F138" s="269">
        <f t="shared" ca="1" si="18"/>
        <v>86.191046176046171</v>
      </c>
      <c r="G138" s="269"/>
      <c r="H138" s="18">
        <f>Economic!K140</f>
        <v>892994.47793499986</v>
      </c>
      <c r="I138" s="18">
        <f t="shared" si="14"/>
        <v>31</v>
      </c>
      <c r="K138" s="18">
        <f>'GS 50-999 Predicted Monthly'!$V$10</f>
        <v>-8058676.5655863797</v>
      </c>
      <c r="L138" s="18">
        <f ca="1">E138*'GS 50-999 Predicted Monthly'!$V$11</f>
        <v>2711000.8451081468</v>
      </c>
      <c r="M138" s="18">
        <f ca="1">F138*'GS 50-999 Predicted Monthly'!$V$12</f>
        <v>2450548.6855101688</v>
      </c>
      <c r="N138" s="18">
        <f>G138*'GS 50-999 Predicted Monthly'!$V$13</f>
        <v>0</v>
      </c>
      <c r="O138" s="18">
        <f>H138*'GS 50-999 Predicted Monthly'!$V$14</f>
        <v>6233431.4794510743</v>
      </c>
      <c r="P138" s="18">
        <f>I138*'GS 50-999 Predicted Monthly'!$V$15</f>
        <v>22963619.096402079</v>
      </c>
      <c r="Q138" s="18">
        <f t="shared" ca="1" si="17"/>
        <v>26299923.540885091</v>
      </c>
    </row>
    <row r="139" spans="1:17" x14ac:dyDescent="0.25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8"/>
        <v>32.520923826173821</v>
      </c>
      <c r="F139" s="269">
        <f t="shared" ca="1" si="18"/>
        <v>194.94285087738348</v>
      </c>
      <c r="G139" s="269"/>
      <c r="H139" s="18">
        <f>Economic!K141</f>
        <v>892994.47793499986</v>
      </c>
      <c r="I139" s="18">
        <f t="shared" si="14"/>
        <v>30</v>
      </c>
      <c r="K139" s="18">
        <f>'GS 50-999 Predicted Monthly'!$V$10</f>
        <v>-8058676.5655863797</v>
      </c>
      <c r="L139" s="18">
        <f ca="1">E139*'GS 50-999 Predicted Monthly'!$V$11</f>
        <v>587225.7468567302</v>
      </c>
      <c r="M139" s="18">
        <f ca="1">F139*'GS 50-999 Predicted Monthly'!$V$12</f>
        <v>5542535.6595792416</v>
      </c>
      <c r="N139" s="18">
        <f>G139*'GS 50-999 Predicted Monthly'!$V$13</f>
        <v>0</v>
      </c>
      <c r="O139" s="18">
        <f>H139*'GS 50-999 Predicted Monthly'!$V$14</f>
        <v>6233431.4794510743</v>
      </c>
      <c r="P139" s="18">
        <f>I139*'GS 50-999 Predicted Monthly'!$V$15</f>
        <v>22222857.190066528</v>
      </c>
      <c r="Q139" s="18">
        <f t="shared" ca="1" si="17"/>
        <v>26527373.510367192</v>
      </c>
    </row>
    <row r="140" spans="1:17" x14ac:dyDescent="0.25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8"/>
        <v>1.6179166666666653</v>
      </c>
      <c r="F140" s="269">
        <f t="shared" ca="1" si="18"/>
        <v>297.94737858727848</v>
      </c>
      <c r="G140" s="269"/>
      <c r="H140" s="18">
        <f>Economic!K142</f>
        <v>893737.67706499982</v>
      </c>
      <c r="I140" s="18">
        <f t="shared" si="14"/>
        <v>31</v>
      </c>
      <c r="K140" s="18">
        <f>'GS 50-999 Predicted Monthly'!$V$10</f>
        <v>-8058676.5655863797</v>
      </c>
      <c r="L140" s="18">
        <f ca="1">E140*'GS 50-999 Predicted Monthly'!$V$11</f>
        <v>29214.493659944223</v>
      </c>
      <c r="M140" s="18">
        <f ca="1">F140*'GS 50-999 Predicted Monthly'!$V$12</f>
        <v>8471118.3973442893</v>
      </c>
      <c r="N140" s="18">
        <f>G140*'GS 50-999 Predicted Monthly'!$V$13</f>
        <v>0</v>
      </c>
      <c r="O140" s="18">
        <f>H140*'GS 50-999 Predicted Monthly'!$V$14</f>
        <v>6238619.2840421572</v>
      </c>
      <c r="P140" s="18">
        <f>I140*'GS 50-999 Predicted Monthly'!$V$15</f>
        <v>22963619.096402079</v>
      </c>
      <c r="Q140" s="18">
        <f t="shared" ca="1" si="17"/>
        <v>29643894.70586209</v>
      </c>
    </row>
    <row r="141" spans="1:17" x14ac:dyDescent="0.25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8"/>
        <v>5.6499999999999977</v>
      </c>
      <c r="F141" s="269">
        <f t="shared" ca="1" si="18"/>
        <v>272.96558794466404</v>
      </c>
      <c r="G141" s="269"/>
      <c r="H141" s="18">
        <f>Economic!K143</f>
        <v>893737.67706499982</v>
      </c>
      <c r="I141" s="18">
        <f t="shared" si="14"/>
        <v>31</v>
      </c>
      <c r="K141" s="18">
        <f>'GS 50-999 Predicted Monthly'!$V$10</f>
        <v>-8058676.5655863797</v>
      </c>
      <c r="L141" s="18">
        <f ca="1">E141*'GS 50-999 Predicted Monthly'!$V$11</f>
        <v>102021.25522246814</v>
      </c>
      <c r="M141" s="18">
        <f ca="1">F141*'GS 50-999 Predicted Monthly'!$V$12</f>
        <v>7760846.3106601536</v>
      </c>
      <c r="N141" s="18">
        <f>G141*'GS 50-999 Predicted Monthly'!$V$13</f>
        <v>0</v>
      </c>
      <c r="O141" s="18">
        <f>H141*'GS 50-999 Predicted Monthly'!$V$14</f>
        <v>6238619.2840421572</v>
      </c>
      <c r="P141" s="18">
        <f>I141*'GS 50-999 Predicted Monthly'!$V$15</f>
        <v>22963619.096402079</v>
      </c>
      <c r="Q141" s="18">
        <f t="shared" ca="1" si="17"/>
        <v>29006429.380740479</v>
      </c>
    </row>
    <row r="142" spans="1:17" x14ac:dyDescent="0.25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8"/>
        <v>54.959440993788824</v>
      </c>
      <c r="F142" s="269">
        <f t="shared" ca="1" si="18"/>
        <v>158.67014233954447</v>
      </c>
      <c r="G142" s="269"/>
      <c r="H142" s="18">
        <f>Economic!K144</f>
        <v>893737.67706499982</v>
      </c>
      <c r="I142" s="18">
        <f t="shared" si="14"/>
        <v>30</v>
      </c>
      <c r="K142" s="18">
        <f>'GS 50-999 Predicted Monthly'!$V$10</f>
        <v>-8058676.5655863797</v>
      </c>
      <c r="L142" s="18">
        <f ca="1">E142*'GS 50-999 Predicted Monthly'!$V$11</f>
        <v>992394.89495778945</v>
      </c>
      <c r="M142" s="18">
        <f ca="1">F142*'GS 50-999 Predicted Monthly'!$V$12</f>
        <v>4511244.798510679</v>
      </c>
      <c r="N142" s="18">
        <f>G142*'GS 50-999 Predicted Monthly'!$V$13</f>
        <v>0</v>
      </c>
      <c r="O142" s="18">
        <f>H142*'GS 50-999 Predicted Monthly'!$V$14</f>
        <v>6238619.2840421572</v>
      </c>
      <c r="P142" s="18">
        <f>I142*'GS 50-999 Predicted Monthly'!$V$15</f>
        <v>22222857.190066528</v>
      </c>
      <c r="Q142" s="18">
        <f t="shared" ca="1" si="17"/>
        <v>25906439.601990774</v>
      </c>
    </row>
    <row r="143" spans="1:17" x14ac:dyDescent="0.25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ca="1" si="18"/>
        <v>237.89681159420289</v>
      </c>
      <c r="F143" s="269">
        <f t="shared" ca="1" si="18"/>
        <v>35.32833333333334</v>
      </c>
      <c r="G143" s="269"/>
      <c r="H143" s="18">
        <f>Economic!K145</f>
        <v>898135.63630901172</v>
      </c>
      <c r="I143" s="18">
        <f t="shared" si="14"/>
        <v>31</v>
      </c>
      <c r="K143" s="18">
        <f>'GS 50-999 Predicted Monthly'!$V$10</f>
        <v>-8058676.5655863797</v>
      </c>
      <c r="L143" s="18">
        <f ca="1">E143*'GS 50-999 Predicted Monthly'!$V$11</f>
        <v>4295669.2623475399</v>
      </c>
      <c r="M143" s="18">
        <f ca="1">F143*'GS 50-999 Predicted Monthly'!$V$12</f>
        <v>1004440.7702679132</v>
      </c>
      <c r="N143" s="18">
        <f>G143*'GS 50-999 Predicted Monthly'!$V$13</f>
        <v>0</v>
      </c>
      <c r="O143" s="18">
        <f>H143*'GS 50-999 Predicted Monthly'!$V$14</f>
        <v>6269318.6649166737</v>
      </c>
      <c r="P143" s="18">
        <f>I143*'GS 50-999 Predicted Monthly'!$V$15</f>
        <v>22963619.096402079</v>
      </c>
      <c r="Q143" s="18">
        <f t="shared" ca="1" si="17"/>
        <v>26474371.228347827</v>
      </c>
    </row>
    <row r="144" spans="1:17" x14ac:dyDescent="0.25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426.62991389045737</v>
      </c>
      <c r="F144" s="269">
        <f t="shared" ca="1" si="18"/>
        <v>2.2779166666666657</v>
      </c>
      <c r="G144" s="269"/>
      <c r="H144" s="18">
        <f>Economic!K146</f>
        <v>898135.63630901172</v>
      </c>
      <c r="I144" s="18">
        <f t="shared" si="14"/>
        <v>30</v>
      </c>
      <c r="K144" s="18">
        <f>'GS 50-999 Predicted Monthly'!$V$10</f>
        <v>-8058676.5655863797</v>
      </c>
      <c r="L144" s="18">
        <f ca="1">E144*'GS 50-999 Predicted Monthly'!$V$11</f>
        <v>7703596.3416916775</v>
      </c>
      <c r="M144" s="18">
        <f ca="1">F144*'GS 50-999 Predicted Monthly'!$V$12</f>
        <v>64764.797979132403</v>
      </c>
      <c r="N144" s="18">
        <f>G144*'GS 50-999 Predicted Monthly'!$V$13</f>
        <v>0</v>
      </c>
      <c r="O144" s="18">
        <f>H144*'GS 50-999 Predicted Monthly'!$V$14</f>
        <v>6269318.6649166737</v>
      </c>
      <c r="P144" s="18">
        <f>I144*'GS 50-999 Predicted Monthly'!$V$15</f>
        <v>22222857.190066528</v>
      </c>
      <c r="Q144" s="18">
        <f t="shared" ca="1" si="17"/>
        <v>28201860.42906763</v>
      </c>
    </row>
    <row r="145" spans="1:17" x14ac:dyDescent="0.25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577.92800724637686</v>
      </c>
      <c r="F145" s="269">
        <f t="shared" ca="1" si="18"/>
        <v>0</v>
      </c>
      <c r="G145" s="269"/>
      <c r="H145" s="18">
        <f>Economic!K147</f>
        <v>898135.63630901172</v>
      </c>
      <c r="I145" s="18">
        <f t="shared" si="14"/>
        <v>31</v>
      </c>
      <c r="K145" s="18">
        <f>'GS 50-999 Predicted Monthly'!$V$10</f>
        <v>-8058676.5655863797</v>
      </c>
      <c r="L145" s="18">
        <f ca="1">E145*'GS 50-999 Predicted Monthly'!$V$11</f>
        <v>10435564.730530098</v>
      </c>
      <c r="M145" s="18">
        <f ca="1">F145*'GS 50-999 Predicted Monthly'!$V$12</f>
        <v>0</v>
      </c>
      <c r="N145" s="18">
        <f>G145*'GS 50-999 Predicted Monthly'!$V$13</f>
        <v>0</v>
      </c>
      <c r="O145" s="18">
        <f>H145*'GS 50-999 Predicted Monthly'!$V$14</f>
        <v>6269318.6649166737</v>
      </c>
      <c r="P145" s="18">
        <f>I145*'GS 50-999 Predicted Monthly'!$V$15</f>
        <v>22963619.096402079</v>
      </c>
      <c r="Q145" s="18">
        <f t="shared" ca="1" si="17"/>
        <v>31609825.926262472</v>
      </c>
    </row>
    <row r="195" spans="7:20" x14ac:dyDescent="0.25">
      <c r="G195" s="18"/>
      <c r="H195" s="18"/>
      <c r="I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7:20" x14ac:dyDescent="0.25">
      <c r="G196" s="18"/>
      <c r="H196" s="18"/>
      <c r="I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7:20" x14ac:dyDescent="0.25">
      <c r="G197" s="18"/>
      <c r="H197" s="18"/>
      <c r="I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7:20" x14ac:dyDescent="0.25">
      <c r="G198" s="18"/>
      <c r="H198" s="18"/>
      <c r="I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7:20" x14ac:dyDescent="0.25">
      <c r="G199" s="18"/>
      <c r="H199" s="18"/>
      <c r="I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7:20" x14ac:dyDescent="0.25">
      <c r="G200" s="18"/>
      <c r="H200" s="18"/>
      <c r="I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7:20" x14ac:dyDescent="0.25">
      <c r="G201" s="18"/>
      <c r="H201" s="18"/>
      <c r="I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7:20" x14ac:dyDescent="0.25">
      <c r="G202" s="18"/>
      <c r="H202" s="18"/>
      <c r="I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4" spans="7:20" x14ac:dyDescent="0.25"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/>
  <dimension ref="A1:R204"/>
  <sheetViews>
    <sheetView topLeftCell="J1" workbookViewId="0">
      <selection activeCell="G45" sqref="G45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8" width="9.44140625" style="1" bestFit="1" customWidth="1"/>
    <col min="9" max="9" width="9.33203125" style="1"/>
    <col min="10" max="10" width="14.77734375" style="1" bestFit="1" customWidth="1"/>
    <col min="11" max="11" width="12.88671875" style="1" bestFit="1" customWidth="1"/>
    <col min="12" max="12" width="13.88671875" style="1" bestFit="1" customWidth="1"/>
    <col min="13" max="14" width="13.77734375" style="1" customWidth="1"/>
    <col min="15" max="15" width="19.6640625" style="1" customWidth="1"/>
    <col min="16" max="16" width="13.77734375" style="1" bestFit="1" customWidth="1"/>
    <col min="17" max="17" width="12.44140625" style="1" bestFit="1" customWidth="1"/>
    <col min="18" max="16384" width="9.33203125" style="1"/>
  </cols>
  <sheetData>
    <row r="1" spans="1:15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152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409</v>
      </c>
    </row>
    <row r="2" spans="1:15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69">
        <f ca="1">Weather!BE34</f>
        <v>0</v>
      </c>
      <c r="F2" s="269">
        <f>'Monthly Data'!CG2</f>
        <v>0</v>
      </c>
      <c r="G2" s="269">
        <f>'Monthly Data'!AQ2</f>
        <v>201.9</v>
      </c>
      <c r="H2" s="269">
        <f>'Monthly Data'!CD2</f>
        <v>31</v>
      </c>
      <c r="J2" s="18">
        <f>'GS 1k-4,999 Predicted Monthly'!$T$10</f>
        <v>1375460.7545834701</v>
      </c>
      <c r="K2" s="18">
        <f ca="1">E2*'GS 1k-4,999 Predicted Monthly'!$T$11</f>
        <v>0</v>
      </c>
      <c r="L2" s="18">
        <f>F2*'GS 1k-4,999 Predicted Monthly'!$T$12</f>
        <v>0</v>
      </c>
      <c r="M2" s="18">
        <f>G2*'GS 1k-4,999 Predicted Monthly'!$T$13</f>
        <v>2212653.93847065</v>
      </c>
      <c r="N2" s="18">
        <f>H2*'GS 1k-4,999 Predicted Monthly'!$T$14</f>
        <v>3509355.4704038892</v>
      </c>
      <c r="O2" s="18">
        <f ca="1">SUM(J2:N2)</f>
        <v>7097470.1634580093</v>
      </c>
    </row>
    <row r="3" spans="1:1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69">
        <f ca="1">Weather!BE35</f>
        <v>0</v>
      </c>
      <c r="F3" s="269">
        <f>'Monthly Data'!CG3</f>
        <v>0</v>
      </c>
      <c r="G3" s="269">
        <f>'Monthly Data'!AQ3</f>
        <v>200.2</v>
      </c>
      <c r="H3" s="269">
        <f>'Monthly Data'!CD3</f>
        <v>28</v>
      </c>
      <c r="J3" s="18">
        <f>'GS 1k-4,999 Predicted Monthly'!$T$10</f>
        <v>1375460.7545834701</v>
      </c>
      <c r="K3" s="18">
        <f ca="1">E3*'GS 1k-4,999 Predicted Monthly'!$T$11</f>
        <v>0</v>
      </c>
      <c r="L3" s="18">
        <f>F3*'GS 1k-4,999 Predicted Monthly'!$T$12</f>
        <v>0</v>
      </c>
      <c r="M3" s="18">
        <f>G3*'GS 1k-4,999 Predicted Monthly'!$T$13</f>
        <v>2194023.3703904115</v>
      </c>
      <c r="N3" s="18">
        <f>H3*'GS 1k-4,999 Predicted Monthly'!$T$14</f>
        <v>3169740.4248809321</v>
      </c>
      <c r="O3" s="18">
        <f t="shared" ref="O3:O66" ca="1" si="2">SUM(J3:N3)</f>
        <v>6739224.5498548131</v>
      </c>
    </row>
    <row r="4" spans="1:1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69">
        <f ca="1">Weather!BE36</f>
        <v>0</v>
      </c>
      <c r="F4" s="269">
        <f>'Monthly Data'!CG4</f>
        <v>0</v>
      </c>
      <c r="G4" s="269">
        <f>'Monthly Data'!AQ4</f>
        <v>198.4</v>
      </c>
      <c r="H4" s="269">
        <f>'Monthly Data'!CD4</f>
        <v>31</v>
      </c>
      <c r="J4" s="18">
        <f>'GS 1k-4,999 Predicted Monthly'!$T$10</f>
        <v>1375460.7545834701</v>
      </c>
      <c r="K4" s="18">
        <f ca="1">E4*'GS 1k-4,999 Predicted Monthly'!$T$11</f>
        <v>0</v>
      </c>
      <c r="L4" s="18">
        <f>F4*'GS 1k-4,999 Predicted Monthly'!$T$12</f>
        <v>0</v>
      </c>
      <c r="M4" s="18">
        <f>G4*'GS 1k-4,999 Predicted Monthly'!$T$13</f>
        <v>2174296.8865407472</v>
      </c>
      <c r="N4" s="18">
        <f>H4*'GS 1k-4,999 Predicted Monthly'!$T$14</f>
        <v>3509355.4704038892</v>
      </c>
      <c r="O4" s="18">
        <f t="shared" ca="1" si="2"/>
        <v>7059113.111528106</v>
      </c>
    </row>
    <row r="5" spans="1:1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69">
        <f ca="1">Weather!BE37</f>
        <v>0.4316666666666677</v>
      </c>
      <c r="F5" s="269">
        <f>'Monthly Data'!CG5</f>
        <v>0</v>
      </c>
      <c r="G5" s="269">
        <f>'Monthly Data'!AQ5</f>
        <v>195.5</v>
      </c>
      <c r="H5" s="269">
        <f>'Monthly Data'!CD5</f>
        <v>30</v>
      </c>
      <c r="J5" s="18">
        <f>'GS 1k-4,999 Predicted Monthly'!$T$10</f>
        <v>1375460.7545834701</v>
      </c>
      <c r="K5" s="18">
        <f ca="1">E5*'GS 1k-4,999 Predicted Monthly'!$T$11</f>
        <v>3857.0377648914441</v>
      </c>
      <c r="L5" s="18">
        <f>F5*'GS 1k-4,999 Predicted Monthly'!$T$12</f>
        <v>0</v>
      </c>
      <c r="M5" s="18">
        <f>G5*'GS 1k-4,999 Predicted Monthly'!$T$13</f>
        <v>2142515.3292274</v>
      </c>
      <c r="N5" s="18">
        <f>H5*'GS 1k-4,999 Predicted Monthly'!$T$14</f>
        <v>3396150.4552295702</v>
      </c>
      <c r="O5" s="18">
        <f t="shared" ca="1" si="2"/>
        <v>6917983.5768053317</v>
      </c>
    </row>
    <row r="6" spans="1:1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69">
        <f ca="1">Weather!BE38</f>
        <v>29.4520183982684</v>
      </c>
      <c r="F6" s="269">
        <f>'Monthly Data'!CG6</f>
        <v>0</v>
      </c>
      <c r="G6" s="269">
        <f>'Monthly Data'!AQ6</f>
        <v>193.3</v>
      </c>
      <c r="H6" s="269">
        <f>'Monthly Data'!CD6</f>
        <v>31</v>
      </c>
      <c r="J6" s="18">
        <f>'GS 1k-4,999 Predicted Monthly'!$T$10</f>
        <v>1375460.7545834701</v>
      </c>
      <c r="K6" s="18">
        <f ca="1">E6*'GS 1k-4,999 Predicted Monthly'!$T$11</f>
        <v>263160.34103721677</v>
      </c>
      <c r="L6" s="18">
        <f>F6*'GS 1k-4,999 Predicted Monthly'!$T$12</f>
        <v>0</v>
      </c>
      <c r="M6" s="18">
        <f>G6*'GS 1k-4,999 Predicted Monthly'!$T$13</f>
        <v>2118405.1823000326</v>
      </c>
      <c r="N6" s="18">
        <f>H6*'GS 1k-4,999 Predicted Monthly'!$T$14</f>
        <v>3509355.4704038892</v>
      </c>
      <c r="O6" s="18">
        <f t="shared" ca="1" si="2"/>
        <v>7266381.7483246084</v>
      </c>
    </row>
    <row r="7" spans="1:1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69">
        <f ca="1">Weather!BE39</f>
        <v>86.311049595332207</v>
      </c>
      <c r="F7" s="269">
        <f>'Monthly Data'!CG7</f>
        <v>0</v>
      </c>
      <c r="G7" s="269">
        <f>'Monthly Data'!AQ7</f>
        <v>190.8</v>
      </c>
      <c r="H7" s="269">
        <f>'Monthly Data'!CD7</f>
        <v>30</v>
      </c>
      <c r="J7" s="18">
        <f>'GS 1k-4,999 Predicted Monthly'!$T$10</f>
        <v>1375460.7545834701</v>
      </c>
      <c r="K7" s="18">
        <f ca="1">E7*'GS 1k-4,999 Predicted Monthly'!$T$11</f>
        <v>771208.44281841069</v>
      </c>
      <c r="L7" s="18">
        <f>F7*'GS 1k-4,999 Predicted Monthly'!$T$12</f>
        <v>0</v>
      </c>
      <c r="M7" s="18">
        <f>G7*'GS 1k-4,999 Predicted Monthly'!$T$13</f>
        <v>2091007.2880643883</v>
      </c>
      <c r="N7" s="18">
        <f>H7*'GS 1k-4,999 Predicted Monthly'!$T$14</f>
        <v>3396150.4552295702</v>
      </c>
      <c r="O7" s="18">
        <f t="shared" ca="1" si="2"/>
        <v>7633826.940695839</v>
      </c>
    </row>
    <row r="8" spans="1:1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69">
        <f ca="1">Weather!BE40</f>
        <v>174.0219619206118</v>
      </c>
      <c r="F8" s="269">
        <f>'Monthly Data'!CG8</f>
        <v>0</v>
      </c>
      <c r="G8" s="269">
        <f>'Monthly Data'!AQ8</f>
        <v>185.9</v>
      </c>
      <c r="H8" s="269">
        <f>'Monthly Data'!CD8</f>
        <v>31</v>
      </c>
      <c r="J8" s="18">
        <f>'GS 1k-4,999 Predicted Monthly'!$T$10</f>
        <v>1375460.7545834701</v>
      </c>
      <c r="K8" s="18">
        <f ca="1">E8*'GS 1k-4,999 Predicted Monthly'!$T$11</f>
        <v>1554924.9707682601</v>
      </c>
      <c r="L8" s="18">
        <f>F8*'GS 1k-4,999 Predicted Monthly'!$T$12</f>
        <v>0</v>
      </c>
      <c r="M8" s="18">
        <f>G8*'GS 1k-4,999 Predicted Monthly'!$T$13</f>
        <v>2037307.415362525</v>
      </c>
      <c r="N8" s="18">
        <f>H8*'GS 1k-4,999 Predicted Monthly'!$T$14</f>
        <v>3509355.4704038892</v>
      </c>
      <c r="O8" s="18">
        <f t="shared" ca="1" si="2"/>
        <v>8477048.6111181453</v>
      </c>
    </row>
    <row r="9" spans="1:1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69">
        <f ca="1">Weather!BE41</f>
        <v>149.7160046113307</v>
      </c>
      <c r="F9" s="269">
        <f>'Monthly Data'!CG9</f>
        <v>0</v>
      </c>
      <c r="G9" s="269">
        <f>'Monthly Data'!AQ9</f>
        <v>183</v>
      </c>
      <c r="H9" s="269">
        <f>'Monthly Data'!CD9</f>
        <v>31</v>
      </c>
      <c r="J9" s="18">
        <f>'GS 1k-4,999 Predicted Monthly'!$T$10</f>
        <v>1375460.7545834701</v>
      </c>
      <c r="K9" s="18">
        <f ca="1">E9*'GS 1k-4,999 Predicted Monthly'!$T$11</f>
        <v>1337745.8311843153</v>
      </c>
      <c r="L9" s="18">
        <f>F9*'GS 1k-4,999 Predicted Monthly'!$T$12</f>
        <v>0</v>
      </c>
      <c r="M9" s="18">
        <f>G9*'GS 1k-4,999 Predicted Monthly'!$T$13</f>
        <v>2005525.8580491773</v>
      </c>
      <c r="N9" s="18">
        <f>H9*'GS 1k-4,999 Predicted Monthly'!$T$14</f>
        <v>3509355.4704038892</v>
      </c>
      <c r="O9" s="18">
        <f t="shared" ca="1" si="2"/>
        <v>8228087.9142208518</v>
      </c>
    </row>
    <row r="10" spans="1:1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69">
        <f ca="1">Weather!BE42</f>
        <v>62.345178571428576</v>
      </c>
      <c r="F10" s="269">
        <f>'Monthly Data'!CG10</f>
        <v>0</v>
      </c>
      <c r="G10" s="269">
        <f>'Monthly Data'!AQ10</f>
        <v>181.7</v>
      </c>
      <c r="H10" s="269">
        <f>'Monthly Data'!CD10</f>
        <v>30</v>
      </c>
      <c r="J10" s="18">
        <f>'GS 1k-4,999 Predicted Monthly'!$T$10</f>
        <v>1375460.7545834701</v>
      </c>
      <c r="K10" s="18">
        <f ca="1">E10*'GS 1k-4,999 Predicted Monthly'!$T$11</f>
        <v>557068.04990478826</v>
      </c>
      <c r="L10" s="18">
        <f>F10*'GS 1k-4,999 Predicted Monthly'!$T$12</f>
        <v>0</v>
      </c>
      <c r="M10" s="18">
        <f>G10*'GS 1k-4,999 Predicted Monthly'!$T$13</f>
        <v>1991278.953046642</v>
      </c>
      <c r="N10" s="18">
        <f>H10*'GS 1k-4,999 Predicted Monthly'!$T$14</f>
        <v>3396150.4552295702</v>
      </c>
      <c r="O10" s="18">
        <f t="shared" ca="1" si="2"/>
        <v>7319958.2127644708</v>
      </c>
    </row>
    <row r="11" spans="1:1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69">
        <f ca="1">Weather!BE43</f>
        <v>7.1541666666666703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1375460.7545834701</v>
      </c>
      <c r="K11" s="18">
        <f ca="1">E11*'GS 1k-4,999 Predicted Monthly'!$T$11</f>
        <v>63924.071837052099</v>
      </c>
      <c r="L11" s="18">
        <f>F11*'GS 1k-4,999 Predicted Monthly'!$T$12</f>
        <v>0</v>
      </c>
      <c r="M11" s="18">
        <f>G11*'GS 1k-4,999 Predicted Monthly'!$T$13</f>
        <v>2050458.4045956342</v>
      </c>
      <c r="N11" s="18">
        <f>H11*'GS 1k-4,999 Predicted Monthly'!$T$14</f>
        <v>3509355.4704038892</v>
      </c>
      <c r="O11" s="18">
        <f t="shared" ca="1" si="2"/>
        <v>6999198.7014200455</v>
      </c>
    </row>
    <row r="12" spans="1:1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69">
        <f ca="1">Weather!BE44</f>
        <v>0.15041666666666628</v>
      </c>
      <c r="F12" s="269">
        <f>'Monthly Data'!CG12</f>
        <v>0</v>
      </c>
      <c r="G12" s="269">
        <f>'Monthly Data'!AQ12</f>
        <v>192.5</v>
      </c>
      <c r="H12" s="269">
        <f>'Monthly Data'!CD12</f>
        <v>30</v>
      </c>
      <c r="J12" s="18">
        <f>'GS 1k-4,999 Predicted Monthly'!$T$10</f>
        <v>1375460.7545834701</v>
      </c>
      <c r="K12" s="18">
        <f ca="1">E12*'GS 1k-4,999 Predicted Monthly'!$T$11</f>
        <v>1344.0064026310854</v>
      </c>
      <c r="L12" s="18">
        <f>F12*'GS 1k-4,999 Predicted Monthly'!$T$12</f>
        <v>0</v>
      </c>
      <c r="M12" s="18">
        <f>G12*'GS 1k-4,999 Predicted Monthly'!$T$13</f>
        <v>2109637.8561446266</v>
      </c>
      <c r="N12" s="18">
        <f>H12*'GS 1k-4,999 Predicted Monthly'!$T$14</f>
        <v>3396150.4552295702</v>
      </c>
      <c r="O12" s="18">
        <f t="shared" ca="1" si="2"/>
        <v>6882593.0723602977</v>
      </c>
    </row>
    <row r="13" spans="1:1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69">
        <f ca="1">Weather!BE45</f>
        <v>0</v>
      </c>
      <c r="F13" s="269">
        <f>'Monthly Data'!CG13</f>
        <v>0</v>
      </c>
      <c r="G13" s="269">
        <f>'Monthly Data'!AQ13</f>
        <v>199.4</v>
      </c>
      <c r="H13" s="269">
        <f>'Monthly Data'!CD13</f>
        <v>31</v>
      </c>
      <c r="J13" s="18">
        <f>'GS 1k-4,999 Predicted Monthly'!$T$10</f>
        <v>1375460.7545834701</v>
      </c>
      <c r="K13" s="18">
        <f ca="1">E13*'GS 1k-4,999 Predicted Monthly'!$T$11</f>
        <v>0</v>
      </c>
      <c r="L13" s="18">
        <f>F13*'GS 1k-4,999 Predicted Monthly'!$T$12</f>
        <v>0</v>
      </c>
      <c r="M13" s="18">
        <f>G13*'GS 1k-4,999 Predicted Monthly'!$T$13</f>
        <v>2185256.044235005</v>
      </c>
      <c r="N13" s="18">
        <f>H13*'GS 1k-4,999 Predicted Monthly'!$T$14</f>
        <v>3509355.4704038892</v>
      </c>
      <c r="O13" s="18">
        <f t="shared" ca="1" si="2"/>
        <v>7070072.2692223638</v>
      </c>
    </row>
    <row r="14" spans="1:1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69">
        <f ca="1">E2</f>
        <v>0</v>
      </c>
      <c r="F14" s="269">
        <f>'Monthly Data'!CG14</f>
        <v>0</v>
      </c>
      <c r="G14" s="269">
        <f>'Monthly Data'!AQ14</f>
        <v>204.2</v>
      </c>
      <c r="H14" s="269">
        <f>'Monthly Data'!CD14</f>
        <v>31</v>
      </c>
      <c r="J14" s="18">
        <f>'GS 1k-4,999 Predicted Monthly'!$T$10</f>
        <v>1375460.7545834701</v>
      </c>
      <c r="K14" s="18">
        <f ca="1">E14*'GS 1k-4,999 Predicted Monthly'!$T$11</f>
        <v>0</v>
      </c>
      <c r="L14" s="18">
        <f>F14*'GS 1k-4,999 Predicted Monthly'!$T$12</f>
        <v>0</v>
      </c>
      <c r="M14" s="18">
        <f>G14*'GS 1k-4,999 Predicted Monthly'!$T$13</f>
        <v>2237860.0011674426</v>
      </c>
      <c r="N14" s="18">
        <f>H14*'GS 1k-4,999 Predicted Monthly'!$T$14</f>
        <v>3509355.4704038892</v>
      </c>
      <c r="O14" s="18">
        <f t="shared" ca="1" si="2"/>
        <v>7122676.2261548024</v>
      </c>
    </row>
    <row r="15" spans="1:1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69">
        <f t="shared" ref="E15:E30" ca="1" si="3">E3</f>
        <v>0</v>
      </c>
      <c r="F15" s="269">
        <f>'Monthly Data'!CG15</f>
        <v>0</v>
      </c>
      <c r="G15" s="269">
        <f>'Monthly Data'!AQ15</f>
        <v>205.6</v>
      </c>
      <c r="H15" s="269">
        <f>'Monthly Data'!CD15</f>
        <v>29</v>
      </c>
      <c r="J15" s="18">
        <f>'GS 1k-4,999 Predicted Monthly'!$T$10</f>
        <v>1375460.7545834701</v>
      </c>
      <c r="K15" s="18">
        <f ca="1">E15*'GS 1k-4,999 Predicted Monthly'!$T$11</f>
        <v>0</v>
      </c>
      <c r="L15" s="18">
        <f>F15*'GS 1k-4,999 Predicted Monthly'!$T$12</f>
        <v>0</v>
      </c>
      <c r="M15" s="18">
        <f>G15*'GS 1k-4,999 Predicted Monthly'!$T$13</f>
        <v>2253202.8219394037</v>
      </c>
      <c r="N15" s="18">
        <f>H15*'GS 1k-4,999 Predicted Monthly'!$T$14</f>
        <v>3282945.4400552511</v>
      </c>
      <c r="O15" s="18">
        <f t="shared" ca="1" si="2"/>
        <v>6911609.0165781248</v>
      </c>
    </row>
    <row r="16" spans="1:1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69">
        <f t="shared" ca="1" si="3"/>
        <v>0</v>
      </c>
      <c r="F16" s="269">
        <f>'Monthly Data'!CG16</f>
        <v>0</v>
      </c>
      <c r="G16" s="269">
        <f>'Monthly Data'!AQ16</f>
        <v>206.5</v>
      </c>
      <c r="H16" s="269">
        <f>'Monthly Data'!CD16</f>
        <v>31</v>
      </c>
      <c r="J16" s="18">
        <f>'GS 1k-4,999 Predicted Monthly'!$T$10</f>
        <v>1375460.7545834701</v>
      </c>
      <c r="K16" s="18">
        <f ca="1">E16*'GS 1k-4,999 Predicted Monthly'!$T$11</f>
        <v>0</v>
      </c>
      <c r="L16" s="18">
        <f>F16*'GS 1k-4,999 Predicted Monthly'!$T$12</f>
        <v>0</v>
      </c>
      <c r="M16" s="18">
        <f>G16*'GS 1k-4,999 Predicted Monthly'!$T$13</f>
        <v>2263066.0638642358</v>
      </c>
      <c r="N16" s="18">
        <f>H16*'GS 1k-4,999 Predicted Monthly'!$T$14</f>
        <v>3509355.4704038892</v>
      </c>
      <c r="O16" s="18">
        <f t="shared" ca="1" si="2"/>
        <v>7147882.2888515946</v>
      </c>
    </row>
    <row r="17" spans="1:16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69">
        <f t="shared" ca="1" si="3"/>
        <v>0.4316666666666677</v>
      </c>
      <c r="F17" s="269">
        <f>'Monthly Data'!CG17</f>
        <v>0</v>
      </c>
      <c r="G17" s="269">
        <f>'Monthly Data'!AQ17</f>
        <v>205.8</v>
      </c>
      <c r="H17" s="269">
        <f>'Monthly Data'!CD17</f>
        <v>30</v>
      </c>
      <c r="J17" s="18">
        <f>'GS 1k-4,999 Predicted Monthly'!$T$10</f>
        <v>1375460.7545834701</v>
      </c>
      <c r="K17" s="18">
        <f ca="1">E17*'GS 1k-4,999 Predicted Monthly'!$T$11</f>
        <v>3857.0377648914441</v>
      </c>
      <c r="L17" s="18">
        <f>F17*'GS 1k-4,999 Predicted Monthly'!$T$12</f>
        <v>0</v>
      </c>
      <c r="M17" s="18">
        <f>G17*'GS 1k-4,999 Predicted Monthly'!$T$13</f>
        <v>2255394.653478255</v>
      </c>
      <c r="N17" s="18">
        <f>H17*'GS 1k-4,999 Predicted Monthly'!$T$14</f>
        <v>3396150.4552295702</v>
      </c>
      <c r="O17" s="18">
        <f t="shared" ca="1" si="2"/>
        <v>7030862.9010561872</v>
      </c>
    </row>
    <row r="18" spans="1:16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69">
        <f t="shared" ca="1" si="3"/>
        <v>29.4520183982684</v>
      </c>
      <c r="F18" s="269">
        <f>'Monthly Data'!CG18</f>
        <v>0</v>
      </c>
      <c r="G18" s="269">
        <f>'Monthly Data'!AQ18</f>
        <v>206.1</v>
      </c>
      <c r="H18" s="269">
        <f>'Monthly Data'!CD18</f>
        <v>31</v>
      </c>
      <c r="J18" s="18">
        <f>'GS 1k-4,999 Predicted Monthly'!$T$10</f>
        <v>1375460.7545834701</v>
      </c>
      <c r="K18" s="18">
        <f ca="1">E18*'GS 1k-4,999 Predicted Monthly'!$T$11</f>
        <v>263160.34103721677</v>
      </c>
      <c r="L18" s="18">
        <f>F18*'GS 1k-4,999 Predicted Monthly'!$T$12</f>
        <v>0</v>
      </c>
      <c r="M18" s="18">
        <f>G18*'GS 1k-4,999 Predicted Monthly'!$T$13</f>
        <v>2258682.4007865326</v>
      </c>
      <c r="N18" s="18">
        <f>H18*'GS 1k-4,999 Predicted Monthly'!$T$14</f>
        <v>3509355.4704038892</v>
      </c>
      <c r="O18" s="18">
        <f t="shared" ca="1" si="2"/>
        <v>7406658.9668111084</v>
      </c>
    </row>
    <row r="19" spans="1:16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69">
        <f t="shared" ca="1" si="3"/>
        <v>86.311049595332207</v>
      </c>
      <c r="F19" s="269">
        <f>'Monthly Data'!CG19</f>
        <v>0</v>
      </c>
      <c r="G19" s="269">
        <f>'Monthly Data'!AQ19</f>
        <v>204.7</v>
      </c>
      <c r="H19" s="269">
        <f>'Monthly Data'!CD19</f>
        <v>30</v>
      </c>
      <c r="J19" s="18">
        <f>'GS 1k-4,999 Predicted Monthly'!$T$10</f>
        <v>1375460.7545834701</v>
      </c>
      <c r="K19" s="18">
        <f ca="1">E19*'GS 1k-4,999 Predicted Monthly'!$T$11</f>
        <v>771208.44281841069</v>
      </c>
      <c r="L19" s="18">
        <f>F19*'GS 1k-4,999 Predicted Monthly'!$T$12</f>
        <v>0</v>
      </c>
      <c r="M19" s="18">
        <f>G19*'GS 1k-4,999 Predicted Monthly'!$T$13</f>
        <v>2243339.5800145715</v>
      </c>
      <c r="N19" s="18">
        <f>H19*'GS 1k-4,999 Predicted Monthly'!$T$14</f>
        <v>3396150.4552295702</v>
      </c>
      <c r="O19" s="18">
        <f t="shared" ca="1" si="2"/>
        <v>7786159.2326460229</v>
      </c>
      <c r="P19" s="279"/>
    </row>
    <row r="20" spans="1:16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69">
        <f t="shared" ca="1" si="3"/>
        <v>174.0219619206118</v>
      </c>
      <c r="F20" s="269">
        <f>'Monthly Data'!CG20</f>
        <v>0</v>
      </c>
      <c r="G20" s="269">
        <f>'Monthly Data'!AQ20</f>
        <v>206.5</v>
      </c>
      <c r="H20" s="269">
        <f>'Monthly Data'!CD20</f>
        <v>31</v>
      </c>
      <c r="J20" s="18">
        <f>'GS 1k-4,999 Predicted Monthly'!$T$10</f>
        <v>1375460.7545834701</v>
      </c>
      <c r="K20" s="18">
        <f ca="1">E20*'GS 1k-4,999 Predicted Monthly'!$T$11</f>
        <v>1554924.9707682601</v>
      </c>
      <c r="L20" s="18">
        <f>F20*'GS 1k-4,999 Predicted Monthly'!$T$12</f>
        <v>0</v>
      </c>
      <c r="M20" s="18">
        <f>G20*'GS 1k-4,999 Predicted Monthly'!$T$13</f>
        <v>2263066.0638642358</v>
      </c>
      <c r="N20" s="18">
        <f>H20*'GS 1k-4,999 Predicted Monthly'!$T$14</f>
        <v>3509355.4704038892</v>
      </c>
      <c r="O20" s="18">
        <f t="shared" ca="1" si="2"/>
        <v>8702807.2596198544</v>
      </c>
    </row>
    <row r="21" spans="1:16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69">
        <f t="shared" ca="1" si="3"/>
        <v>149.7160046113307</v>
      </c>
      <c r="F21" s="269">
        <f>'Monthly Data'!CG21</f>
        <v>0</v>
      </c>
      <c r="G21" s="269">
        <f>'Monthly Data'!AQ21</f>
        <v>209.3</v>
      </c>
      <c r="H21" s="269">
        <f>'Monthly Data'!CD21</f>
        <v>31</v>
      </c>
      <c r="J21" s="18">
        <f>'GS 1k-4,999 Predicted Monthly'!$T$10</f>
        <v>1375460.7545834701</v>
      </c>
      <c r="K21" s="18">
        <f ca="1">E21*'GS 1k-4,999 Predicted Monthly'!$T$11</f>
        <v>1337745.8311843153</v>
      </c>
      <c r="L21" s="18">
        <f>F21*'GS 1k-4,999 Predicted Monthly'!$T$12</f>
        <v>0</v>
      </c>
      <c r="M21" s="18">
        <f>G21*'GS 1k-4,999 Predicted Monthly'!$T$13</f>
        <v>2293751.7054081578</v>
      </c>
      <c r="N21" s="18">
        <f>H21*'GS 1k-4,999 Predicted Monthly'!$T$14</f>
        <v>3509355.4704038892</v>
      </c>
      <c r="O21" s="18">
        <f t="shared" ca="1" si="2"/>
        <v>8516313.7615798321</v>
      </c>
    </row>
    <row r="22" spans="1:16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69">
        <f t="shared" ca="1" si="3"/>
        <v>62.345178571428576</v>
      </c>
      <c r="F22" s="269">
        <f>'Monthly Data'!CG22</f>
        <v>0</v>
      </c>
      <c r="G22" s="269">
        <f>'Monthly Data'!AQ22</f>
        <v>213.5</v>
      </c>
      <c r="H22" s="269">
        <f>'Monthly Data'!CD22</f>
        <v>30</v>
      </c>
      <c r="J22" s="18">
        <f>'GS 1k-4,999 Predicted Monthly'!$T$10</f>
        <v>1375460.7545834701</v>
      </c>
      <c r="K22" s="18">
        <f ca="1">E22*'GS 1k-4,999 Predicted Monthly'!$T$11</f>
        <v>557068.04990478826</v>
      </c>
      <c r="L22" s="18">
        <f>F22*'GS 1k-4,999 Predicted Monthly'!$T$12</f>
        <v>0</v>
      </c>
      <c r="M22" s="18">
        <f>G22*'GS 1k-4,999 Predicted Monthly'!$T$13</f>
        <v>2339780.1677240403</v>
      </c>
      <c r="N22" s="18">
        <f>H22*'GS 1k-4,999 Predicted Monthly'!$T$14</f>
        <v>3396150.4552295702</v>
      </c>
      <c r="O22" s="18">
        <f t="shared" ca="1" si="2"/>
        <v>7668459.4274418689</v>
      </c>
    </row>
    <row r="23" spans="1:16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69">
        <f t="shared" ca="1" si="3"/>
        <v>7.1541666666666703</v>
      </c>
      <c r="F23" s="269">
        <f>'Monthly Data'!CG23</f>
        <v>0</v>
      </c>
      <c r="G23" s="269">
        <f>'Monthly Data'!AQ23</f>
        <v>214.3</v>
      </c>
      <c r="H23" s="269">
        <f>'Monthly Data'!CD23</f>
        <v>31</v>
      </c>
      <c r="J23" s="18">
        <f>'GS 1k-4,999 Predicted Monthly'!$T$10</f>
        <v>1375460.7545834701</v>
      </c>
      <c r="K23" s="18">
        <f ca="1">E23*'GS 1k-4,999 Predicted Monthly'!$T$11</f>
        <v>63924.071837052099</v>
      </c>
      <c r="L23" s="18">
        <f>F23*'GS 1k-4,999 Predicted Monthly'!$T$12</f>
        <v>0</v>
      </c>
      <c r="M23" s="18">
        <f>G23*'GS 1k-4,999 Predicted Monthly'!$T$13</f>
        <v>2348547.4938794468</v>
      </c>
      <c r="N23" s="18">
        <f>H23*'GS 1k-4,999 Predicted Monthly'!$T$14</f>
        <v>3509355.4704038892</v>
      </c>
      <c r="O23" s="18">
        <f t="shared" ca="1" si="2"/>
        <v>7297287.7907038582</v>
      </c>
    </row>
    <row r="24" spans="1:16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69">
        <f t="shared" ca="1" si="3"/>
        <v>0.15041666666666628</v>
      </c>
      <c r="F24" s="269">
        <f>'Monthly Data'!CG24</f>
        <v>0</v>
      </c>
      <c r="G24" s="269">
        <f>'Monthly Data'!AQ24</f>
        <v>215.1</v>
      </c>
      <c r="H24" s="269">
        <f>'Monthly Data'!CD24</f>
        <v>30</v>
      </c>
      <c r="J24" s="18">
        <f>'GS 1k-4,999 Predicted Monthly'!$T$10</f>
        <v>1375460.7545834701</v>
      </c>
      <c r="K24" s="18">
        <f ca="1">E24*'GS 1k-4,999 Predicted Monthly'!$T$11</f>
        <v>1344.0064026310854</v>
      </c>
      <c r="L24" s="18">
        <f>F24*'GS 1k-4,999 Predicted Monthly'!$T$12</f>
        <v>0</v>
      </c>
      <c r="M24" s="18">
        <f>G24*'GS 1k-4,999 Predicted Monthly'!$T$13</f>
        <v>2357314.8200348527</v>
      </c>
      <c r="N24" s="18">
        <f>H24*'GS 1k-4,999 Predicted Monthly'!$T$14</f>
        <v>3396150.4552295702</v>
      </c>
      <c r="O24" s="18">
        <f t="shared" ca="1" si="2"/>
        <v>7130270.0362505242</v>
      </c>
    </row>
    <row r="25" spans="1:16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69">
        <f t="shared" ca="1" si="3"/>
        <v>0</v>
      </c>
      <c r="F25" s="269">
        <f>'Monthly Data'!CG25</f>
        <v>0</v>
      </c>
      <c r="G25" s="269">
        <f>'Monthly Data'!AQ25</f>
        <v>215.7</v>
      </c>
      <c r="H25" s="269">
        <f>'Monthly Data'!CD25</f>
        <v>31</v>
      </c>
      <c r="J25" s="18">
        <f>'GS 1k-4,999 Predicted Monthly'!$T$10</f>
        <v>1375460.7545834701</v>
      </c>
      <c r="K25" s="18">
        <f ca="1">E25*'GS 1k-4,999 Predicted Monthly'!$T$11</f>
        <v>0</v>
      </c>
      <c r="L25" s="18">
        <f>F25*'GS 1k-4,999 Predicted Monthly'!$T$12</f>
        <v>0</v>
      </c>
      <c r="M25" s="18">
        <f>G25*'GS 1k-4,999 Predicted Monthly'!$T$13</f>
        <v>2363890.3146514073</v>
      </c>
      <c r="N25" s="18">
        <f>H25*'GS 1k-4,999 Predicted Monthly'!$T$14</f>
        <v>3509355.4704038892</v>
      </c>
      <c r="O25" s="18">
        <f t="shared" ca="1" si="2"/>
        <v>7248706.539638767</v>
      </c>
    </row>
    <row r="26" spans="1:16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69">
        <f t="shared" ca="1" si="3"/>
        <v>0</v>
      </c>
      <c r="F26" s="269">
        <f>'Monthly Data'!CG26</f>
        <v>0</v>
      </c>
      <c r="G26" s="269">
        <f>'Monthly Data'!AQ26</f>
        <v>215.5</v>
      </c>
      <c r="H26" s="269">
        <f>'Monthly Data'!CD26</f>
        <v>31</v>
      </c>
      <c r="J26" s="18">
        <f>'GS 1k-4,999 Predicted Monthly'!$T$10</f>
        <v>1375460.7545834701</v>
      </c>
      <c r="K26" s="18">
        <f ca="1">E26*'GS 1k-4,999 Predicted Monthly'!$T$11</f>
        <v>0</v>
      </c>
      <c r="L26" s="18">
        <f>F26*'GS 1k-4,999 Predicted Monthly'!$T$12</f>
        <v>0</v>
      </c>
      <c r="M26" s="18">
        <f>G26*'GS 1k-4,999 Predicted Monthly'!$T$13</f>
        <v>2361698.4831125559</v>
      </c>
      <c r="N26" s="18">
        <f>H26*'GS 1k-4,999 Predicted Monthly'!$T$14</f>
        <v>3509355.4704038892</v>
      </c>
      <c r="O26" s="18">
        <f t="shared" ca="1" si="2"/>
        <v>7246514.7080999147</v>
      </c>
    </row>
    <row r="27" spans="1:16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69">
        <f t="shared" ca="1" si="3"/>
        <v>0</v>
      </c>
      <c r="F27" s="269">
        <f>'Monthly Data'!CG27</f>
        <v>0</v>
      </c>
      <c r="G27" s="269">
        <f>'Monthly Data'!AQ27</f>
        <v>209.8</v>
      </c>
      <c r="H27" s="269">
        <f>'Monthly Data'!CD27</f>
        <v>28</v>
      </c>
      <c r="J27" s="18">
        <f>'GS 1k-4,999 Predicted Monthly'!$T$10</f>
        <v>1375460.7545834701</v>
      </c>
      <c r="K27" s="18">
        <f ca="1">E27*'GS 1k-4,999 Predicted Monthly'!$T$11</f>
        <v>0</v>
      </c>
      <c r="L27" s="18">
        <f>F27*'GS 1k-4,999 Predicted Monthly'!$T$12</f>
        <v>0</v>
      </c>
      <c r="M27" s="18">
        <f>G27*'GS 1k-4,999 Predicted Monthly'!$T$13</f>
        <v>2299231.2842552867</v>
      </c>
      <c r="N27" s="18">
        <f>H27*'GS 1k-4,999 Predicted Monthly'!$T$14</f>
        <v>3169740.4248809321</v>
      </c>
      <c r="O27" s="18">
        <f t="shared" ca="1" si="2"/>
        <v>6844432.4637196884</v>
      </c>
    </row>
    <row r="28" spans="1:16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69">
        <f t="shared" ca="1" si="3"/>
        <v>0</v>
      </c>
      <c r="F28" s="269">
        <f>'Monthly Data'!CG28</f>
        <v>0</v>
      </c>
      <c r="G28" s="269">
        <f>'Monthly Data'!AQ28</f>
        <v>203.2</v>
      </c>
      <c r="H28" s="269">
        <f>'Monthly Data'!CD28</f>
        <v>31</v>
      </c>
      <c r="J28" s="18">
        <f>'GS 1k-4,999 Predicted Monthly'!$T$10</f>
        <v>1375460.7545834701</v>
      </c>
      <c r="K28" s="18">
        <f ca="1">E28*'GS 1k-4,999 Predicted Monthly'!$T$11</f>
        <v>0</v>
      </c>
      <c r="L28" s="18">
        <f>F28*'GS 1k-4,999 Predicted Monthly'!$T$12</f>
        <v>0</v>
      </c>
      <c r="M28" s="18">
        <f>G28*'GS 1k-4,999 Predicted Monthly'!$T$13</f>
        <v>2226900.8434731849</v>
      </c>
      <c r="N28" s="18">
        <f>H28*'GS 1k-4,999 Predicted Monthly'!$T$14</f>
        <v>3509355.4704038892</v>
      </c>
      <c r="O28" s="18">
        <f t="shared" ca="1" si="2"/>
        <v>7111717.0684605446</v>
      </c>
    </row>
    <row r="29" spans="1:16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69">
        <f t="shared" ca="1" si="3"/>
        <v>0.4316666666666677</v>
      </c>
      <c r="F29" s="269">
        <f>'Monthly Data'!CG29</f>
        <v>0</v>
      </c>
      <c r="G29" s="269">
        <f>'Monthly Data'!AQ29</f>
        <v>200</v>
      </c>
      <c r="H29" s="269">
        <f>'Monthly Data'!CD29</f>
        <v>30</v>
      </c>
      <c r="J29" s="18">
        <f>'GS 1k-4,999 Predicted Monthly'!$T$10</f>
        <v>1375460.7545834701</v>
      </c>
      <c r="K29" s="18">
        <f ca="1">E29*'GS 1k-4,999 Predicted Monthly'!$T$11</f>
        <v>3857.0377648914441</v>
      </c>
      <c r="L29" s="18">
        <f>F29*'GS 1k-4,999 Predicted Monthly'!$T$12</f>
        <v>0</v>
      </c>
      <c r="M29" s="18">
        <f>G29*'GS 1k-4,999 Predicted Monthly'!$T$13</f>
        <v>2191831.5388515601</v>
      </c>
      <c r="N29" s="18">
        <f>H29*'GS 1k-4,999 Predicted Monthly'!$T$14</f>
        <v>3396150.4552295702</v>
      </c>
      <c r="O29" s="18">
        <f t="shared" ca="1" si="2"/>
        <v>6967299.7864294918</v>
      </c>
    </row>
    <row r="30" spans="1:16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69">
        <f t="shared" ca="1" si="3"/>
        <v>29.4520183982684</v>
      </c>
      <c r="F30" s="269">
        <f>'Monthly Data'!CG30</f>
        <v>0</v>
      </c>
      <c r="G30" s="269">
        <f>'Monthly Data'!AQ30</f>
        <v>202.9</v>
      </c>
      <c r="H30" s="269">
        <f>'Monthly Data'!CD30</f>
        <v>31</v>
      </c>
      <c r="J30" s="18">
        <f>'GS 1k-4,999 Predicted Monthly'!$T$10</f>
        <v>1375460.7545834701</v>
      </c>
      <c r="K30" s="18">
        <f ca="1">E30*'GS 1k-4,999 Predicted Monthly'!$T$11</f>
        <v>263160.34103721677</v>
      </c>
      <c r="L30" s="18">
        <f>F30*'GS 1k-4,999 Predicted Monthly'!$T$12</f>
        <v>0</v>
      </c>
      <c r="M30" s="18">
        <f>G30*'GS 1k-4,999 Predicted Monthly'!$T$13</f>
        <v>2223613.0961649078</v>
      </c>
      <c r="N30" s="18">
        <f>H30*'GS 1k-4,999 Predicted Monthly'!$T$14</f>
        <v>3509355.4704038892</v>
      </c>
      <c r="O30" s="18">
        <f t="shared" ca="1" si="2"/>
        <v>7371589.6621894836</v>
      </c>
    </row>
    <row r="31" spans="1:16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69">
        <f t="shared" ref="E31:E46" ca="1" si="4">E19</f>
        <v>86.311049595332207</v>
      </c>
      <c r="F31" s="269">
        <f>'Monthly Data'!CG31</f>
        <v>0</v>
      </c>
      <c r="G31" s="269">
        <f>'Monthly Data'!AQ31</f>
        <v>206.7</v>
      </c>
      <c r="H31" s="269">
        <f>'Monthly Data'!CD31</f>
        <v>30</v>
      </c>
      <c r="J31" s="18">
        <f>'GS 1k-4,999 Predicted Monthly'!$T$10</f>
        <v>1375460.7545834701</v>
      </c>
      <c r="K31" s="18">
        <f ca="1">E31*'GS 1k-4,999 Predicted Monthly'!$T$11</f>
        <v>771208.44281841069</v>
      </c>
      <c r="L31" s="18">
        <f>F31*'GS 1k-4,999 Predicted Monthly'!$T$12</f>
        <v>0</v>
      </c>
      <c r="M31" s="18">
        <f>G31*'GS 1k-4,999 Predicted Monthly'!$T$13</f>
        <v>2265257.8954030871</v>
      </c>
      <c r="N31" s="18">
        <f>H31*'GS 1k-4,999 Predicted Monthly'!$T$14</f>
        <v>3396150.4552295702</v>
      </c>
      <c r="O31" s="18">
        <f t="shared" ca="1" si="2"/>
        <v>7808077.5480345385</v>
      </c>
    </row>
    <row r="32" spans="1:16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69">
        <f t="shared" ca="1" si="4"/>
        <v>174.0219619206118</v>
      </c>
      <c r="F32" s="269">
        <f>'Monthly Data'!CG32</f>
        <v>0</v>
      </c>
      <c r="G32" s="269">
        <f>'Monthly Data'!AQ32</f>
        <v>207</v>
      </c>
      <c r="H32" s="269">
        <f>'Monthly Data'!CD32</f>
        <v>31</v>
      </c>
      <c r="J32" s="18">
        <f>'GS 1k-4,999 Predicted Monthly'!$T$10</f>
        <v>1375460.7545834701</v>
      </c>
      <c r="K32" s="18">
        <f ca="1">E32*'GS 1k-4,999 Predicted Monthly'!$T$11</f>
        <v>1554924.9707682601</v>
      </c>
      <c r="L32" s="18">
        <f>F32*'GS 1k-4,999 Predicted Monthly'!$T$12</f>
        <v>0</v>
      </c>
      <c r="M32" s="18">
        <f>G32*'GS 1k-4,999 Predicted Monthly'!$T$13</f>
        <v>2268545.6427113647</v>
      </c>
      <c r="N32" s="18">
        <f>H32*'GS 1k-4,999 Predicted Monthly'!$T$14</f>
        <v>3509355.4704038892</v>
      </c>
      <c r="O32" s="18">
        <f t="shared" ca="1" si="2"/>
        <v>8708286.8384669833</v>
      </c>
    </row>
    <row r="33" spans="1:15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69">
        <f t="shared" ca="1" si="4"/>
        <v>149.7160046113307</v>
      </c>
      <c r="F33" s="269">
        <f>'Monthly Data'!CG33</f>
        <v>0</v>
      </c>
      <c r="G33" s="269">
        <f>'Monthly Data'!AQ33</f>
        <v>208.1</v>
      </c>
      <c r="H33" s="269">
        <f>'Monthly Data'!CD33</f>
        <v>31</v>
      </c>
      <c r="J33" s="18">
        <f>'GS 1k-4,999 Predicted Monthly'!$T$10</f>
        <v>1375460.7545834701</v>
      </c>
      <c r="K33" s="18">
        <f ca="1">E33*'GS 1k-4,999 Predicted Monthly'!$T$11</f>
        <v>1337745.8311843153</v>
      </c>
      <c r="L33" s="18">
        <f>F33*'GS 1k-4,999 Predicted Monthly'!$T$12</f>
        <v>0</v>
      </c>
      <c r="M33" s="18">
        <f>G33*'GS 1k-4,999 Predicted Monthly'!$T$13</f>
        <v>2280600.7161750481</v>
      </c>
      <c r="N33" s="18">
        <f>H33*'GS 1k-4,999 Predicted Monthly'!$T$14</f>
        <v>3509355.4704038892</v>
      </c>
      <c r="O33" s="18">
        <f t="shared" ca="1" si="2"/>
        <v>8503162.772346722</v>
      </c>
    </row>
    <row r="34" spans="1:15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69">
        <f t="shared" ca="1" si="4"/>
        <v>62.345178571428576</v>
      </c>
      <c r="F34" s="269">
        <f>'Monthly Data'!CG34</f>
        <v>0</v>
      </c>
      <c r="G34" s="269">
        <f>'Monthly Data'!AQ34</f>
        <v>208.1</v>
      </c>
      <c r="H34" s="269">
        <f>'Monthly Data'!CD34</f>
        <v>30</v>
      </c>
      <c r="J34" s="18">
        <f>'GS 1k-4,999 Predicted Monthly'!$T$10</f>
        <v>1375460.7545834701</v>
      </c>
      <c r="K34" s="18">
        <f ca="1">E34*'GS 1k-4,999 Predicted Monthly'!$T$11</f>
        <v>557068.04990478826</v>
      </c>
      <c r="L34" s="18">
        <f>F34*'GS 1k-4,999 Predicted Monthly'!$T$12</f>
        <v>0</v>
      </c>
      <c r="M34" s="18">
        <f>G34*'GS 1k-4,999 Predicted Monthly'!$T$13</f>
        <v>2280600.7161750481</v>
      </c>
      <c r="N34" s="18">
        <f>H34*'GS 1k-4,999 Predicted Monthly'!$T$14</f>
        <v>3396150.4552295702</v>
      </c>
      <c r="O34" s="18">
        <f t="shared" ca="1" si="2"/>
        <v>7609279.9758928763</v>
      </c>
    </row>
    <row r="35" spans="1:15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69">
        <f t="shared" ca="1" si="4"/>
        <v>7.1541666666666703</v>
      </c>
      <c r="F35" s="269">
        <f>'Monthly Data'!CG35</f>
        <v>0</v>
      </c>
      <c r="G35" s="269">
        <f>'Monthly Data'!AQ35</f>
        <v>209.9</v>
      </c>
      <c r="H35" s="269">
        <f>'Monthly Data'!CD35</f>
        <v>31</v>
      </c>
      <c r="J35" s="18">
        <f>'GS 1k-4,999 Predicted Monthly'!$T$10</f>
        <v>1375460.7545834701</v>
      </c>
      <c r="K35" s="18">
        <f ca="1">E35*'GS 1k-4,999 Predicted Monthly'!$T$11</f>
        <v>63924.071837052099</v>
      </c>
      <c r="L35" s="18">
        <f>F35*'GS 1k-4,999 Predicted Monthly'!$T$12</f>
        <v>0</v>
      </c>
      <c r="M35" s="18">
        <f>G35*'GS 1k-4,999 Predicted Monthly'!$T$13</f>
        <v>2300327.2000247124</v>
      </c>
      <c r="N35" s="18">
        <f>H35*'GS 1k-4,999 Predicted Monthly'!$T$14</f>
        <v>3509355.4704038892</v>
      </c>
      <c r="O35" s="18">
        <f t="shared" ca="1" si="2"/>
        <v>7249067.4968491234</v>
      </c>
    </row>
    <row r="36" spans="1:15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69">
        <f t="shared" ca="1" si="4"/>
        <v>0.15041666666666628</v>
      </c>
      <c r="F36" s="269">
        <f>'Monthly Data'!CG36</f>
        <v>0</v>
      </c>
      <c r="G36" s="269">
        <f>'Monthly Data'!AQ36</f>
        <v>209</v>
      </c>
      <c r="H36" s="269">
        <f>'Monthly Data'!CD36</f>
        <v>30</v>
      </c>
      <c r="J36" s="18">
        <f>'GS 1k-4,999 Predicted Monthly'!$T$10</f>
        <v>1375460.7545834701</v>
      </c>
      <c r="K36" s="18">
        <f ca="1">E36*'GS 1k-4,999 Predicted Monthly'!$T$11</f>
        <v>1344.0064026310854</v>
      </c>
      <c r="L36" s="18">
        <f>F36*'GS 1k-4,999 Predicted Monthly'!$T$12</f>
        <v>0</v>
      </c>
      <c r="M36" s="18">
        <f>G36*'GS 1k-4,999 Predicted Monthly'!$T$13</f>
        <v>2290463.9580998803</v>
      </c>
      <c r="N36" s="18">
        <f>H36*'GS 1k-4,999 Predicted Monthly'!$T$14</f>
        <v>3396150.4552295702</v>
      </c>
      <c r="O36" s="18">
        <f t="shared" ca="1" si="2"/>
        <v>7063419.1743155513</v>
      </c>
    </row>
    <row r="37" spans="1:15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69">
        <f t="shared" ca="1" si="4"/>
        <v>0</v>
      </c>
      <c r="F37" s="269">
        <f>'Monthly Data'!CG37</f>
        <v>0</v>
      </c>
      <c r="G37" s="269">
        <f>'Monthly Data'!AQ37</f>
        <v>208</v>
      </c>
      <c r="H37" s="269">
        <f>'Monthly Data'!CD37</f>
        <v>31</v>
      </c>
      <c r="J37" s="18">
        <f>'GS 1k-4,999 Predicted Monthly'!$T$10</f>
        <v>1375460.7545834701</v>
      </c>
      <c r="K37" s="18">
        <f ca="1">E37*'GS 1k-4,999 Predicted Monthly'!$T$11</f>
        <v>0</v>
      </c>
      <c r="L37" s="18">
        <f>F37*'GS 1k-4,999 Predicted Monthly'!$T$12</f>
        <v>0</v>
      </c>
      <c r="M37" s="18">
        <f>G37*'GS 1k-4,999 Predicted Monthly'!$T$13</f>
        <v>2279504.8004056225</v>
      </c>
      <c r="N37" s="18">
        <f>H37*'GS 1k-4,999 Predicted Monthly'!$T$14</f>
        <v>3509355.4704038892</v>
      </c>
      <c r="O37" s="18">
        <f t="shared" ca="1" si="2"/>
        <v>7164321.0253929812</v>
      </c>
    </row>
    <row r="38" spans="1:15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69">
        <f t="shared" ca="1" si="4"/>
        <v>0</v>
      </c>
      <c r="F38" s="269">
        <f>'Monthly Data'!CG38</f>
        <v>0</v>
      </c>
      <c r="G38" s="269">
        <f>'Monthly Data'!AQ38</f>
        <v>206.9</v>
      </c>
      <c r="H38" s="269">
        <f>'Monthly Data'!CD38</f>
        <v>31</v>
      </c>
      <c r="J38" s="18">
        <f>'GS 1k-4,999 Predicted Monthly'!$T$10</f>
        <v>1375460.7545834701</v>
      </c>
      <c r="K38" s="18">
        <f ca="1">E38*'GS 1k-4,999 Predicted Monthly'!$T$11</f>
        <v>0</v>
      </c>
      <c r="L38" s="18">
        <f>F38*'GS 1k-4,999 Predicted Monthly'!$T$12</f>
        <v>0</v>
      </c>
      <c r="M38" s="18">
        <f>G38*'GS 1k-4,999 Predicted Monthly'!$T$13</f>
        <v>2267449.726941939</v>
      </c>
      <c r="N38" s="18">
        <f>H38*'GS 1k-4,999 Predicted Monthly'!$T$14</f>
        <v>3509355.4704038892</v>
      </c>
      <c r="O38" s="18">
        <f t="shared" ca="1" si="2"/>
        <v>7152265.9519292982</v>
      </c>
    </row>
    <row r="39" spans="1:15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69">
        <f t="shared" ca="1" si="4"/>
        <v>0</v>
      </c>
      <c r="F39" s="269">
        <f>'Monthly Data'!CG39</f>
        <v>0</v>
      </c>
      <c r="G39" s="269">
        <f>'Monthly Data'!AQ39</f>
        <v>207.4</v>
      </c>
      <c r="H39" s="269">
        <f>'Monthly Data'!CD39</f>
        <v>28</v>
      </c>
      <c r="J39" s="18">
        <f>'GS 1k-4,999 Predicted Monthly'!$T$10</f>
        <v>1375460.7545834701</v>
      </c>
      <c r="K39" s="18">
        <f ca="1">E39*'GS 1k-4,999 Predicted Monthly'!$T$11</f>
        <v>0</v>
      </c>
      <c r="L39" s="18">
        <f>F39*'GS 1k-4,999 Predicted Monthly'!$T$12</f>
        <v>0</v>
      </c>
      <c r="M39" s="18">
        <f>G39*'GS 1k-4,999 Predicted Monthly'!$T$13</f>
        <v>2272929.3057890679</v>
      </c>
      <c r="N39" s="18">
        <f>H39*'GS 1k-4,999 Predicted Monthly'!$T$14</f>
        <v>3169740.4248809321</v>
      </c>
      <c r="O39" s="18">
        <f t="shared" ca="1" si="2"/>
        <v>6818130.48525347</v>
      </c>
    </row>
    <row r="40" spans="1:15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69">
        <f t="shared" ca="1" si="4"/>
        <v>0</v>
      </c>
      <c r="F40" s="269">
        <f>'Monthly Data'!CG40</f>
        <v>0</v>
      </c>
      <c r="G40" s="269">
        <f>'Monthly Data'!AQ40</f>
        <v>210.4</v>
      </c>
      <c r="H40" s="269">
        <f>'Monthly Data'!CD40</f>
        <v>31</v>
      </c>
      <c r="J40" s="18">
        <f>'GS 1k-4,999 Predicted Monthly'!$T$10</f>
        <v>1375460.7545834701</v>
      </c>
      <c r="K40" s="18">
        <f ca="1">E40*'GS 1k-4,999 Predicted Monthly'!$T$11</f>
        <v>0</v>
      </c>
      <c r="L40" s="18">
        <f>F40*'GS 1k-4,999 Predicted Monthly'!$T$12</f>
        <v>0</v>
      </c>
      <c r="M40" s="18">
        <f>G40*'GS 1k-4,999 Predicted Monthly'!$T$13</f>
        <v>2305806.7788718413</v>
      </c>
      <c r="N40" s="18">
        <f>H40*'GS 1k-4,999 Predicted Monthly'!$T$14</f>
        <v>3509355.4704038892</v>
      </c>
      <c r="O40" s="18">
        <f t="shared" ca="1" si="2"/>
        <v>7190623.0038592005</v>
      </c>
    </row>
    <row r="41" spans="1:15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69">
        <f t="shared" ca="1" si="4"/>
        <v>0.4316666666666677</v>
      </c>
      <c r="F41" s="269">
        <f>'Monthly Data'!CG41</f>
        <v>0</v>
      </c>
      <c r="G41" s="269">
        <f>'Monthly Data'!AQ41</f>
        <v>214.5</v>
      </c>
      <c r="H41" s="269">
        <f>'Monthly Data'!CD41</f>
        <v>30</v>
      </c>
      <c r="J41" s="18">
        <f>'GS 1k-4,999 Predicted Monthly'!$T$10</f>
        <v>1375460.7545834701</v>
      </c>
      <c r="K41" s="18">
        <f ca="1">E41*'GS 1k-4,999 Predicted Monthly'!$T$11</f>
        <v>3857.0377648914441</v>
      </c>
      <c r="L41" s="18">
        <f>F41*'GS 1k-4,999 Predicted Monthly'!$T$12</f>
        <v>0</v>
      </c>
      <c r="M41" s="18">
        <f>G41*'GS 1k-4,999 Predicted Monthly'!$T$13</f>
        <v>2350739.3254182981</v>
      </c>
      <c r="N41" s="18">
        <f>H41*'GS 1k-4,999 Predicted Monthly'!$T$14</f>
        <v>3396150.4552295702</v>
      </c>
      <c r="O41" s="18">
        <f t="shared" ca="1" si="2"/>
        <v>7126207.5729962299</v>
      </c>
    </row>
    <row r="42" spans="1:15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69">
        <f t="shared" ca="1" si="4"/>
        <v>29.4520183982684</v>
      </c>
      <c r="F42" s="269">
        <f>'Monthly Data'!CG42</f>
        <v>0</v>
      </c>
      <c r="G42" s="269">
        <f>'Monthly Data'!AQ42</f>
        <v>218.3</v>
      </c>
      <c r="H42" s="269">
        <f>'Monthly Data'!CD42</f>
        <v>31</v>
      </c>
      <c r="J42" s="18">
        <f>'GS 1k-4,999 Predicted Monthly'!$T$10</f>
        <v>1375460.7545834701</v>
      </c>
      <c r="K42" s="18">
        <f ca="1">E42*'GS 1k-4,999 Predicted Monthly'!$T$11</f>
        <v>263160.34103721677</v>
      </c>
      <c r="L42" s="18">
        <f>F42*'GS 1k-4,999 Predicted Monthly'!$T$12</f>
        <v>0</v>
      </c>
      <c r="M42" s="18">
        <f>G42*'GS 1k-4,999 Predicted Monthly'!$T$13</f>
        <v>2392384.1246564779</v>
      </c>
      <c r="N42" s="18">
        <f>H42*'GS 1k-4,999 Predicted Monthly'!$T$14</f>
        <v>3509355.4704038892</v>
      </c>
      <c r="O42" s="18">
        <f t="shared" ca="1" si="2"/>
        <v>7540360.6906810543</v>
      </c>
    </row>
    <row r="43" spans="1:15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69">
        <f t="shared" ca="1" si="4"/>
        <v>86.311049595332207</v>
      </c>
      <c r="F43" s="269">
        <f>'Monthly Data'!CG43</f>
        <v>0</v>
      </c>
      <c r="G43" s="269">
        <f>'Monthly Data'!AQ43</f>
        <v>220.4</v>
      </c>
      <c r="H43" s="269">
        <f>'Monthly Data'!CD43</f>
        <v>30</v>
      </c>
      <c r="J43" s="18">
        <f>'GS 1k-4,999 Predicted Monthly'!$T$10</f>
        <v>1375460.7545834701</v>
      </c>
      <c r="K43" s="18">
        <f ca="1">E43*'GS 1k-4,999 Predicted Monthly'!$T$11</f>
        <v>771208.44281841069</v>
      </c>
      <c r="L43" s="18">
        <f>F43*'GS 1k-4,999 Predicted Monthly'!$T$12</f>
        <v>0</v>
      </c>
      <c r="M43" s="18">
        <f>G43*'GS 1k-4,999 Predicted Monthly'!$T$13</f>
        <v>2415398.3558144192</v>
      </c>
      <c r="N43" s="18">
        <f>H43*'GS 1k-4,999 Predicted Monthly'!$T$14</f>
        <v>3396150.4552295702</v>
      </c>
      <c r="O43" s="18">
        <f t="shared" ca="1" si="2"/>
        <v>7958218.0084458701</v>
      </c>
    </row>
    <row r="44" spans="1:15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69">
        <f t="shared" ca="1" si="4"/>
        <v>174.0219619206118</v>
      </c>
      <c r="F44" s="269">
        <f>'Monthly Data'!CG44</f>
        <v>0</v>
      </c>
      <c r="G44" s="269">
        <f>'Monthly Data'!AQ44</f>
        <v>219.9</v>
      </c>
      <c r="H44" s="269">
        <f>'Monthly Data'!CD44</f>
        <v>31</v>
      </c>
      <c r="J44" s="18">
        <f>'GS 1k-4,999 Predicted Monthly'!$T$10</f>
        <v>1375460.7545834701</v>
      </c>
      <c r="K44" s="18">
        <f ca="1">E44*'GS 1k-4,999 Predicted Monthly'!$T$11</f>
        <v>1554924.9707682601</v>
      </c>
      <c r="L44" s="18">
        <f>F44*'GS 1k-4,999 Predicted Monthly'!$T$12</f>
        <v>0</v>
      </c>
      <c r="M44" s="18">
        <f>G44*'GS 1k-4,999 Predicted Monthly'!$T$13</f>
        <v>2409918.7769672903</v>
      </c>
      <c r="N44" s="18">
        <f>H44*'GS 1k-4,999 Predicted Monthly'!$T$14</f>
        <v>3509355.4704038892</v>
      </c>
      <c r="O44" s="18">
        <f t="shared" ca="1" si="2"/>
        <v>8849659.9727229103</v>
      </c>
    </row>
    <row r="45" spans="1:15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69">
        <f t="shared" ca="1" si="4"/>
        <v>149.7160046113307</v>
      </c>
      <c r="F45" s="269">
        <f>'Monthly Data'!CG45</f>
        <v>0</v>
      </c>
      <c r="G45" s="269">
        <f>'Monthly Data'!AQ45</f>
        <v>218.3</v>
      </c>
      <c r="H45" s="269">
        <f>'Monthly Data'!CD45</f>
        <v>31</v>
      </c>
      <c r="J45" s="18">
        <f>'GS 1k-4,999 Predicted Monthly'!$T$10</f>
        <v>1375460.7545834701</v>
      </c>
      <c r="K45" s="18">
        <f ca="1">E45*'GS 1k-4,999 Predicted Monthly'!$T$11</f>
        <v>1337745.8311843153</v>
      </c>
      <c r="L45" s="18">
        <f>F45*'GS 1k-4,999 Predicted Monthly'!$T$12</f>
        <v>0</v>
      </c>
      <c r="M45" s="18">
        <f>G45*'GS 1k-4,999 Predicted Monthly'!$T$13</f>
        <v>2392384.1246564779</v>
      </c>
      <c r="N45" s="18">
        <f>H45*'GS 1k-4,999 Predicted Monthly'!$T$14</f>
        <v>3509355.4704038892</v>
      </c>
      <c r="O45" s="18">
        <f t="shared" ca="1" si="2"/>
        <v>8614946.1808281522</v>
      </c>
    </row>
    <row r="46" spans="1:15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69">
        <f t="shared" ca="1" si="4"/>
        <v>62.345178571428576</v>
      </c>
      <c r="F46" s="269">
        <f>'Monthly Data'!CG46</f>
        <v>0</v>
      </c>
      <c r="G46" s="269">
        <f>'Monthly Data'!AQ46</f>
        <v>216.6</v>
      </c>
      <c r="H46" s="269">
        <f>'Monthly Data'!CD46</f>
        <v>30</v>
      </c>
      <c r="J46" s="18">
        <f>'GS 1k-4,999 Predicted Monthly'!$T$10</f>
        <v>1375460.7545834701</v>
      </c>
      <c r="K46" s="18">
        <f ca="1">E46*'GS 1k-4,999 Predicted Monthly'!$T$11</f>
        <v>557068.04990478826</v>
      </c>
      <c r="L46" s="18">
        <f>F46*'GS 1k-4,999 Predicted Monthly'!$T$12</f>
        <v>0</v>
      </c>
      <c r="M46" s="18">
        <f>G46*'GS 1k-4,999 Predicted Monthly'!$T$13</f>
        <v>2373753.5565762394</v>
      </c>
      <c r="N46" s="18">
        <f>H46*'GS 1k-4,999 Predicted Monthly'!$T$14</f>
        <v>3396150.4552295702</v>
      </c>
      <c r="O46" s="18">
        <f t="shared" ca="1" si="2"/>
        <v>7702432.8162940675</v>
      </c>
    </row>
    <row r="47" spans="1:15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69">
        <f t="shared" ref="E47:E62" ca="1" si="5">E35</f>
        <v>7.1541666666666703</v>
      </c>
      <c r="F47" s="269">
        <f>'Monthly Data'!CG47</f>
        <v>0</v>
      </c>
      <c r="G47" s="269">
        <f>'Monthly Data'!AQ47</f>
        <v>215.2</v>
      </c>
      <c r="H47" s="269">
        <f>'Monthly Data'!CD47</f>
        <v>31</v>
      </c>
      <c r="J47" s="18">
        <f>'GS 1k-4,999 Predicted Monthly'!$T$10</f>
        <v>1375460.7545834701</v>
      </c>
      <c r="K47" s="18">
        <f ca="1">E47*'GS 1k-4,999 Predicted Monthly'!$T$11</f>
        <v>63924.071837052099</v>
      </c>
      <c r="L47" s="18">
        <f>F47*'GS 1k-4,999 Predicted Monthly'!$T$12</f>
        <v>0</v>
      </c>
      <c r="M47" s="18">
        <f>G47*'GS 1k-4,999 Predicted Monthly'!$T$13</f>
        <v>2358410.7358042784</v>
      </c>
      <c r="N47" s="18">
        <f>H47*'GS 1k-4,999 Predicted Monthly'!$T$14</f>
        <v>3509355.4704038892</v>
      </c>
      <c r="O47" s="18">
        <f t="shared" ca="1" si="2"/>
        <v>7307151.0326286899</v>
      </c>
    </row>
    <row r="48" spans="1:15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69">
        <f t="shared" ca="1" si="5"/>
        <v>0.15041666666666628</v>
      </c>
      <c r="F48" s="269">
        <f>'Monthly Data'!CG48</f>
        <v>0</v>
      </c>
      <c r="G48" s="269">
        <f>'Monthly Data'!AQ48</f>
        <v>215.3</v>
      </c>
      <c r="H48" s="269">
        <f>'Monthly Data'!CD48</f>
        <v>30</v>
      </c>
      <c r="J48" s="18">
        <f>'GS 1k-4,999 Predicted Monthly'!$T$10</f>
        <v>1375460.7545834701</v>
      </c>
      <c r="K48" s="18">
        <f ca="1">E48*'GS 1k-4,999 Predicted Monthly'!$T$11</f>
        <v>1344.0064026310854</v>
      </c>
      <c r="L48" s="18">
        <f>F48*'GS 1k-4,999 Predicted Monthly'!$T$12</f>
        <v>0</v>
      </c>
      <c r="M48" s="18">
        <f>G48*'GS 1k-4,999 Predicted Monthly'!$T$13</f>
        <v>2359506.6515737046</v>
      </c>
      <c r="N48" s="18">
        <f>H48*'GS 1k-4,999 Predicted Monthly'!$T$14</f>
        <v>3396150.4552295702</v>
      </c>
      <c r="O48" s="18">
        <f t="shared" ca="1" si="2"/>
        <v>7132461.8677893756</v>
      </c>
    </row>
    <row r="49" spans="1:15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69">
        <f t="shared" ca="1" si="5"/>
        <v>0</v>
      </c>
      <c r="F49" s="269">
        <f>'Monthly Data'!CG49</f>
        <v>0</v>
      </c>
      <c r="G49" s="269">
        <f>'Monthly Data'!AQ49</f>
        <v>214.3</v>
      </c>
      <c r="H49" s="269">
        <f>'Monthly Data'!CD49</f>
        <v>31</v>
      </c>
      <c r="J49" s="18">
        <f>'GS 1k-4,999 Predicted Monthly'!$T$10</f>
        <v>1375460.7545834701</v>
      </c>
      <c r="K49" s="18">
        <f ca="1">E49*'GS 1k-4,999 Predicted Monthly'!$T$11</f>
        <v>0</v>
      </c>
      <c r="L49" s="18">
        <f>F49*'GS 1k-4,999 Predicted Monthly'!$T$12</f>
        <v>0</v>
      </c>
      <c r="M49" s="18">
        <f>G49*'GS 1k-4,999 Predicted Monthly'!$T$13</f>
        <v>2348547.4938794468</v>
      </c>
      <c r="N49" s="18">
        <f>H49*'GS 1k-4,999 Predicted Monthly'!$T$14</f>
        <v>3509355.4704038892</v>
      </c>
      <c r="O49" s="18">
        <f t="shared" ca="1" si="2"/>
        <v>7233363.7188668065</v>
      </c>
    </row>
    <row r="50" spans="1:15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69">
        <f t="shared" ca="1" si="5"/>
        <v>0</v>
      </c>
      <c r="F50" s="269">
        <f>'Monthly Data'!CG50</f>
        <v>0</v>
      </c>
      <c r="G50" s="269">
        <f>'Monthly Data'!AQ50</f>
        <v>217.1</v>
      </c>
      <c r="H50" s="269">
        <f>'Monthly Data'!CD50</f>
        <v>31</v>
      </c>
      <c r="J50" s="18">
        <f>'GS 1k-4,999 Predicted Monthly'!$T$10</f>
        <v>1375460.7545834701</v>
      </c>
      <c r="K50" s="18">
        <f ca="1">E50*'GS 1k-4,999 Predicted Monthly'!$T$11</f>
        <v>0</v>
      </c>
      <c r="L50" s="18">
        <f>F50*'GS 1k-4,999 Predicted Monthly'!$T$12</f>
        <v>0</v>
      </c>
      <c r="M50" s="18">
        <f>G50*'GS 1k-4,999 Predicted Monthly'!$T$13</f>
        <v>2379233.1354233683</v>
      </c>
      <c r="N50" s="18">
        <f>H50*'GS 1k-4,999 Predicted Monthly'!$T$14</f>
        <v>3509355.4704038892</v>
      </c>
      <c r="O50" s="18">
        <f t="shared" ca="1" si="2"/>
        <v>7264049.3604107276</v>
      </c>
    </row>
    <row r="51" spans="1:15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69">
        <f t="shared" ca="1" si="5"/>
        <v>0</v>
      </c>
      <c r="F51" s="269">
        <f>'Monthly Data'!CG51</f>
        <v>0</v>
      </c>
      <c r="G51" s="269">
        <f>'Monthly Data'!AQ51</f>
        <v>219.1</v>
      </c>
      <c r="H51" s="269">
        <f>'Monthly Data'!CD51</f>
        <v>28</v>
      </c>
      <c r="J51" s="18">
        <f>'GS 1k-4,999 Predicted Monthly'!$T$10</f>
        <v>1375460.7545834701</v>
      </c>
      <c r="K51" s="18">
        <f ca="1">E51*'GS 1k-4,999 Predicted Monthly'!$T$11</f>
        <v>0</v>
      </c>
      <c r="L51" s="18">
        <f>F51*'GS 1k-4,999 Predicted Monthly'!$T$12</f>
        <v>0</v>
      </c>
      <c r="M51" s="18">
        <f>G51*'GS 1k-4,999 Predicted Monthly'!$T$13</f>
        <v>2401151.4508118839</v>
      </c>
      <c r="N51" s="18">
        <f>H51*'GS 1k-4,999 Predicted Monthly'!$T$14</f>
        <v>3169740.4248809321</v>
      </c>
      <c r="O51" s="18">
        <f t="shared" ca="1" si="2"/>
        <v>6946352.630276286</v>
      </c>
    </row>
    <row r="52" spans="1:15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69">
        <f t="shared" ca="1" si="5"/>
        <v>0</v>
      </c>
      <c r="F52" s="269">
        <f>'Monthly Data'!CG52</f>
        <v>0</v>
      </c>
      <c r="G52" s="269">
        <f>'Monthly Data'!AQ52</f>
        <v>221.6</v>
      </c>
      <c r="H52" s="269">
        <f>'Monthly Data'!CD52</f>
        <v>31</v>
      </c>
      <c r="J52" s="18">
        <f>'GS 1k-4,999 Predicted Monthly'!$T$10</f>
        <v>1375460.7545834701</v>
      </c>
      <c r="K52" s="18">
        <f ca="1">E52*'GS 1k-4,999 Predicted Monthly'!$T$11</f>
        <v>0</v>
      </c>
      <c r="L52" s="18">
        <f>F52*'GS 1k-4,999 Predicted Monthly'!$T$12</f>
        <v>0</v>
      </c>
      <c r="M52" s="18">
        <f>G52*'GS 1k-4,999 Predicted Monthly'!$T$13</f>
        <v>2428549.3450475284</v>
      </c>
      <c r="N52" s="18">
        <f>H52*'GS 1k-4,999 Predicted Monthly'!$T$14</f>
        <v>3509355.4704038892</v>
      </c>
      <c r="O52" s="18">
        <f t="shared" ca="1" si="2"/>
        <v>7313365.5700348876</v>
      </c>
    </row>
    <row r="53" spans="1:15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69">
        <f t="shared" ca="1" si="5"/>
        <v>0.4316666666666677</v>
      </c>
      <c r="F53" s="269">
        <f>'Monthly Data'!CG53</f>
        <v>0</v>
      </c>
      <c r="G53" s="269">
        <f>'Monthly Data'!AQ53</f>
        <v>220.7</v>
      </c>
      <c r="H53" s="269">
        <f>'Monthly Data'!CD53</f>
        <v>30</v>
      </c>
      <c r="J53" s="18">
        <f>'GS 1k-4,999 Predicted Monthly'!$T$10</f>
        <v>1375460.7545834701</v>
      </c>
      <c r="K53" s="18">
        <f ca="1">E53*'GS 1k-4,999 Predicted Monthly'!$T$11</f>
        <v>3857.0377648914441</v>
      </c>
      <c r="L53" s="18">
        <f>F53*'GS 1k-4,999 Predicted Monthly'!$T$12</f>
        <v>0</v>
      </c>
      <c r="M53" s="18">
        <f>G53*'GS 1k-4,999 Predicted Monthly'!$T$13</f>
        <v>2418686.1031226963</v>
      </c>
      <c r="N53" s="18">
        <f>H53*'GS 1k-4,999 Predicted Monthly'!$T$14</f>
        <v>3396150.4552295702</v>
      </c>
      <c r="O53" s="18">
        <f t="shared" ca="1" si="2"/>
        <v>7194154.350700628</v>
      </c>
    </row>
    <row r="54" spans="1:15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69">
        <f t="shared" ca="1" si="5"/>
        <v>29.4520183982684</v>
      </c>
      <c r="F54" s="269">
        <f>'Monthly Data'!CG54</f>
        <v>0</v>
      </c>
      <c r="G54" s="269">
        <f>'Monthly Data'!AQ54</f>
        <v>219.3</v>
      </c>
      <c r="H54" s="269">
        <f>'Monthly Data'!CD54</f>
        <v>31</v>
      </c>
      <c r="J54" s="18">
        <f>'GS 1k-4,999 Predicted Monthly'!$T$10</f>
        <v>1375460.7545834701</v>
      </c>
      <c r="K54" s="18">
        <f ca="1">E54*'GS 1k-4,999 Predicted Monthly'!$T$11</f>
        <v>263160.34103721677</v>
      </c>
      <c r="L54" s="18">
        <f>F54*'GS 1k-4,999 Predicted Monthly'!$T$12</f>
        <v>0</v>
      </c>
      <c r="M54" s="18">
        <f>G54*'GS 1k-4,999 Predicted Monthly'!$T$13</f>
        <v>2403343.2823507357</v>
      </c>
      <c r="N54" s="18">
        <f>H54*'GS 1k-4,999 Predicted Monthly'!$T$14</f>
        <v>3509355.4704038892</v>
      </c>
      <c r="O54" s="18">
        <f t="shared" ca="1" si="2"/>
        <v>7551319.8483753121</v>
      </c>
    </row>
    <row r="55" spans="1:15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69">
        <f t="shared" ca="1" si="5"/>
        <v>86.311049595332207</v>
      </c>
      <c r="F55" s="269">
        <f>'Monthly Data'!CG55</f>
        <v>0</v>
      </c>
      <c r="G55" s="269">
        <f>'Monthly Data'!AQ55</f>
        <v>218.5</v>
      </c>
      <c r="H55" s="269">
        <f>'Monthly Data'!CD55</f>
        <v>30</v>
      </c>
      <c r="J55" s="18">
        <f>'GS 1k-4,999 Predicted Monthly'!$T$10</f>
        <v>1375460.7545834701</v>
      </c>
      <c r="K55" s="18">
        <f ca="1">E55*'GS 1k-4,999 Predicted Monthly'!$T$11</f>
        <v>771208.44281841069</v>
      </c>
      <c r="L55" s="18">
        <f>F55*'GS 1k-4,999 Predicted Monthly'!$T$12</f>
        <v>0</v>
      </c>
      <c r="M55" s="18">
        <f>G55*'GS 1k-4,999 Predicted Monthly'!$T$13</f>
        <v>2394575.9561953293</v>
      </c>
      <c r="N55" s="18">
        <f>H55*'GS 1k-4,999 Predicted Monthly'!$T$14</f>
        <v>3396150.4552295702</v>
      </c>
      <c r="O55" s="18">
        <f t="shared" ca="1" si="2"/>
        <v>7937395.6088267798</v>
      </c>
    </row>
    <row r="56" spans="1:15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69">
        <f t="shared" ca="1" si="5"/>
        <v>174.0219619206118</v>
      </c>
      <c r="F56" s="269">
        <f>'Monthly Data'!CG56</f>
        <v>0</v>
      </c>
      <c r="G56" s="269">
        <f>'Monthly Data'!AQ56</f>
        <v>217</v>
      </c>
      <c r="H56" s="269">
        <f>'Monthly Data'!CD56</f>
        <v>31</v>
      </c>
      <c r="J56" s="18">
        <f>'GS 1k-4,999 Predicted Monthly'!$T$10</f>
        <v>1375460.7545834701</v>
      </c>
      <c r="K56" s="18">
        <f ca="1">E56*'GS 1k-4,999 Predicted Monthly'!$T$11</f>
        <v>1554924.9707682601</v>
      </c>
      <c r="L56" s="18">
        <f>F56*'GS 1k-4,999 Predicted Monthly'!$T$12</f>
        <v>0</v>
      </c>
      <c r="M56" s="18">
        <f>G56*'GS 1k-4,999 Predicted Monthly'!$T$13</f>
        <v>2378137.2196539426</v>
      </c>
      <c r="N56" s="18">
        <f>H56*'GS 1k-4,999 Predicted Monthly'!$T$14</f>
        <v>3509355.4704038892</v>
      </c>
      <c r="O56" s="18">
        <f t="shared" ca="1" si="2"/>
        <v>8817878.4154095612</v>
      </c>
    </row>
    <row r="57" spans="1:15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69">
        <f t="shared" ca="1" si="5"/>
        <v>149.7160046113307</v>
      </c>
      <c r="F57" s="269">
        <f>'Monthly Data'!CG57</f>
        <v>0</v>
      </c>
      <c r="G57" s="269">
        <f>'Monthly Data'!AQ57</f>
        <v>214.2</v>
      </c>
      <c r="H57" s="269">
        <f>'Monthly Data'!CD57</f>
        <v>31</v>
      </c>
      <c r="J57" s="18">
        <f>'GS 1k-4,999 Predicted Monthly'!$T$10</f>
        <v>1375460.7545834701</v>
      </c>
      <c r="K57" s="18">
        <f ca="1">E57*'GS 1k-4,999 Predicted Monthly'!$T$11</f>
        <v>1337745.8311843153</v>
      </c>
      <c r="L57" s="18">
        <f>F57*'GS 1k-4,999 Predicted Monthly'!$T$12</f>
        <v>0</v>
      </c>
      <c r="M57" s="18">
        <f>G57*'GS 1k-4,999 Predicted Monthly'!$T$13</f>
        <v>2347451.5781100206</v>
      </c>
      <c r="N57" s="18">
        <f>H57*'GS 1k-4,999 Predicted Monthly'!$T$14</f>
        <v>3509355.4704038892</v>
      </c>
      <c r="O57" s="18">
        <f t="shared" ca="1" si="2"/>
        <v>8570013.6342816949</v>
      </c>
    </row>
    <row r="58" spans="1:15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69">
        <f t="shared" ca="1" si="5"/>
        <v>62.345178571428576</v>
      </c>
      <c r="F58" s="269">
        <f>'Monthly Data'!CG58</f>
        <v>0</v>
      </c>
      <c r="G58" s="269">
        <f>'Monthly Data'!AQ58</f>
        <v>210</v>
      </c>
      <c r="H58" s="269">
        <f>'Monthly Data'!CD58</f>
        <v>30</v>
      </c>
      <c r="J58" s="18">
        <f>'GS 1k-4,999 Predicted Monthly'!$T$10</f>
        <v>1375460.7545834701</v>
      </c>
      <c r="K58" s="18">
        <f ca="1">E58*'GS 1k-4,999 Predicted Monthly'!$T$11</f>
        <v>557068.04990478826</v>
      </c>
      <c r="L58" s="18">
        <f>F58*'GS 1k-4,999 Predicted Monthly'!$T$12</f>
        <v>0</v>
      </c>
      <c r="M58" s="18">
        <f>G58*'GS 1k-4,999 Predicted Monthly'!$T$13</f>
        <v>2301423.1157941381</v>
      </c>
      <c r="N58" s="18">
        <f>H58*'GS 1k-4,999 Predicted Monthly'!$T$14</f>
        <v>3396150.4552295702</v>
      </c>
      <c r="O58" s="18">
        <f t="shared" ca="1" si="2"/>
        <v>7630102.3755119666</v>
      </c>
    </row>
    <row r="59" spans="1:15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69">
        <f t="shared" ca="1" si="5"/>
        <v>7.1541666666666703</v>
      </c>
      <c r="F59" s="269">
        <f>'Monthly Data'!CG59</f>
        <v>0</v>
      </c>
      <c r="G59" s="269">
        <f>'Monthly Data'!AQ59</f>
        <v>207.5</v>
      </c>
      <c r="H59" s="269">
        <f>'Monthly Data'!CD59</f>
        <v>31</v>
      </c>
      <c r="J59" s="18">
        <f>'GS 1k-4,999 Predicted Monthly'!$T$10</f>
        <v>1375460.7545834701</v>
      </c>
      <c r="K59" s="18">
        <f ca="1">E59*'GS 1k-4,999 Predicted Monthly'!$T$11</f>
        <v>63924.071837052099</v>
      </c>
      <c r="L59" s="18">
        <f>F59*'GS 1k-4,999 Predicted Monthly'!$T$12</f>
        <v>0</v>
      </c>
      <c r="M59" s="18">
        <f>G59*'GS 1k-4,999 Predicted Monthly'!$T$13</f>
        <v>2274025.2215584936</v>
      </c>
      <c r="N59" s="18">
        <f>H59*'GS 1k-4,999 Predicted Monthly'!$T$14</f>
        <v>3509355.4704038892</v>
      </c>
      <c r="O59" s="18">
        <f t="shared" ca="1" si="2"/>
        <v>7222765.5183829051</v>
      </c>
    </row>
    <row r="60" spans="1:15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69">
        <f t="shared" ca="1" si="5"/>
        <v>0.15041666666666628</v>
      </c>
      <c r="F60" s="269">
        <f>'Monthly Data'!CG60</f>
        <v>0</v>
      </c>
      <c r="G60" s="269">
        <f>'Monthly Data'!AQ60</f>
        <v>206.3</v>
      </c>
      <c r="H60" s="269">
        <f>'Monthly Data'!CD60</f>
        <v>30</v>
      </c>
      <c r="J60" s="18">
        <f>'GS 1k-4,999 Predicted Monthly'!$T$10</f>
        <v>1375460.7545834701</v>
      </c>
      <c r="K60" s="18">
        <f ca="1">E60*'GS 1k-4,999 Predicted Monthly'!$T$11</f>
        <v>1344.0064026310854</v>
      </c>
      <c r="L60" s="18">
        <f>F60*'GS 1k-4,999 Predicted Monthly'!$T$12</f>
        <v>0</v>
      </c>
      <c r="M60" s="18">
        <f>G60*'GS 1k-4,999 Predicted Monthly'!$T$13</f>
        <v>2260874.2323253839</v>
      </c>
      <c r="N60" s="18">
        <f>H60*'GS 1k-4,999 Predicted Monthly'!$T$14</f>
        <v>3396150.4552295702</v>
      </c>
      <c r="O60" s="18">
        <f t="shared" ca="1" si="2"/>
        <v>7033829.4485410554</v>
      </c>
    </row>
    <row r="61" spans="1:15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69">
        <f t="shared" ca="1" si="5"/>
        <v>0</v>
      </c>
      <c r="F61" s="269">
        <f>'Monthly Data'!CG61</f>
        <v>0</v>
      </c>
      <c r="G61" s="269">
        <f>'Monthly Data'!AQ61</f>
        <v>207.6</v>
      </c>
      <c r="H61" s="269">
        <f>'Monthly Data'!CD61</f>
        <v>31</v>
      </c>
      <c r="J61" s="18">
        <f>'GS 1k-4,999 Predicted Monthly'!$T$10</f>
        <v>1375460.7545834701</v>
      </c>
      <c r="K61" s="18">
        <f ca="1">E61*'GS 1k-4,999 Predicted Monthly'!$T$11</f>
        <v>0</v>
      </c>
      <c r="L61" s="18">
        <f>F61*'GS 1k-4,999 Predicted Monthly'!$T$12</f>
        <v>0</v>
      </c>
      <c r="M61" s="18">
        <f>G61*'GS 1k-4,999 Predicted Monthly'!$T$13</f>
        <v>2275121.1373279192</v>
      </c>
      <c r="N61" s="18">
        <f>H61*'GS 1k-4,999 Predicted Monthly'!$T$14</f>
        <v>3509355.4704038892</v>
      </c>
      <c r="O61" s="18">
        <f t="shared" ca="1" si="2"/>
        <v>7159937.3623152785</v>
      </c>
    </row>
    <row r="62" spans="1:15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69">
        <f t="shared" ca="1" si="5"/>
        <v>0</v>
      </c>
      <c r="F62" s="269">
        <f>'Monthly Data'!CG62</f>
        <v>0</v>
      </c>
      <c r="G62" s="269">
        <f>'Monthly Data'!AQ62</f>
        <v>208.1</v>
      </c>
      <c r="H62" s="269">
        <f>'Monthly Data'!CD62</f>
        <v>31</v>
      </c>
      <c r="J62" s="18">
        <f>'GS 1k-4,999 Predicted Monthly'!$T$10</f>
        <v>1375460.7545834701</v>
      </c>
      <c r="K62" s="18">
        <f ca="1">E62*'GS 1k-4,999 Predicted Monthly'!$T$11</f>
        <v>0</v>
      </c>
      <c r="L62" s="18">
        <f>F62*'GS 1k-4,999 Predicted Monthly'!$T$12</f>
        <v>0</v>
      </c>
      <c r="M62" s="18">
        <f>G62*'GS 1k-4,999 Predicted Monthly'!$T$13</f>
        <v>2280600.7161750481</v>
      </c>
      <c r="N62" s="18">
        <f>H62*'GS 1k-4,999 Predicted Monthly'!$T$14</f>
        <v>3509355.4704038892</v>
      </c>
      <c r="O62" s="18">
        <f t="shared" ca="1" si="2"/>
        <v>7165416.9411624074</v>
      </c>
    </row>
    <row r="63" spans="1:15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69">
        <f t="shared" ref="E63:E78" ca="1" si="6">E51</f>
        <v>0</v>
      </c>
      <c r="F63" s="269">
        <f>'Monthly Data'!CG63</f>
        <v>0</v>
      </c>
      <c r="G63" s="269">
        <f>'Monthly Data'!AQ63</f>
        <v>210.7</v>
      </c>
      <c r="H63" s="269">
        <f>'Monthly Data'!CD63</f>
        <v>29</v>
      </c>
      <c r="J63" s="18">
        <f>'GS 1k-4,999 Predicted Monthly'!$T$10</f>
        <v>1375460.7545834701</v>
      </c>
      <c r="K63" s="18">
        <f ca="1">E63*'GS 1k-4,999 Predicted Monthly'!$T$11</f>
        <v>0</v>
      </c>
      <c r="L63" s="18">
        <f>F63*'GS 1k-4,999 Predicted Monthly'!$T$12</f>
        <v>0</v>
      </c>
      <c r="M63" s="18">
        <f>G63*'GS 1k-4,999 Predicted Monthly'!$T$13</f>
        <v>2309094.5261801183</v>
      </c>
      <c r="N63" s="18">
        <f>H63*'GS 1k-4,999 Predicted Monthly'!$T$14</f>
        <v>3282945.4400552511</v>
      </c>
      <c r="O63" s="18">
        <f t="shared" ca="1" si="2"/>
        <v>6967500.72081884</v>
      </c>
    </row>
    <row r="64" spans="1:15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69">
        <f t="shared" ca="1" si="6"/>
        <v>0</v>
      </c>
      <c r="F64" s="269">
        <f>'Monthly Data'!CG64</f>
        <v>0.5</v>
      </c>
      <c r="G64" s="269">
        <f>'Monthly Data'!AQ64</f>
        <v>208.3</v>
      </c>
      <c r="H64" s="269">
        <f>'Monthly Data'!CD64</f>
        <v>31</v>
      </c>
      <c r="J64" s="18">
        <f>'GS 1k-4,999 Predicted Monthly'!$T$10</f>
        <v>1375460.7545834701</v>
      </c>
      <c r="K64" s="18">
        <f ca="1">E64*'GS 1k-4,999 Predicted Monthly'!$T$11</f>
        <v>0</v>
      </c>
      <c r="L64" s="18">
        <f>F64*'GS 1k-4,999 Predicted Monthly'!$T$12</f>
        <v>-685237.51787006995</v>
      </c>
      <c r="M64" s="18">
        <f>G64*'GS 1k-4,999 Predicted Monthly'!$T$13</f>
        <v>2282792.5477138995</v>
      </c>
      <c r="N64" s="18">
        <f>H64*'GS 1k-4,999 Predicted Monthly'!$T$14</f>
        <v>3509355.4704038892</v>
      </c>
      <c r="O64" s="18">
        <f t="shared" ca="1" si="2"/>
        <v>6482371.2548311893</v>
      </c>
    </row>
    <row r="65" spans="1:15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69">
        <f t="shared" ca="1" si="6"/>
        <v>0.4316666666666677</v>
      </c>
      <c r="F65" s="269">
        <f>'Monthly Data'!CG65</f>
        <v>1</v>
      </c>
      <c r="G65" s="269">
        <f>'Monthly Data'!AQ65</f>
        <v>201.9</v>
      </c>
      <c r="H65" s="269">
        <f>'Monthly Data'!CD65</f>
        <v>30</v>
      </c>
      <c r="J65" s="18">
        <f>'GS 1k-4,999 Predicted Monthly'!$T$10</f>
        <v>1375460.7545834701</v>
      </c>
      <c r="K65" s="18">
        <f ca="1">E65*'GS 1k-4,999 Predicted Monthly'!$T$11</f>
        <v>3857.0377648914441</v>
      </c>
      <c r="L65" s="18">
        <f>F65*'GS 1k-4,999 Predicted Monthly'!$T$12</f>
        <v>-1370475.0357401399</v>
      </c>
      <c r="M65" s="18">
        <f>G65*'GS 1k-4,999 Predicted Monthly'!$T$13</f>
        <v>2212653.93847065</v>
      </c>
      <c r="N65" s="18">
        <f>H65*'GS 1k-4,999 Predicted Monthly'!$T$14</f>
        <v>3396150.4552295702</v>
      </c>
      <c r="O65" s="18">
        <f t="shared" ca="1" si="2"/>
        <v>5617647.1503084414</v>
      </c>
    </row>
    <row r="66" spans="1:15" x14ac:dyDescent="0.25">
      <c r="A66" s="3">
        <f>'Monthly Data'!A66</f>
        <v>43952</v>
      </c>
      <c r="B66" s="1">
        <f t="shared" ref="B66:B129" si="7">YEAR(A66)</f>
        <v>2020</v>
      </c>
      <c r="C66" s="1">
        <f t="shared" ref="C66:C129" si="8">MONTH(A66)</f>
        <v>5</v>
      </c>
      <c r="D66" s="259">
        <f>'Monthly Data'!S66</f>
        <v>5975758.5394809321</v>
      </c>
      <c r="E66" s="269">
        <f t="shared" ca="1" si="6"/>
        <v>29.4520183982684</v>
      </c>
      <c r="F66" s="269">
        <f>'Monthly Data'!CG66</f>
        <v>1</v>
      </c>
      <c r="G66" s="269">
        <f>'Monthly Data'!AQ66</f>
        <v>193.3</v>
      </c>
      <c r="H66" s="269">
        <f>'Monthly Data'!CD66</f>
        <v>31</v>
      </c>
      <c r="J66" s="18">
        <f>'GS 1k-4,999 Predicted Monthly'!$T$10</f>
        <v>1375460.7545834701</v>
      </c>
      <c r="K66" s="18">
        <f ca="1">E66*'GS 1k-4,999 Predicted Monthly'!$T$11</f>
        <v>263160.34103721677</v>
      </c>
      <c r="L66" s="18">
        <f>F66*'GS 1k-4,999 Predicted Monthly'!$T$12</f>
        <v>-1370475.0357401399</v>
      </c>
      <c r="M66" s="18">
        <f>G66*'GS 1k-4,999 Predicted Monthly'!$T$13</f>
        <v>2118405.1823000326</v>
      </c>
      <c r="N66" s="18">
        <f>H66*'GS 1k-4,999 Predicted Monthly'!$T$14</f>
        <v>3509355.4704038892</v>
      </c>
      <c r="O66" s="18">
        <f t="shared" ca="1" si="2"/>
        <v>5895906.7125844685</v>
      </c>
    </row>
    <row r="67" spans="1:15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Data'!S67</f>
        <v>7052492.3045150973</v>
      </c>
      <c r="E67" s="269">
        <f t="shared" ca="1" si="6"/>
        <v>86.311049595332207</v>
      </c>
      <c r="F67" s="269">
        <f>'Monthly Data'!CG67</f>
        <v>0.5</v>
      </c>
      <c r="G67" s="269">
        <f>'Monthly Data'!AQ67</f>
        <v>190.3</v>
      </c>
      <c r="H67" s="269">
        <f>'Monthly Data'!CD67</f>
        <v>30</v>
      </c>
      <c r="J67" s="18">
        <f>'GS 1k-4,999 Predicted Monthly'!$T$10</f>
        <v>1375460.7545834701</v>
      </c>
      <c r="K67" s="18">
        <f ca="1">E67*'GS 1k-4,999 Predicted Monthly'!$T$11</f>
        <v>771208.44281841069</v>
      </c>
      <c r="L67" s="18">
        <f>F67*'GS 1k-4,999 Predicted Monthly'!$T$12</f>
        <v>-685237.51787006995</v>
      </c>
      <c r="M67" s="18">
        <f>G67*'GS 1k-4,999 Predicted Monthly'!$T$13</f>
        <v>2085527.7092172594</v>
      </c>
      <c r="N67" s="18">
        <f>H67*'GS 1k-4,999 Predicted Monthly'!$T$14</f>
        <v>3396150.4552295702</v>
      </c>
      <c r="O67" s="18">
        <f t="shared" ref="O67:O130" ca="1" si="9">SUM(J67:N67)</f>
        <v>6943109.8439786406</v>
      </c>
    </row>
    <row r="68" spans="1:15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Data'!S68</f>
        <v>8644136.8558436297</v>
      </c>
      <c r="E68" s="269">
        <f t="shared" ca="1" si="6"/>
        <v>174.0219619206118</v>
      </c>
      <c r="F68" s="269">
        <f>'Monthly Data'!CG68</f>
        <v>0.5</v>
      </c>
      <c r="G68" s="269">
        <f>'Monthly Data'!AQ68</f>
        <v>195.6</v>
      </c>
      <c r="H68" s="269">
        <f>'Monthly Data'!CD68</f>
        <v>31</v>
      </c>
      <c r="J68" s="18">
        <f>'GS 1k-4,999 Predicted Monthly'!$T$10</f>
        <v>1375460.7545834701</v>
      </c>
      <c r="K68" s="18">
        <f ca="1">E68*'GS 1k-4,999 Predicted Monthly'!$T$11</f>
        <v>1554924.9707682601</v>
      </c>
      <c r="L68" s="18">
        <f>F68*'GS 1k-4,999 Predicted Monthly'!$T$12</f>
        <v>-685237.51787006995</v>
      </c>
      <c r="M68" s="18">
        <f>G68*'GS 1k-4,999 Predicted Monthly'!$T$13</f>
        <v>2143611.2449968257</v>
      </c>
      <c r="N68" s="18">
        <f>H68*'GS 1k-4,999 Predicted Monthly'!$T$14</f>
        <v>3509355.4704038892</v>
      </c>
      <c r="O68" s="18">
        <f t="shared" ca="1" si="9"/>
        <v>7898114.9228823753</v>
      </c>
    </row>
    <row r="69" spans="1:15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Data'!S69</f>
        <v>8115885.9892690107</v>
      </c>
      <c r="E69" s="269">
        <f t="shared" ca="1" si="6"/>
        <v>149.7160046113307</v>
      </c>
      <c r="F69" s="269">
        <f>'Monthly Data'!CG69</f>
        <v>0.5</v>
      </c>
      <c r="G69" s="269">
        <f>'Monthly Data'!AQ69</f>
        <v>202.7</v>
      </c>
      <c r="H69" s="269">
        <f>'Monthly Data'!CD69</f>
        <v>31</v>
      </c>
      <c r="J69" s="18">
        <f>'GS 1k-4,999 Predicted Monthly'!$T$10</f>
        <v>1375460.7545834701</v>
      </c>
      <c r="K69" s="18">
        <f ca="1">E69*'GS 1k-4,999 Predicted Monthly'!$T$11</f>
        <v>1337745.8311843153</v>
      </c>
      <c r="L69" s="18">
        <f>F69*'GS 1k-4,999 Predicted Monthly'!$T$12</f>
        <v>-685237.51787006995</v>
      </c>
      <c r="M69" s="18">
        <f>G69*'GS 1k-4,999 Predicted Monthly'!$T$13</f>
        <v>2221421.264626056</v>
      </c>
      <c r="N69" s="18">
        <f>H69*'GS 1k-4,999 Predicted Monthly'!$T$14</f>
        <v>3509355.4704038892</v>
      </c>
      <c r="O69" s="18">
        <f t="shared" ca="1" si="9"/>
        <v>7758745.8029276598</v>
      </c>
    </row>
    <row r="70" spans="1:15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Data'!S70</f>
        <v>6840875.8033127291</v>
      </c>
      <c r="E70" s="269">
        <f t="shared" ca="1" si="6"/>
        <v>62.345178571428576</v>
      </c>
      <c r="F70" s="269">
        <f>'Monthly Data'!CG70</f>
        <v>0.5</v>
      </c>
      <c r="G70" s="269">
        <f>'Monthly Data'!AQ70</f>
        <v>208.8</v>
      </c>
      <c r="H70" s="269">
        <f>'Monthly Data'!CD70</f>
        <v>30</v>
      </c>
      <c r="J70" s="18">
        <f>'GS 1k-4,999 Predicted Monthly'!$T$10</f>
        <v>1375460.7545834701</v>
      </c>
      <c r="K70" s="18">
        <f ca="1">E70*'GS 1k-4,999 Predicted Monthly'!$T$11</f>
        <v>557068.04990478826</v>
      </c>
      <c r="L70" s="18">
        <f>F70*'GS 1k-4,999 Predicted Monthly'!$T$12</f>
        <v>-685237.51787006995</v>
      </c>
      <c r="M70" s="18">
        <f>G70*'GS 1k-4,999 Predicted Monthly'!$T$13</f>
        <v>2288272.1265610284</v>
      </c>
      <c r="N70" s="18">
        <f>H70*'GS 1k-4,999 Predicted Monthly'!$T$14</f>
        <v>3396150.4552295702</v>
      </c>
      <c r="O70" s="18">
        <f t="shared" ca="1" si="9"/>
        <v>6931713.8684087871</v>
      </c>
    </row>
    <row r="71" spans="1:15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Data'!S71</f>
        <v>6096532.0669815103</v>
      </c>
      <c r="E71" s="269">
        <f t="shared" ca="1" si="6"/>
        <v>7.1541666666666703</v>
      </c>
      <c r="F71" s="269">
        <f>'Monthly Data'!CG71</f>
        <v>0.5</v>
      </c>
      <c r="G71" s="269">
        <f>'Monthly Data'!AQ71</f>
        <v>213.3</v>
      </c>
      <c r="H71" s="269">
        <f>'Monthly Data'!CD71</f>
        <v>31</v>
      </c>
      <c r="J71" s="18">
        <f>'GS 1k-4,999 Predicted Monthly'!$T$10</f>
        <v>1375460.7545834701</v>
      </c>
      <c r="K71" s="18">
        <f ca="1">E71*'GS 1k-4,999 Predicted Monthly'!$T$11</f>
        <v>63924.071837052099</v>
      </c>
      <c r="L71" s="18">
        <f>F71*'GS 1k-4,999 Predicted Monthly'!$T$12</f>
        <v>-685237.51787006995</v>
      </c>
      <c r="M71" s="18">
        <f>G71*'GS 1k-4,999 Predicted Monthly'!$T$13</f>
        <v>2337588.336185189</v>
      </c>
      <c r="N71" s="18">
        <f>H71*'GS 1k-4,999 Predicted Monthly'!$T$14</f>
        <v>3509355.4704038892</v>
      </c>
      <c r="O71" s="18">
        <f t="shared" ca="1" si="9"/>
        <v>6601091.11513953</v>
      </c>
    </row>
    <row r="72" spans="1:15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Data'!S72</f>
        <v>6275162.6858837437</v>
      </c>
      <c r="E72" s="269">
        <f t="shared" ca="1" si="6"/>
        <v>0.15041666666666628</v>
      </c>
      <c r="F72" s="269">
        <f>'Monthly Data'!CG72</f>
        <v>0.5</v>
      </c>
      <c r="G72" s="269">
        <f>'Monthly Data'!AQ72</f>
        <v>214.2</v>
      </c>
      <c r="H72" s="269">
        <f>'Monthly Data'!CD72</f>
        <v>30</v>
      </c>
      <c r="J72" s="18">
        <f>'GS 1k-4,999 Predicted Monthly'!$T$10</f>
        <v>1375460.7545834701</v>
      </c>
      <c r="K72" s="18">
        <f ca="1">E72*'GS 1k-4,999 Predicted Monthly'!$T$11</f>
        <v>1344.0064026310854</v>
      </c>
      <c r="L72" s="18">
        <f>F72*'GS 1k-4,999 Predicted Monthly'!$T$12</f>
        <v>-685237.51787006995</v>
      </c>
      <c r="M72" s="18">
        <f>G72*'GS 1k-4,999 Predicted Monthly'!$T$13</f>
        <v>2347451.5781100206</v>
      </c>
      <c r="N72" s="18">
        <f>H72*'GS 1k-4,999 Predicted Monthly'!$T$14</f>
        <v>3396150.4552295702</v>
      </c>
      <c r="O72" s="18">
        <f t="shared" ca="1" si="9"/>
        <v>6435169.2764556222</v>
      </c>
    </row>
    <row r="73" spans="1:15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Data'!S73</f>
        <v>6594890.4345861645</v>
      </c>
      <c r="E73" s="269">
        <f t="shared" ca="1" si="6"/>
        <v>0</v>
      </c>
      <c r="F73" s="269">
        <f>'Monthly Data'!CG73</f>
        <v>0.5</v>
      </c>
      <c r="G73" s="269">
        <f>'Monthly Data'!AQ73</f>
        <v>213.6</v>
      </c>
      <c r="H73" s="269">
        <f>'Monthly Data'!CD73</f>
        <v>31</v>
      </c>
      <c r="J73" s="18">
        <f>'GS 1k-4,999 Predicted Monthly'!$T$10</f>
        <v>1375460.7545834701</v>
      </c>
      <c r="K73" s="18">
        <f ca="1">E73*'GS 1k-4,999 Predicted Monthly'!$T$11</f>
        <v>0</v>
      </c>
      <c r="L73" s="18">
        <f>F73*'GS 1k-4,999 Predicted Monthly'!$T$12</f>
        <v>-685237.51787006995</v>
      </c>
      <c r="M73" s="18">
        <f>G73*'GS 1k-4,999 Predicted Monthly'!$T$13</f>
        <v>2340876.083493466</v>
      </c>
      <c r="N73" s="18">
        <f>H73*'GS 1k-4,999 Predicted Monthly'!$T$14</f>
        <v>3509355.4704038892</v>
      </c>
      <c r="O73" s="18">
        <f t="shared" ca="1" si="9"/>
        <v>6540454.7906107549</v>
      </c>
    </row>
    <row r="74" spans="1:15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 ca="1">'Monthly Data'!S74</f>
        <v>6463542.8741169646</v>
      </c>
      <c r="E74" s="269">
        <f t="shared" ca="1" si="6"/>
        <v>0</v>
      </c>
      <c r="F74" s="269">
        <f>'Monthly Data'!CG74</f>
        <v>0.5</v>
      </c>
      <c r="G74" s="269">
        <f>'Monthly Data'!AQ74</f>
        <v>207.3</v>
      </c>
      <c r="H74" s="269">
        <f>'Monthly Data'!CD74</f>
        <v>31</v>
      </c>
      <c r="J74" s="18">
        <f>'GS 1k-4,999 Predicted Monthly'!$T$10</f>
        <v>1375460.7545834701</v>
      </c>
      <c r="K74" s="18">
        <f ca="1">E74*'GS 1k-4,999 Predicted Monthly'!$T$11</f>
        <v>0</v>
      </c>
      <c r="L74" s="18">
        <f>F74*'GS 1k-4,999 Predicted Monthly'!$T$12</f>
        <v>-685237.51787006995</v>
      </c>
      <c r="M74" s="18">
        <f>G74*'GS 1k-4,999 Predicted Monthly'!$T$13</f>
        <v>2271833.3900196417</v>
      </c>
      <c r="N74" s="18">
        <f>H74*'GS 1k-4,999 Predicted Monthly'!$T$14</f>
        <v>3509355.4704038892</v>
      </c>
      <c r="O74" s="18">
        <f t="shared" ca="1" si="9"/>
        <v>6471412.0971369315</v>
      </c>
    </row>
    <row r="75" spans="1:15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 ca="1">'Monthly Data'!S75</f>
        <v>5458795.4616897674</v>
      </c>
      <c r="E75" s="269">
        <f t="shared" ca="1" si="6"/>
        <v>0</v>
      </c>
      <c r="F75" s="269">
        <f>'Monthly Data'!CG75</f>
        <v>0.5</v>
      </c>
      <c r="G75" s="269">
        <f>'Monthly Data'!AQ75</f>
        <v>205.4</v>
      </c>
      <c r="H75" s="269">
        <f>'Monthly Data'!CD75</f>
        <v>28</v>
      </c>
      <c r="J75" s="18">
        <f>'GS 1k-4,999 Predicted Monthly'!$T$10</f>
        <v>1375460.7545834701</v>
      </c>
      <c r="K75" s="18">
        <f ca="1">E75*'GS 1k-4,999 Predicted Monthly'!$T$11</f>
        <v>0</v>
      </c>
      <c r="L75" s="18">
        <f>F75*'GS 1k-4,999 Predicted Monthly'!$T$12</f>
        <v>-685237.51787006995</v>
      </c>
      <c r="M75" s="18">
        <f>G75*'GS 1k-4,999 Predicted Monthly'!$T$13</f>
        <v>2251010.9904005523</v>
      </c>
      <c r="N75" s="18">
        <f>H75*'GS 1k-4,999 Predicted Monthly'!$T$14</f>
        <v>3169740.4248809321</v>
      </c>
      <c r="O75" s="18">
        <f t="shared" ca="1" si="9"/>
        <v>6110974.651994884</v>
      </c>
    </row>
    <row r="76" spans="1:15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 ca="1">'Monthly Data'!S76</f>
        <v>6088324.3268875144</v>
      </c>
      <c r="E76" s="269">
        <f t="shared" ca="1" si="6"/>
        <v>0</v>
      </c>
      <c r="F76" s="269">
        <f>'Monthly Data'!CG76</f>
        <v>0.5</v>
      </c>
      <c r="G76" s="269">
        <f>'Monthly Data'!AQ76</f>
        <v>204.5</v>
      </c>
      <c r="H76" s="269">
        <f>'Monthly Data'!CD76</f>
        <v>31</v>
      </c>
      <c r="J76" s="18">
        <f>'GS 1k-4,999 Predicted Monthly'!$T$10</f>
        <v>1375460.7545834701</v>
      </c>
      <c r="K76" s="18">
        <f ca="1">E76*'GS 1k-4,999 Predicted Monthly'!$T$11</f>
        <v>0</v>
      </c>
      <c r="L76" s="18">
        <f>F76*'GS 1k-4,999 Predicted Monthly'!$T$12</f>
        <v>-685237.51787006995</v>
      </c>
      <c r="M76" s="18">
        <f>G76*'GS 1k-4,999 Predicted Monthly'!$T$13</f>
        <v>2241147.7484757202</v>
      </c>
      <c r="N76" s="18">
        <f>H76*'GS 1k-4,999 Predicted Monthly'!$T$14</f>
        <v>3509355.4704038892</v>
      </c>
      <c r="O76" s="18">
        <f t="shared" ca="1" si="9"/>
        <v>6440726.4555930095</v>
      </c>
    </row>
    <row r="77" spans="1:15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 ca="1">'Monthly Data'!S77</f>
        <v>6926734.3908607904</v>
      </c>
      <c r="E77" s="269">
        <f t="shared" ca="1" si="6"/>
        <v>0.4316666666666677</v>
      </c>
      <c r="F77" s="269">
        <f>'Monthly Data'!CG77</f>
        <v>0.5</v>
      </c>
      <c r="G77" s="269">
        <f>'Monthly Data'!AQ77</f>
        <v>206</v>
      </c>
      <c r="H77" s="269">
        <f>'Monthly Data'!CD77</f>
        <v>30</v>
      </c>
      <c r="J77" s="18">
        <f>'GS 1k-4,999 Predicted Monthly'!$T$10</f>
        <v>1375460.7545834701</v>
      </c>
      <c r="K77" s="18">
        <f ca="1">E77*'GS 1k-4,999 Predicted Monthly'!$T$11</f>
        <v>3857.0377648914441</v>
      </c>
      <c r="L77" s="18">
        <f>F77*'GS 1k-4,999 Predicted Monthly'!$T$12</f>
        <v>-685237.51787006995</v>
      </c>
      <c r="M77" s="18">
        <f>G77*'GS 1k-4,999 Predicted Monthly'!$T$13</f>
        <v>2257586.4850171069</v>
      </c>
      <c r="N77" s="18">
        <f>H77*'GS 1k-4,999 Predicted Monthly'!$T$14</f>
        <v>3396150.4552295702</v>
      </c>
      <c r="O77" s="18">
        <f t="shared" ca="1" si="9"/>
        <v>6347817.2147249691</v>
      </c>
    </row>
    <row r="78" spans="1:15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 ca="1">'Monthly Data'!S78</f>
        <v>6680382.3897179896</v>
      </c>
      <c r="E78" s="269">
        <f t="shared" ca="1" si="6"/>
        <v>29.4520183982684</v>
      </c>
      <c r="F78" s="269">
        <f>'Monthly Data'!CG78</f>
        <v>0.5</v>
      </c>
      <c r="G78" s="269">
        <f>'Monthly Data'!AQ78</f>
        <v>204.1</v>
      </c>
      <c r="H78" s="269">
        <f>'Monthly Data'!CD78</f>
        <v>31</v>
      </c>
      <c r="J78" s="18">
        <f>'GS 1k-4,999 Predicted Monthly'!$T$10</f>
        <v>1375460.7545834701</v>
      </c>
      <c r="K78" s="18">
        <f ca="1">E78*'GS 1k-4,999 Predicted Monthly'!$T$11</f>
        <v>263160.34103721677</v>
      </c>
      <c r="L78" s="18">
        <f>F78*'GS 1k-4,999 Predicted Monthly'!$T$12</f>
        <v>-685237.51787006995</v>
      </c>
      <c r="M78" s="18">
        <f>G78*'GS 1k-4,999 Predicted Monthly'!$T$13</f>
        <v>2236764.085398017</v>
      </c>
      <c r="N78" s="18">
        <f>H78*'GS 1k-4,999 Predicted Monthly'!$T$14</f>
        <v>3509355.4704038892</v>
      </c>
      <c r="O78" s="18">
        <f t="shared" ca="1" si="9"/>
        <v>6699503.1335525233</v>
      </c>
    </row>
    <row r="79" spans="1:15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 ca="1">'Monthly Data'!S79</f>
        <v>7248113.315856941</v>
      </c>
      <c r="E79" s="269">
        <f t="shared" ref="E79:E94" ca="1" si="10">E67</f>
        <v>86.311049595332207</v>
      </c>
      <c r="F79" s="269">
        <f>'Monthly Data'!CG79</f>
        <v>0.5</v>
      </c>
      <c r="G79" s="269">
        <f>'Monthly Data'!AQ79</f>
        <v>203.9</v>
      </c>
      <c r="H79" s="269">
        <f>'Monthly Data'!CD79</f>
        <v>30</v>
      </c>
      <c r="J79" s="18">
        <f>'GS 1k-4,999 Predicted Monthly'!$T$10</f>
        <v>1375460.7545834701</v>
      </c>
      <c r="K79" s="18">
        <f ca="1">E79*'GS 1k-4,999 Predicted Monthly'!$T$11</f>
        <v>771208.44281841069</v>
      </c>
      <c r="L79" s="18">
        <f>F79*'GS 1k-4,999 Predicted Monthly'!$T$12</f>
        <v>-685237.51787006995</v>
      </c>
      <c r="M79" s="18">
        <f>G79*'GS 1k-4,999 Predicted Monthly'!$T$13</f>
        <v>2234572.2538591656</v>
      </c>
      <c r="N79" s="18">
        <f>H79*'GS 1k-4,999 Predicted Monthly'!$T$14</f>
        <v>3396150.4552295702</v>
      </c>
      <c r="O79" s="18">
        <f t="shared" ca="1" si="9"/>
        <v>7092154.3886205461</v>
      </c>
    </row>
    <row r="80" spans="1:15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 ca="1">'Monthly Data'!S80</f>
        <v>7248195.6049929485</v>
      </c>
      <c r="E80" s="269">
        <f t="shared" ca="1" si="10"/>
        <v>174.0219619206118</v>
      </c>
      <c r="F80" s="269">
        <f>'Monthly Data'!CG80</f>
        <v>0.5</v>
      </c>
      <c r="G80" s="269">
        <f>'Monthly Data'!AQ80</f>
        <v>205.7</v>
      </c>
      <c r="H80" s="269">
        <f>'Monthly Data'!CD80</f>
        <v>31</v>
      </c>
      <c r="J80" s="18">
        <f>'GS 1k-4,999 Predicted Monthly'!$T$10</f>
        <v>1375460.7545834701</v>
      </c>
      <c r="K80" s="18">
        <f ca="1">E80*'GS 1k-4,999 Predicted Monthly'!$T$11</f>
        <v>1554924.9707682601</v>
      </c>
      <c r="L80" s="18">
        <f>F80*'GS 1k-4,999 Predicted Monthly'!$T$12</f>
        <v>-685237.51787006995</v>
      </c>
      <c r="M80" s="18">
        <f>G80*'GS 1k-4,999 Predicted Monthly'!$T$13</f>
        <v>2254298.7377088293</v>
      </c>
      <c r="N80" s="18">
        <f>H80*'GS 1k-4,999 Predicted Monthly'!$T$14</f>
        <v>3509355.4704038892</v>
      </c>
      <c r="O80" s="18">
        <f t="shared" ca="1" si="9"/>
        <v>8008802.4155943785</v>
      </c>
    </row>
    <row r="81" spans="1:15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 ca="1">'Monthly Data'!S81</f>
        <v>8367078.5521161593</v>
      </c>
      <c r="E81" s="269">
        <f t="shared" ca="1" si="10"/>
        <v>149.7160046113307</v>
      </c>
      <c r="F81" s="269">
        <f>'Monthly Data'!CG81</f>
        <v>0.5</v>
      </c>
      <c r="G81" s="269">
        <f>'Monthly Data'!AQ81</f>
        <v>208.6</v>
      </c>
      <c r="H81" s="269">
        <f>'Monthly Data'!CD81</f>
        <v>31</v>
      </c>
      <c r="J81" s="18">
        <f>'GS 1k-4,999 Predicted Monthly'!$T$10</f>
        <v>1375460.7545834701</v>
      </c>
      <c r="K81" s="18">
        <f ca="1">E81*'GS 1k-4,999 Predicted Monthly'!$T$11</f>
        <v>1337745.8311843153</v>
      </c>
      <c r="L81" s="18">
        <f>F81*'GS 1k-4,999 Predicted Monthly'!$T$12</f>
        <v>-685237.51787006995</v>
      </c>
      <c r="M81" s="18">
        <f>G81*'GS 1k-4,999 Predicted Monthly'!$T$13</f>
        <v>2286080.295022177</v>
      </c>
      <c r="N81" s="18">
        <f>H81*'GS 1k-4,999 Predicted Monthly'!$T$14</f>
        <v>3509355.4704038892</v>
      </c>
      <c r="O81" s="18">
        <f t="shared" ca="1" si="9"/>
        <v>7823404.8333237814</v>
      </c>
    </row>
    <row r="82" spans="1:15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 ca="1">'Monthly Data'!S82</f>
        <v>6410256.2772931</v>
      </c>
      <c r="E82" s="269">
        <f t="shared" ca="1" si="10"/>
        <v>62.345178571428576</v>
      </c>
      <c r="F82" s="269">
        <f>'Monthly Data'!CG82</f>
        <v>0.5</v>
      </c>
      <c r="G82" s="269">
        <f>'Monthly Data'!AQ82</f>
        <v>212.9</v>
      </c>
      <c r="H82" s="269">
        <f>'Monthly Data'!CD82</f>
        <v>30</v>
      </c>
      <c r="J82" s="18">
        <f>'GS 1k-4,999 Predicted Monthly'!$T$10</f>
        <v>1375460.7545834701</v>
      </c>
      <c r="K82" s="18">
        <f ca="1">E82*'GS 1k-4,999 Predicted Monthly'!$T$11</f>
        <v>557068.04990478826</v>
      </c>
      <c r="L82" s="18">
        <f>F82*'GS 1k-4,999 Predicted Monthly'!$T$12</f>
        <v>-685237.51787006995</v>
      </c>
      <c r="M82" s="18">
        <f>G82*'GS 1k-4,999 Predicted Monthly'!$T$13</f>
        <v>2333204.6731074858</v>
      </c>
      <c r="N82" s="18">
        <f>H82*'GS 1k-4,999 Predicted Monthly'!$T$14</f>
        <v>3396150.4552295702</v>
      </c>
      <c r="O82" s="18">
        <f t="shared" ca="1" si="9"/>
        <v>6976646.4149552444</v>
      </c>
    </row>
    <row r="83" spans="1:15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 ca="1">'Monthly Data'!S83</f>
        <v>6890337.5874573551</v>
      </c>
      <c r="E83" s="269">
        <f t="shared" ca="1" si="10"/>
        <v>7.1541666666666703</v>
      </c>
      <c r="F83" s="269">
        <f>'Monthly Data'!CG83</f>
        <v>0.5</v>
      </c>
      <c r="G83" s="269">
        <f>'Monthly Data'!AQ83</f>
        <v>217.2</v>
      </c>
      <c r="H83" s="269">
        <f>'Monthly Data'!CD83</f>
        <v>31</v>
      </c>
      <c r="J83" s="18">
        <f>'GS 1k-4,999 Predicted Monthly'!$T$10</f>
        <v>1375460.7545834701</v>
      </c>
      <c r="K83" s="18">
        <f ca="1">E83*'GS 1k-4,999 Predicted Monthly'!$T$11</f>
        <v>63924.071837052099</v>
      </c>
      <c r="L83" s="18">
        <f>F83*'GS 1k-4,999 Predicted Monthly'!$T$12</f>
        <v>-685237.51787006995</v>
      </c>
      <c r="M83" s="18">
        <f>G83*'GS 1k-4,999 Predicted Monthly'!$T$13</f>
        <v>2380329.051192794</v>
      </c>
      <c r="N83" s="18">
        <f>H83*'GS 1k-4,999 Predicted Monthly'!$T$14</f>
        <v>3509355.4704038892</v>
      </c>
      <c r="O83" s="18">
        <f t="shared" ca="1" si="9"/>
        <v>6643831.8301471351</v>
      </c>
    </row>
    <row r="84" spans="1:15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 ca="1">'Monthly Data'!S84</f>
        <v>6745645.0199029651</v>
      </c>
      <c r="E84" s="269">
        <f t="shared" ca="1" si="10"/>
        <v>0.15041666666666628</v>
      </c>
      <c r="F84" s="269">
        <f>'Monthly Data'!CG84</f>
        <v>0.5</v>
      </c>
      <c r="G84" s="269">
        <f>'Monthly Data'!AQ84</f>
        <v>222.6</v>
      </c>
      <c r="H84" s="269">
        <f>'Monthly Data'!CD84</f>
        <v>30</v>
      </c>
      <c r="J84" s="18">
        <f>'GS 1k-4,999 Predicted Monthly'!$T$10</f>
        <v>1375460.7545834701</v>
      </c>
      <c r="K84" s="18">
        <f ca="1">E84*'GS 1k-4,999 Predicted Monthly'!$T$11</f>
        <v>1344.0064026310854</v>
      </c>
      <c r="L84" s="18">
        <f>F84*'GS 1k-4,999 Predicted Monthly'!$T$12</f>
        <v>-685237.51787006995</v>
      </c>
      <c r="M84" s="18">
        <f>G84*'GS 1k-4,999 Predicted Monthly'!$T$13</f>
        <v>2439508.5027417862</v>
      </c>
      <c r="N84" s="18">
        <f>H84*'GS 1k-4,999 Predicted Monthly'!$T$14</f>
        <v>3396150.4552295702</v>
      </c>
      <c r="O84" s="18">
        <f t="shared" ca="1" si="9"/>
        <v>6527226.2010873873</v>
      </c>
    </row>
    <row r="85" spans="1:15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 ca="1">'Monthly Data'!S85</f>
        <v>6129735.4379778169</v>
      </c>
      <c r="E85" s="269">
        <f t="shared" ca="1" si="10"/>
        <v>0</v>
      </c>
      <c r="F85" s="269">
        <f>'Monthly Data'!CG85</f>
        <v>0.5</v>
      </c>
      <c r="G85" s="269">
        <f>'Monthly Data'!AQ85</f>
        <v>223.5</v>
      </c>
      <c r="H85" s="269">
        <f>'Monthly Data'!CD85</f>
        <v>31</v>
      </c>
      <c r="J85" s="18">
        <f>'GS 1k-4,999 Predicted Monthly'!$T$10</f>
        <v>1375460.7545834701</v>
      </c>
      <c r="K85" s="18">
        <f ca="1">E85*'GS 1k-4,999 Predicted Monthly'!$T$11</f>
        <v>0</v>
      </c>
      <c r="L85" s="18">
        <f>F85*'GS 1k-4,999 Predicted Monthly'!$T$12</f>
        <v>-685237.51787006995</v>
      </c>
      <c r="M85" s="18">
        <f>G85*'GS 1k-4,999 Predicted Monthly'!$T$13</f>
        <v>2449371.7446666183</v>
      </c>
      <c r="N85" s="18">
        <f>H85*'GS 1k-4,999 Predicted Monthly'!$T$14</f>
        <v>3509355.4704038892</v>
      </c>
      <c r="O85" s="18">
        <f t="shared" ca="1" si="9"/>
        <v>6648950.4517839076</v>
      </c>
    </row>
    <row r="86" spans="1:15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 ca="1">'Monthly Data'!S86</f>
        <v>6908368.2735126922</v>
      </c>
      <c r="E86" s="269">
        <f t="shared" ca="1" si="10"/>
        <v>0</v>
      </c>
      <c r="F86" s="269">
        <f>'Monthly Data'!CG86</f>
        <v>0.25</v>
      </c>
      <c r="G86" s="269">
        <f>'Monthly Data'!AQ86</f>
        <v>221.3</v>
      </c>
      <c r="H86" s="269">
        <f>'Monthly Data'!CD86</f>
        <v>31</v>
      </c>
      <c r="J86" s="18">
        <f>'GS 1k-4,999 Predicted Monthly'!$T$10</f>
        <v>1375460.7545834701</v>
      </c>
      <c r="K86" s="18">
        <f ca="1">E86*'GS 1k-4,999 Predicted Monthly'!$T$11</f>
        <v>0</v>
      </c>
      <c r="L86" s="18">
        <f>F86*'GS 1k-4,999 Predicted Monthly'!$T$12</f>
        <v>-342618.75893503497</v>
      </c>
      <c r="M86" s="18">
        <f>G86*'GS 1k-4,999 Predicted Monthly'!$T$13</f>
        <v>2425261.5977392513</v>
      </c>
      <c r="N86" s="18">
        <f>H86*'GS 1k-4,999 Predicted Monthly'!$T$14</f>
        <v>3509355.4704038892</v>
      </c>
      <c r="O86" s="18">
        <f t="shared" ca="1" si="9"/>
        <v>6967459.0637915758</v>
      </c>
    </row>
    <row r="87" spans="1:15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 ca="1">'Monthly Data'!S87</f>
        <v>7161065.1241702577</v>
      </c>
      <c r="E87" s="269">
        <f t="shared" ca="1" si="10"/>
        <v>0</v>
      </c>
      <c r="F87" s="269">
        <f>'Monthly Data'!CG87</f>
        <v>0.25</v>
      </c>
      <c r="G87" s="269">
        <f>'Monthly Data'!AQ87</f>
        <v>221.3</v>
      </c>
      <c r="H87" s="269">
        <f>'Monthly Data'!CD87</f>
        <v>28</v>
      </c>
      <c r="J87" s="18">
        <f>'GS 1k-4,999 Predicted Monthly'!$T$10</f>
        <v>1375460.7545834701</v>
      </c>
      <c r="K87" s="18">
        <f ca="1">E87*'GS 1k-4,999 Predicted Monthly'!$T$11</f>
        <v>0</v>
      </c>
      <c r="L87" s="18">
        <f>F87*'GS 1k-4,999 Predicted Monthly'!$T$12</f>
        <v>-342618.75893503497</v>
      </c>
      <c r="M87" s="18">
        <f>G87*'GS 1k-4,999 Predicted Monthly'!$T$13</f>
        <v>2425261.5977392513</v>
      </c>
      <c r="N87" s="18">
        <f>H87*'GS 1k-4,999 Predicted Monthly'!$T$14</f>
        <v>3169740.4248809321</v>
      </c>
      <c r="O87" s="18">
        <f t="shared" ca="1" si="9"/>
        <v>6627844.0182686187</v>
      </c>
    </row>
    <row r="88" spans="1:15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 ca="1">'Monthly Data'!S88</f>
        <v>7060294.2042749701</v>
      </c>
      <c r="E88" s="269">
        <f t="shared" ca="1" si="10"/>
        <v>0</v>
      </c>
      <c r="F88" s="269">
        <f>'Monthly Data'!CG88</f>
        <v>0.25</v>
      </c>
      <c r="G88" s="269">
        <f>'Monthly Data'!AQ88</f>
        <v>222.7</v>
      </c>
      <c r="H88" s="269">
        <f>'Monthly Data'!CD88</f>
        <v>31</v>
      </c>
      <c r="J88" s="18">
        <f>'GS 1k-4,999 Predicted Monthly'!$T$10</f>
        <v>1375460.7545834701</v>
      </c>
      <c r="K88" s="18">
        <f ca="1">E88*'GS 1k-4,999 Predicted Monthly'!$T$11</f>
        <v>0</v>
      </c>
      <c r="L88" s="18">
        <f>F88*'GS 1k-4,999 Predicted Monthly'!$T$12</f>
        <v>-342618.75893503497</v>
      </c>
      <c r="M88" s="18">
        <f>G88*'GS 1k-4,999 Predicted Monthly'!$T$13</f>
        <v>2440604.4185112119</v>
      </c>
      <c r="N88" s="18">
        <f>H88*'GS 1k-4,999 Predicted Monthly'!$T$14</f>
        <v>3509355.4704038892</v>
      </c>
      <c r="O88" s="18">
        <f t="shared" ca="1" si="9"/>
        <v>6982801.8845635364</v>
      </c>
    </row>
    <row r="89" spans="1:15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 ca="1">'Monthly Data'!S89</f>
        <v>6937129.8462657398</v>
      </c>
      <c r="E89" s="269">
        <f t="shared" ca="1" si="10"/>
        <v>0.4316666666666677</v>
      </c>
      <c r="F89" s="269">
        <f>'Monthly Data'!CG89</f>
        <v>0.25</v>
      </c>
      <c r="G89" s="269">
        <f>'Monthly Data'!AQ89</f>
        <v>227.3</v>
      </c>
      <c r="H89" s="269">
        <f>'Monthly Data'!CD89</f>
        <v>30</v>
      </c>
      <c r="J89" s="18">
        <f>'GS 1k-4,999 Predicted Monthly'!$T$10</f>
        <v>1375460.7545834701</v>
      </c>
      <c r="K89" s="18">
        <f ca="1">E89*'GS 1k-4,999 Predicted Monthly'!$T$11</f>
        <v>3857.0377648914441</v>
      </c>
      <c r="L89" s="18">
        <f>F89*'GS 1k-4,999 Predicted Monthly'!$T$12</f>
        <v>-342618.75893503497</v>
      </c>
      <c r="M89" s="18">
        <f>G89*'GS 1k-4,999 Predicted Monthly'!$T$13</f>
        <v>2491016.5439047981</v>
      </c>
      <c r="N89" s="18">
        <f>H89*'GS 1k-4,999 Predicted Monthly'!$T$14</f>
        <v>3396150.4552295702</v>
      </c>
      <c r="O89" s="18">
        <f t="shared" ca="1" si="9"/>
        <v>6923866.0325476946</v>
      </c>
    </row>
    <row r="90" spans="1:15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 ca="1">'Monthly Data'!S90</f>
        <v>7876523.1750036683</v>
      </c>
      <c r="E90" s="269">
        <f t="shared" ca="1" si="10"/>
        <v>29.4520183982684</v>
      </c>
      <c r="F90" s="269">
        <f>'Monthly Data'!CG90</f>
        <v>0.25</v>
      </c>
      <c r="G90" s="269">
        <f>'Monthly Data'!AQ90</f>
        <v>229.3</v>
      </c>
      <c r="H90" s="269">
        <f>'Monthly Data'!CD90</f>
        <v>31</v>
      </c>
      <c r="J90" s="18">
        <f>'GS 1k-4,999 Predicted Monthly'!$T$10</f>
        <v>1375460.7545834701</v>
      </c>
      <c r="K90" s="18">
        <f ca="1">E90*'GS 1k-4,999 Predicted Monthly'!$T$11</f>
        <v>263160.34103721677</v>
      </c>
      <c r="L90" s="18">
        <f>F90*'GS 1k-4,999 Predicted Monthly'!$T$12</f>
        <v>-342618.75893503497</v>
      </c>
      <c r="M90" s="18">
        <f>G90*'GS 1k-4,999 Predicted Monthly'!$T$13</f>
        <v>2512934.8592933137</v>
      </c>
      <c r="N90" s="18">
        <f>H90*'GS 1k-4,999 Predicted Monthly'!$T$14</f>
        <v>3509355.4704038892</v>
      </c>
      <c r="O90" s="18">
        <f t="shared" ca="1" si="9"/>
        <v>7318292.6663828548</v>
      </c>
    </row>
    <row r="91" spans="1:15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 ca="1">'Monthly Data'!S91</f>
        <v>8322270.4452530704</v>
      </c>
      <c r="E91" s="269">
        <f t="shared" ca="1" si="10"/>
        <v>86.311049595332207</v>
      </c>
      <c r="F91" s="269">
        <f>'Monthly Data'!CG91</f>
        <v>0.25</v>
      </c>
      <c r="G91" s="269">
        <f>'Monthly Data'!AQ91</f>
        <v>229.9</v>
      </c>
      <c r="H91" s="269">
        <f>'Monthly Data'!CD91</f>
        <v>30</v>
      </c>
      <c r="J91" s="18">
        <f>'GS 1k-4,999 Predicted Monthly'!$T$10</f>
        <v>1375460.7545834701</v>
      </c>
      <c r="K91" s="18">
        <f ca="1">E91*'GS 1k-4,999 Predicted Monthly'!$T$11</f>
        <v>771208.44281841069</v>
      </c>
      <c r="L91" s="18">
        <f>F91*'GS 1k-4,999 Predicted Monthly'!$T$12</f>
        <v>-342618.75893503497</v>
      </c>
      <c r="M91" s="18">
        <f>G91*'GS 1k-4,999 Predicted Monthly'!$T$13</f>
        <v>2519510.3539098683</v>
      </c>
      <c r="N91" s="18">
        <f>H91*'GS 1k-4,999 Predicted Monthly'!$T$14</f>
        <v>3396150.4552295702</v>
      </c>
      <c r="O91" s="18">
        <f t="shared" ca="1" si="9"/>
        <v>7719711.247606284</v>
      </c>
    </row>
    <row r="92" spans="1:15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 ca="1">'Monthly Data'!S92</f>
        <v>8827559.3099206332</v>
      </c>
      <c r="E92" s="269">
        <f t="shared" ca="1" si="10"/>
        <v>174.0219619206118</v>
      </c>
      <c r="F92" s="269">
        <f>'Monthly Data'!CG92</f>
        <v>0.25</v>
      </c>
      <c r="G92" s="269">
        <f>'Monthly Data'!AQ92</f>
        <v>228.8</v>
      </c>
      <c r="H92" s="269">
        <f>'Monthly Data'!CD92</f>
        <v>31</v>
      </c>
      <c r="J92" s="18">
        <f>'GS 1k-4,999 Predicted Monthly'!$T$10</f>
        <v>1375460.7545834701</v>
      </c>
      <c r="K92" s="18">
        <f ca="1">E92*'GS 1k-4,999 Predicted Monthly'!$T$11</f>
        <v>1554924.9707682601</v>
      </c>
      <c r="L92" s="18">
        <f>F92*'GS 1k-4,999 Predicted Monthly'!$T$12</f>
        <v>-342618.75893503497</v>
      </c>
      <c r="M92" s="18">
        <f>G92*'GS 1k-4,999 Predicted Monthly'!$T$13</f>
        <v>2507455.2804461848</v>
      </c>
      <c r="N92" s="18">
        <f>H92*'GS 1k-4,999 Predicted Monthly'!$T$14</f>
        <v>3509355.4704038892</v>
      </c>
      <c r="O92" s="18">
        <f t="shared" ca="1" si="9"/>
        <v>8604577.7172667682</v>
      </c>
    </row>
    <row r="93" spans="1:15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 ca="1">'Monthly Data'!S93</f>
        <v>8328062.3203116339</v>
      </c>
      <c r="E93" s="269">
        <f t="shared" ca="1" si="10"/>
        <v>149.7160046113307</v>
      </c>
      <c r="F93" s="269">
        <f>'Monthly Data'!CG93</f>
        <v>0.25</v>
      </c>
      <c r="G93" s="269">
        <f>'Monthly Data'!AQ93</f>
        <v>227.3</v>
      </c>
      <c r="H93" s="269">
        <f>'Monthly Data'!CD93</f>
        <v>31</v>
      </c>
      <c r="J93" s="18">
        <f>'GS 1k-4,999 Predicted Monthly'!$T$10</f>
        <v>1375460.7545834701</v>
      </c>
      <c r="K93" s="18">
        <f ca="1">E93*'GS 1k-4,999 Predicted Monthly'!$T$11</f>
        <v>1337745.8311843153</v>
      </c>
      <c r="L93" s="18">
        <f>F93*'GS 1k-4,999 Predicted Monthly'!$T$12</f>
        <v>-342618.75893503497</v>
      </c>
      <c r="M93" s="18">
        <f>G93*'GS 1k-4,999 Predicted Monthly'!$T$13</f>
        <v>2491016.5439047981</v>
      </c>
      <c r="N93" s="18">
        <f>H93*'GS 1k-4,999 Predicted Monthly'!$T$14</f>
        <v>3509355.4704038892</v>
      </c>
      <c r="O93" s="18">
        <f t="shared" ca="1" si="9"/>
        <v>8370959.8411414372</v>
      </c>
    </row>
    <row r="94" spans="1:15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 ca="1">'Monthly Data'!S94</f>
        <v>8119499.6764864782</v>
      </c>
      <c r="E94" s="269">
        <f t="shared" ca="1" si="10"/>
        <v>62.345178571428576</v>
      </c>
      <c r="F94" s="269">
        <f>'Monthly Data'!CG94</f>
        <v>0.25</v>
      </c>
      <c r="G94" s="269">
        <f>'Monthly Data'!AQ94</f>
        <v>226</v>
      </c>
      <c r="H94" s="269">
        <f>'Monthly Data'!CD94</f>
        <v>30</v>
      </c>
      <c r="J94" s="18">
        <f>'GS 1k-4,999 Predicted Monthly'!$T$10</f>
        <v>1375460.7545834701</v>
      </c>
      <c r="K94" s="18">
        <f ca="1">E94*'GS 1k-4,999 Predicted Monthly'!$T$11</f>
        <v>557068.04990478826</v>
      </c>
      <c r="L94" s="18">
        <f>F94*'GS 1k-4,999 Predicted Monthly'!$T$12</f>
        <v>-342618.75893503497</v>
      </c>
      <c r="M94" s="18">
        <f>G94*'GS 1k-4,999 Predicted Monthly'!$T$13</f>
        <v>2476769.6389022628</v>
      </c>
      <c r="N94" s="18">
        <f>H94*'GS 1k-4,999 Predicted Monthly'!$T$14</f>
        <v>3396150.4552295702</v>
      </c>
      <c r="O94" s="18">
        <f t="shared" ca="1" si="9"/>
        <v>7462830.1396850562</v>
      </c>
    </row>
    <row r="95" spans="1:15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 ca="1">'Monthly Data'!S95</f>
        <v>8411833.9390506037</v>
      </c>
      <c r="E95" s="269">
        <f t="shared" ref="E95:E110" ca="1" si="11">E83</f>
        <v>7.1541666666666703</v>
      </c>
      <c r="F95" s="269">
        <f>'Monthly Data'!CG95</f>
        <v>0.25</v>
      </c>
      <c r="G95" s="269">
        <f>'Monthly Data'!AQ95</f>
        <v>226.2</v>
      </c>
      <c r="H95" s="269">
        <f>'Monthly Data'!CD95</f>
        <v>31</v>
      </c>
      <c r="J95" s="18">
        <f>'GS 1k-4,999 Predicted Monthly'!$T$10</f>
        <v>1375460.7545834701</v>
      </c>
      <c r="K95" s="18">
        <f ca="1">E95*'GS 1k-4,999 Predicted Monthly'!$T$11</f>
        <v>63924.071837052099</v>
      </c>
      <c r="L95" s="18">
        <f>F95*'GS 1k-4,999 Predicted Monthly'!$T$12</f>
        <v>-342618.75893503497</v>
      </c>
      <c r="M95" s="18">
        <f>G95*'GS 1k-4,999 Predicted Monthly'!$T$13</f>
        <v>2478961.4704411142</v>
      </c>
      <c r="N95" s="18">
        <f>H95*'GS 1k-4,999 Predicted Monthly'!$T$14</f>
        <v>3509355.4704038892</v>
      </c>
      <c r="O95" s="18">
        <f t="shared" ca="1" si="9"/>
        <v>7085083.0083304904</v>
      </c>
    </row>
    <row r="96" spans="1:15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 ca="1">'Monthly Data'!S96</f>
        <v>7443581.0338858347</v>
      </c>
      <c r="E96" s="269">
        <f t="shared" ca="1" si="11"/>
        <v>0.15041666666666628</v>
      </c>
      <c r="F96" s="269">
        <f>'Monthly Data'!CG96</f>
        <v>0.25</v>
      </c>
      <c r="G96" s="269">
        <f>'Monthly Data'!AQ96</f>
        <v>225.9</v>
      </c>
      <c r="H96" s="269">
        <f>'Monthly Data'!CD96</f>
        <v>30</v>
      </c>
      <c r="J96" s="18">
        <f>'GS 1k-4,999 Predicted Monthly'!$T$10</f>
        <v>1375460.7545834701</v>
      </c>
      <c r="K96" s="18">
        <f ca="1">E96*'GS 1k-4,999 Predicted Monthly'!$T$11</f>
        <v>1344.0064026310854</v>
      </c>
      <c r="L96" s="18">
        <f>F96*'GS 1k-4,999 Predicted Monthly'!$T$12</f>
        <v>-342618.75893503497</v>
      </c>
      <c r="M96" s="18">
        <f>G96*'GS 1k-4,999 Predicted Monthly'!$T$13</f>
        <v>2475673.7231328371</v>
      </c>
      <c r="N96" s="18">
        <f>H96*'GS 1k-4,999 Predicted Monthly'!$T$14</f>
        <v>3396150.4552295702</v>
      </c>
      <c r="O96" s="18">
        <f t="shared" ca="1" si="9"/>
        <v>6906010.1804134734</v>
      </c>
    </row>
    <row r="97" spans="1:18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 ca="1">'Monthly Data'!S97</f>
        <v>7190527.751085096</v>
      </c>
      <c r="E97" s="269">
        <f t="shared" ca="1" si="11"/>
        <v>0</v>
      </c>
      <c r="F97" s="269">
        <f>'Monthly Data'!CG97</f>
        <v>0.25</v>
      </c>
      <c r="G97" s="269">
        <f>'Monthly Data'!AQ97</f>
        <v>227.6</v>
      </c>
      <c r="H97" s="269">
        <f>'Monthly Data'!CD97</f>
        <v>31</v>
      </c>
      <c r="J97" s="18">
        <f>'GS 1k-4,999 Predicted Monthly'!$T$10</f>
        <v>1375460.7545834701</v>
      </c>
      <c r="K97" s="18">
        <f ca="1">E97*'GS 1k-4,999 Predicted Monthly'!$T$11</f>
        <v>0</v>
      </c>
      <c r="L97" s="18">
        <f>F97*'GS 1k-4,999 Predicted Monthly'!$T$12</f>
        <v>-342618.75893503497</v>
      </c>
      <c r="M97" s="18">
        <f>G97*'GS 1k-4,999 Predicted Monthly'!$T$13</f>
        <v>2494304.2912130752</v>
      </c>
      <c r="N97" s="18">
        <f>H97*'GS 1k-4,999 Predicted Monthly'!$T$14</f>
        <v>3509355.4704038892</v>
      </c>
      <c r="O97" s="18">
        <f t="shared" ca="1" si="9"/>
        <v>7036501.7572653992</v>
      </c>
    </row>
    <row r="98" spans="1:18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 ca="1">'Monthly Data'!S98</f>
        <v>7276587.4379076399</v>
      </c>
      <c r="E98" s="269">
        <f t="shared" ca="1" si="11"/>
        <v>0</v>
      </c>
      <c r="F98" s="269">
        <f>'Monthly Data'!CG98</f>
        <v>0</v>
      </c>
      <c r="G98" s="269">
        <f>'Monthly Data'!AQ98</f>
        <v>228.9</v>
      </c>
      <c r="H98" s="269">
        <f>'Monthly Data'!CD98</f>
        <v>31</v>
      </c>
      <c r="J98" s="18">
        <f>'GS 1k-4,999 Predicted Monthly'!$T$10</f>
        <v>1375460.7545834701</v>
      </c>
      <c r="K98" s="18">
        <f ca="1">E98*'GS 1k-4,999 Predicted Monthly'!$T$11</f>
        <v>0</v>
      </c>
      <c r="L98" s="18">
        <f>F98*'GS 1k-4,999 Predicted Monthly'!$T$12</f>
        <v>0</v>
      </c>
      <c r="M98" s="18">
        <f>G98*'GS 1k-4,999 Predicted Monthly'!$T$13</f>
        <v>2508551.1962156105</v>
      </c>
      <c r="N98" s="18">
        <f>H98*'GS 1k-4,999 Predicted Monthly'!$T$14</f>
        <v>3509355.4704038892</v>
      </c>
      <c r="O98" s="18">
        <f t="shared" ca="1" si="9"/>
        <v>7393367.4212029697</v>
      </c>
    </row>
    <row r="99" spans="1:18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 ca="1">'Monthly Data'!S99</f>
        <v>7137341.2992951712</v>
      </c>
      <c r="E99" s="269">
        <f t="shared" ca="1" si="11"/>
        <v>0</v>
      </c>
      <c r="F99" s="269">
        <f>'Monthly Data'!CG99</f>
        <v>0</v>
      </c>
      <c r="G99" s="269">
        <f>'Monthly Data'!AQ99</f>
        <v>229.5</v>
      </c>
      <c r="H99" s="269">
        <f>'Monthly Data'!CD99</f>
        <v>28</v>
      </c>
      <c r="J99" s="18">
        <f>'GS 1k-4,999 Predicted Monthly'!$T$10</f>
        <v>1375460.7545834701</v>
      </c>
      <c r="K99" s="18">
        <f ca="1">E99*'GS 1k-4,999 Predicted Monthly'!$T$11</f>
        <v>0</v>
      </c>
      <c r="L99" s="18">
        <f>F99*'GS 1k-4,999 Predicted Monthly'!$T$12</f>
        <v>0</v>
      </c>
      <c r="M99" s="18">
        <f>G99*'GS 1k-4,999 Predicted Monthly'!$T$13</f>
        <v>2515126.6908321651</v>
      </c>
      <c r="N99" s="18">
        <f>H99*'GS 1k-4,999 Predicted Monthly'!$T$14</f>
        <v>3169740.4248809321</v>
      </c>
      <c r="O99" s="18">
        <f t="shared" ca="1" si="9"/>
        <v>7060327.8702965677</v>
      </c>
    </row>
    <row r="100" spans="1:18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 ca="1">'Monthly Data'!S100</f>
        <v>6748870.9005109631</v>
      </c>
      <c r="E100" s="269">
        <f t="shared" ca="1" si="11"/>
        <v>0</v>
      </c>
      <c r="F100" s="269">
        <f>'Monthly Data'!CG100</f>
        <v>0</v>
      </c>
      <c r="G100" s="269">
        <f>'Monthly Data'!AQ100</f>
        <v>226.7</v>
      </c>
      <c r="H100" s="269">
        <f>'Monthly Data'!CD100</f>
        <v>31</v>
      </c>
      <c r="J100" s="18">
        <f>'GS 1k-4,999 Predicted Monthly'!$T$10</f>
        <v>1375460.7545834701</v>
      </c>
      <c r="K100" s="18">
        <f ca="1"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2484441.0492882431</v>
      </c>
      <c r="N100" s="18">
        <f>H100*'GS 1k-4,999 Predicted Monthly'!$T$14</f>
        <v>3509355.4704038892</v>
      </c>
      <c r="O100" s="18">
        <f t="shared" ca="1" si="9"/>
        <v>7369257.2742756028</v>
      </c>
      <c r="Q100" s="18"/>
      <c r="R100" s="276"/>
    </row>
    <row r="101" spans="1:18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 ca="1">'Monthly Data'!S101</f>
        <v>6916620.2189699095</v>
      </c>
      <c r="E101" s="269">
        <f t="shared" ca="1" si="11"/>
        <v>0.4316666666666677</v>
      </c>
      <c r="F101" s="269">
        <f>'Monthly Data'!CG101</f>
        <v>0</v>
      </c>
      <c r="G101" s="269">
        <f>'Monthly Data'!AQ101</f>
        <v>223.9</v>
      </c>
      <c r="H101" s="269">
        <f>'Monthly Data'!CD101</f>
        <v>30</v>
      </c>
      <c r="J101" s="18">
        <f>'GS 1k-4,999 Predicted Monthly'!$T$10</f>
        <v>1375460.7545834701</v>
      </c>
      <c r="K101" s="18">
        <f ca="1">E101*'GS 1k-4,999 Predicted Monthly'!$T$11</f>
        <v>3857.0377648914441</v>
      </c>
      <c r="L101" s="18">
        <f>F101*'GS 1k-4,999 Predicted Monthly'!$T$12</f>
        <v>0</v>
      </c>
      <c r="M101" s="18">
        <f>G101*'GS 1k-4,999 Predicted Monthly'!$T$13</f>
        <v>2453755.4077443215</v>
      </c>
      <c r="N101" s="18">
        <f>H101*'GS 1k-4,999 Predicted Monthly'!$T$14</f>
        <v>3396150.4552295702</v>
      </c>
      <c r="O101" s="18">
        <f t="shared" ca="1" si="9"/>
        <v>7229223.6553222537</v>
      </c>
      <c r="Q101" s="18"/>
      <c r="R101" s="276"/>
    </row>
    <row r="102" spans="1:18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 ca="1">'Monthly Data'!S102</f>
        <v>7166374.0619376265</v>
      </c>
      <c r="E102" s="269">
        <f t="shared" ca="1" si="11"/>
        <v>29.4520183982684</v>
      </c>
      <c r="F102" s="269">
        <f>'Monthly Data'!CG102</f>
        <v>0</v>
      </c>
      <c r="G102" s="269">
        <f>'Monthly Data'!AQ102</f>
        <v>220</v>
      </c>
      <c r="H102" s="269">
        <f>'Monthly Data'!CD102</f>
        <v>31</v>
      </c>
      <c r="J102" s="18">
        <f>'GS 1k-4,999 Predicted Monthly'!$T$10</f>
        <v>1375460.7545834701</v>
      </c>
      <c r="K102" s="18">
        <f ca="1">E102*'GS 1k-4,999 Predicted Monthly'!$T$11</f>
        <v>263160.34103721677</v>
      </c>
      <c r="L102" s="18">
        <f>F102*'GS 1k-4,999 Predicted Monthly'!$T$12</f>
        <v>0</v>
      </c>
      <c r="M102" s="18">
        <f>G102*'GS 1k-4,999 Predicted Monthly'!$T$13</f>
        <v>2411014.692736716</v>
      </c>
      <c r="N102" s="18">
        <f>H102*'GS 1k-4,999 Predicted Monthly'!$T$14</f>
        <v>3509355.4704038892</v>
      </c>
      <c r="O102" s="18">
        <f t="shared" ca="1" si="9"/>
        <v>7558991.2587612923</v>
      </c>
      <c r="Q102" s="18"/>
      <c r="R102" s="276"/>
    </row>
    <row r="103" spans="1:18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 ca="1">'Monthly Data'!S103</f>
        <v>7927235.7616078435</v>
      </c>
      <c r="E103" s="269">
        <f t="shared" ca="1" si="11"/>
        <v>86.311049595332207</v>
      </c>
      <c r="F103" s="269">
        <f>'Monthly Data'!CG103</f>
        <v>0</v>
      </c>
      <c r="G103" s="269">
        <f>'Monthly Data'!AQ103</f>
        <v>220.4</v>
      </c>
      <c r="H103" s="269">
        <f>'Monthly Data'!CD103</f>
        <v>30</v>
      </c>
      <c r="J103" s="18">
        <f>'GS 1k-4,999 Predicted Monthly'!$T$10</f>
        <v>1375460.7545834701</v>
      </c>
      <c r="K103" s="18">
        <f ca="1">E103*'GS 1k-4,999 Predicted Monthly'!$T$11</f>
        <v>771208.44281841069</v>
      </c>
      <c r="L103" s="18">
        <f>F103*'GS 1k-4,999 Predicted Monthly'!$T$12</f>
        <v>0</v>
      </c>
      <c r="M103" s="18">
        <f>G103*'GS 1k-4,999 Predicted Monthly'!$T$13</f>
        <v>2415398.3558144192</v>
      </c>
      <c r="N103" s="18">
        <f>H103*'GS 1k-4,999 Predicted Monthly'!$T$14</f>
        <v>3396150.4552295702</v>
      </c>
      <c r="O103" s="18">
        <f t="shared" ca="1" si="9"/>
        <v>7958218.0084458701</v>
      </c>
      <c r="Q103" s="18"/>
      <c r="R103" s="276"/>
    </row>
    <row r="104" spans="1:18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 ca="1">'Monthly Data'!S104</f>
        <v>8119868.4054430835</v>
      </c>
      <c r="E104" s="269">
        <f t="shared" ca="1" si="11"/>
        <v>174.0219619206118</v>
      </c>
      <c r="F104" s="269">
        <f>'Monthly Data'!CG104</f>
        <v>0</v>
      </c>
      <c r="G104" s="269">
        <f>'Monthly Data'!AQ104</f>
        <v>220.8</v>
      </c>
      <c r="H104" s="269">
        <f>'Monthly Data'!CD104</f>
        <v>31</v>
      </c>
      <c r="J104" s="18">
        <f>'GS 1k-4,999 Predicted Monthly'!$T$10</f>
        <v>1375460.7545834701</v>
      </c>
      <c r="K104" s="18">
        <f ca="1">E104*'GS 1k-4,999 Predicted Monthly'!$T$11</f>
        <v>1554924.9707682601</v>
      </c>
      <c r="L104" s="18">
        <f>F104*'GS 1k-4,999 Predicted Monthly'!$T$12</f>
        <v>0</v>
      </c>
      <c r="M104" s="18">
        <f>G104*'GS 1k-4,999 Predicted Monthly'!$T$13</f>
        <v>2419782.0188921224</v>
      </c>
      <c r="N104" s="18">
        <f>H104*'GS 1k-4,999 Predicted Monthly'!$T$14</f>
        <v>3509355.4704038892</v>
      </c>
      <c r="O104" s="18">
        <f t="shared" ca="1" si="9"/>
        <v>8859523.214647742</v>
      </c>
      <c r="Q104" s="18"/>
      <c r="R104" s="276"/>
    </row>
    <row r="105" spans="1:18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 ca="1">'Monthly Data'!S105</f>
        <v>8174529.1976424176</v>
      </c>
      <c r="E105" s="269">
        <f t="shared" ca="1" si="11"/>
        <v>149.7160046113307</v>
      </c>
      <c r="F105" s="269">
        <f>'Monthly Data'!CG105</f>
        <v>0</v>
      </c>
      <c r="G105" s="269">
        <f>'Monthly Data'!AQ105</f>
        <v>223.5</v>
      </c>
      <c r="H105" s="269">
        <f>'Monthly Data'!CD105</f>
        <v>31</v>
      </c>
      <c r="J105" s="18">
        <f>'GS 1k-4,999 Predicted Monthly'!$T$10</f>
        <v>1375460.7545834701</v>
      </c>
      <c r="K105" s="18">
        <f ca="1">E105*'GS 1k-4,999 Predicted Monthly'!$T$11</f>
        <v>1337745.8311843153</v>
      </c>
      <c r="L105" s="18">
        <f>F105*'GS 1k-4,999 Predicted Monthly'!$T$12</f>
        <v>0</v>
      </c>
      <c r="M105" s="18">
        <f>G105*'GS 1k-4,999 Predicted Monthly'!$T$13</f>
        <v>2449371.7446666183</v>
      </c>
      <c r="N105" s="18">
        <f>H105*'GS 1k-4,999 Predicted Monthly'!$T$14</f>
        <v>3509355.4704038892</v>
      </c>
      <c r="O105" s="18">
        <f t="shared" ca="1" si="9"/>
        <v>8671933.8008382916</v>
      </c>
      <c r="Q105" s="18"/>
      <c r="R105" s="276"/>
    </row>
    <row r="106" spans="1:18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 ca="1">'Monthly Data'!S106</f>
        <v>7952862.3344004741</v>
      </c>
      <c r="E106" s="269">
        <f t="shared" ca="1" si="11"/>
        <v>62.345178571428576</v>
      </c>
      <c r="F106" s="269">
        <f>'Monthly Data'!CG106</f>
        <v>0</v>
      </c>
      <c r="G106" s="269">
        <f>'Monthly Data'!AQ106</f>
        <v>223.9</v>
      </c>
      <c r="H106" s="269">
        <f>'Monthly Data'!CD106</f>
        <v>30</v>
      </c>
      <c r="J106" s="18">
        <f>'GS 1k-4,999 Predicted Monthly'!$T$10</f>
        <v>1375460.7545834701</v>
      </c>
      <c r="K106" s="18">
        <f ca="1">E106*'GS 1k-4,999 Predicted Monthly'!$T$11</f>
        <v>557068.04990478826</v>
      </c>
      <c r="L106" s="18">
        <f>F106*'GS 1k-4,999 Predicted Monthly'!$T$12</f>
        <v>0</v>
      </c>
      <c r="M106" s="18">
        <f>G106*'GS 1k-4,999 Predicted Monthly'!$T$13</f>
        <v>2453755.4077443215</v>
      </c>
      <c r="N106" s="18">
        <f>H106*'GS 1k-4,999 Predicted Monthly'!$T$14</f>
        <v>3396150.4552295702</v>
      </c>
      <c r="O106" s="18">
        <f t="shared" ca="1" si="9"/>
        <v>7782434.6674621506</v>
      </c>
      <c r="Q106" s="18"/>
      <c r="R106" s="276"/>
    </row>
    <row r="107" spans="1:18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 ca="1">'Monthly Data'!S107</f>
        <v>6667523.0009363433</v>
      </c>
      <c r="E107" s="269">
        <f t="shared" ca="1" si="11"/>
        <v>7.1541666666666703</v>
      </c>
      <c r="F107" s="269">
        <f>'Monthly Data'!CG107</f>
        <v>0</v>
      </c>
      <c r="G107" s="269">
        <f>'Monthly Data'!AQ107</f>
        <v>223.1</v>
      </c>
      <c r="H107" s="269">
        <f>'Monthly Data'!CD107</f>
        <v>31</v>
      </c>
      <c r="J107" s="18">
        <f>'GS 1k-4,999 Predicted Monthly'!$T$10</f>
        <v>1375460.7545834701</v>
      </c>
      <c r="K107" s="18">
        <f ca="1">E107*'GS 1k-4,999 Predicted Monthly'!$T$11</f>
        <v>63924.071837052099</v>
      </c>
      <c r="L107" s="18">
        <f>F107*'GS 1k-4,999 Predicted Monthly'!$T$12</f>
        <v>0</v>
      </c>
      <c r="M107" s="18">
        <f>G107*'GS 1k-4,999 Predicted Monthly'!$T$13</f>
        <v>2444988.0815889151</v>
      </c>
      <c r="N107" s="18">
        <f>H107*'GS 1k-4,999 Predicted Monthly'!$T$14</f>
        <v>3509355.4704038892</v>
      </c>
      <c r="O107" s="18">
        <f t="shared" ca="1" si="9"/>
        <v>7393728.3784133261</v>
      </c>
      <c r="Q107" s="18"/>
      <c r="R107" s="276"/>
    </row>
    <row r="108" spans="1:18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 ca="1">'Monthly Data'!S108</f>
        <v>7486805.8952734377</v>
      </c>
      <c r="E108" s="269">
        <f t="shared" ca="1" si="11"/>
        <v>0.15041666666666628</v>
      </c>
      <c r="F108" s="269">
        <f>'Monthly Data'!CG108</f>
        <v>0</v>
      </c>
      <c r="G108" s="269">
        <f>'Monthly Data'!AQ108</f>
        <v>224.9</v>
      </c>
      <c r="H108" s="269">
        <f>'Monthly Data'!CD108</f>
        <v>30</v>
      </c>
      <c r="J108" s="18">
        <f>'GS 1k-4,999 Predicted Monthly'!$T$10</f>
        <v>1375460.7545834701</v>
      </c>
      <c r="K108" s="18">
        <f ca="1">E108*'GS 1k-4,999 Predicted Monthly'!$T$11</f>
        <v>1344.0064026310854</v>
      </c>
      <c r="L108" s="18">
        <f>F108*'GS 1k-4,999 Predicted Monthly'!$T$12</f>
        <v>0</v>
      </c>
      <c r="M108" s="18">
        <f>G108*'GS 1k-4,999 Predicted Monthly'!$T$13</f>
        <v>2464714.5654385793</v>
      </c>
      <c r="N108" s="18">
        <f>H108*'GS 1k-4,999 Predicted Monthly'!$T$14</f>
        <v>3396150.4552295702</v>
      </c>
      <c r="O108" s="18">
        <f t="shared" ca="1" si="9"/>
        <v>7237669.7816542508</v>
      </c>
      <c r="Q108" s="18"/>
      <c r="R108" s="276"/>
    </row>
    <row r="109" spans="1:18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 ca="1">'Monthly Data'!S109</f>
        <v>6814669.4166436857</v>
      </c>
      <c r="E109" s="269">
        <f t="shared" ca="1" si="11"/>
        <v>0</v>
      </c>
      <c r="F109" s="269">
        <f>'Monthly Data'!CG109</f>
        <v>0</v>
      </c>
      <c r="G109" s="269">
        <f>'Monthly Data'!AQ109</f>
        <v>226.3</v>
      </c>
      <c r="H109" s="269">
        <f>'Monthly Data'!CD109</f>
        <v>31</v>
      </c>
      <c r="J109" s="18">
        <f>'GS 1k-4,999 Predicted Monthly'!$T$10</f>
        <v>1375460.7545834701</v>
      </c>
      <c r="K109" s="18">
        <f ca="1"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2480057.3862105403</v>
      </c>
      <c r="N109" s="18">
        <f>H109*'GS 1k-4,999 Predicted Monthly'!$T$14</f>
        <v>3509355.4704038892</v>
      </c>
      <c r="O109" s="18">
        <f t="shared" ca="1" si="9"/>
        <v>7364873.6111979</v>
      </c>
      <c r="P109" s="259"/>
      <c r="Q109" s="18"/>
      <c r="R109" s="276"/>
    </row>
    <row r="110" spans="1:18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 ca="1">'Monthly Data'!S110</f>
        <v>7527605.8341107564</v>
      </c>
      <c r="E110" s="269">
        <f t="shared" ca="1" si="11"/>
        <v>0</v>
      </c>
      <c r="F110" s="269">
        <f>'Monthly Data'!CG110</f>
        <v>0</v>
      </c>
      <c r="G110" s="269">
        <f>'Monthly Data'!AQ110</f>
        <v>228.3</v>
      </c>
      <c r="H110" s="269">
        <f>'Monthly Data'!CD110</f>
        <v>31</v>
      </c>
      <c r="J110" s="18">
        <f>'GS 1k-4,999 Predicted Monthly'!$T$10</f>
        <v>1375460.7545834701</v>
      </c>
      <c r="K110" s="18">
        <f ca="1"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2501975.7015990559</v>
      </c>
      <c r="N110" s="18">
        <f>H110*'GS 1k-4,999 Predicted Monthly'!$T$14</f>
        <v>3509355.4704038892</v>
      </c>
      <c r="O110" s="18">
        <f t="shared" ca="1" si="9"/>
        <v>7386791.9265864156</v>
      </c>
      <c r="P110" s="259"/>
      <c r="Q110" s="18"/>
      <c r="R110" s="276"/>
    </row>
    <row r="111" spans="1:18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 ca="1">'Monthly Data'!S111</f>
        <v>6745787.1723414566</v>
      </c>
      <c r="E111" s="269">
        <f t="shared" ref="E111:F126" ca="1" si="12">E99</f>
        <v>0</v>
      </c>
      <c r="F111" s="269">
        <f>'Monthly Data'!CG111</f>
        <v>0</v>
      </c>
      <c r="G111" s="269">
        <f>'Monthly Data'!AQ111</f>
        <v>229.4</v>
      </c>
      <c r="H111" s="269">
        <f>'Monthly Data'!CD111</f>
        <v>29</v>
      </c>
      <c r="J111" s="18">
        <f>'GS 1k-4,999 Predicted Monthly'!$T$10</f>
        <v>1375460.7545834701</v>
      </c>
      <c r="K111" s="18">
        <f ca="1"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2514030.7750627394</v>
      </c>
      <c r="N111" s="18">
        <f>H111*'GS 1k-4,999 Predicted Monthly'!$T$14</f>
        <v>3282945.4400552511</v>
      </c>
      <c r="O111" s="18">
        <f t="shared" ca="1" si="9"/>
        <v>7172436.9697014606</v>
      </c>
      <c r="P111" s="259"/>
      <c r="Q111" s="18"/>
      <c r="R111" s="276"/>
    </row>
    <row r="112" spans="1:18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 ca="1">'Monthly Data'!S112</f>
        <v>7044960.5105721559</v>
      </c>
      <c r="E112" s="269">
        <f t="shared" ca="1" si="12"/>
        <v>0</v>
      </c>
      <c r="F112" s="269">
        <f>'Monthly Data'!CG112</f>
        <v>0</v>
      </c>
      <c r="G112" s="269">
        <f>'Monthly Data'!AQ112</f>
        <v>230.9</v>
      </c>
      <c r="H112" s="269">
        <f>'Monthly Data'!CD112</f>
        <v>31</v>
      </c>
      <c r="J112" s="18">
        <f>'GS 1k-4,999 Predicted Monthly'!$T$10</f>
        <v>1375460.7545834701</v>
      </c>
      <c r="K112" s="18">
        <f ca="1"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2530469.5116041261</v>
      </c>
      <c r="N112" s="18">
        <f>H112*'GS 1k-4,999 Predicted Monthly'!$T$14</f>
        <v>3509355.4704038892</v>
      </c>
      <c r="O112" s="18">
        <f t="shared" ca="1" si="9"/>
        <v>7415285.7365914853</v>
      </c>
      <c r="P112" s="259"/>
    </row>
    <row r="113" spans="1:17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 ca="1">'Monthly Data'!S113</f>
        <v>7401293.8488028552</v>
      </c>
      <c r="E113" s="269">
        <f t="shared" ca="1" si="12"/>
        <v>0.4316666666666677</v>
      </c>
      <c r="F113" s="269">
        <f>'Monthly Data'!CG113</f>
        <v>0</v>
      </c>
      <c r="G113" s="269">
        <f>'Monthly Data'!AQ113</f>
        <v>233.1</v>
      </c>
      <c r="H113" s="269">
        <f>'Monthly Data'!CD113</f>
        <v>30</v>
      </c>
      <c r="J113" s="18">
        <f>'GS 1k-4,999 Predicted Monthly'!$T$10</f>
        <v>1375460.7545834701</v>
      </c>
      <c r="K113" s="18">
        <f ca="1">E113*'GS 1k-4,999 Predicted Monthly'!$T$11</f>
        <v>3857.0377648914441</v>
      </c>
      <c r="L113" s="18">
        <f>F113*'GS 1k-4,999 Predicted Monthly'!$T$12</f>
        <v>0</v>
      </c>
      <c r="M113" s="18">
        <f>G113*'GS 1k-4,999 Predicted Monthly'!$T$13</f>
        <v>2554579.658531493</v>
      </c>
      <c r="N113" s="18">
        <f>H113*'GS 1k-4,999 Predicted Monthly'!$T$14</f>
        <v>3396150.4552295702</v>
      </c>
      <c r="O113" s="18">
        <f t="shared" ca="1" si="9"/>
        <v>7330047.9061094243</v>
      </c>
      <c r="P113" s="259"/>
      <c r="Q113" s="18"/>
    </row>
    <row r="114" spans="1:17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 ca="1">'Monthly Data'!S114</f>
        <v>7911842.1870335545</v>
      </c>
      <c r="E114" s="269">
        <f t="shared" ca="1" si="12"/>
        <v>29.4520183982684</v>
      </c>
      <c r="F114" s="269">
        <f>'Monthly Data'!CG114</f>
        <v>0</v>
      </c>
      <c r="G114" s="269">
        <f>'Monthly Data'!AQ114</f>
        <v>232.8</v>
      </c>
      <c r="H114" s="269">
        <f>'Monthly Data'!CD114</f>
        <v>31</v>
      </c>
      <c r="J114" s="18">
        <f>'GS 1k-4,999 Predicted Monthly'!$T$10</f>
        <v>1375460.7545834701</v>
      </c>
      <c r="K114" s="18">
        <f ca="1">E114*'GS 1k-4,999 Predicted Monthly'!$T$11</f>
        <v>263160.34103721677</v>
      </c>
      <c r="L114" s="18">
        <f>F114*'GS 1k-4,999 Predicted Monthly'!$T$12</f>
        <v>0</v>
      </c>
      <c r="M114" s="18">
        <f>G114*'GS 1k-4,999 Predicted Monthly'!$T$13</f>
        <v>2551291.911223216</v>
      </c>
      <c r="N114" s="18">
        <f>H114*'GS 1k-4,999 Predicted Monthly'!$T$14</f>
        <v>3509355.4704038892</v>
      </c>
      <c r="O114" s="18">
        <f t="shared" ca="1" si="9"/>
        <v>7699268.4772477923</v>
      </c>
      <c r="P114" s="259"/>
      <c r="Q114" s="18"/>
    </row>
    <row r="115" spans="1:17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 ca="1">'Monthly Data'!S115</f>
        <v>8689046.5252642538</v>
      </c>
      <c r="E115" s="269">
        <f t="shared" ca="1" si="12"/>
        <v>86.311049595332207</v>
      </c>
      <c r="F115" s="269">
        <f>'Monthly Data'!CG115</f>
        <v>0</v>
      </c>
      <c r="G115" s="269">
        <f>'Monthly Data'!AQ115</f>
        <v>230.6</v>
      </c>
      <c r="H115" s="269">
        <f>'Monthly Data'!CD115</f>
        <v>30</v>
      </c>
      <c r="J115" s="18">
        <f>'GS 1k-4,999 Predicted Monthly'!$T$10</f>
        <v>1375460.7545834701</v>
      </c>
      <c r="K115" s="18">
        <f ca="1">E115*'GS 1k-4,999 Predicted Monthly'!$T$11</f>
        <v>771208.44281841069</v>
      </c>
      <c r="L115" s="18">
        <f>F115*'GS 1k-4,999 Predicted Monthly'!$T$12</f>
        <v>0</v>
      </c>
      <c r="M115" s="18">
        <f>G115*'GS 1k-4,999 Predicted Monthly'!$T$13</f>
        <v>2527181.7642958486</v>
      </c>
      <c r="N115" s="18">
        <f>H115*'GS 1k-4,999 Predicted Monthly'!$T$14</f>
        <v>3396150.4552295702</v>
      </c>
      <c r="O115" s="18">
        <f t="shared" ca="1" si="9"/>
        <v>8070001.4169272995</v>
      </c>
      <c r="P115" s="259"/>
      <c r="Q115" s="18"/>
    </row>
    <row r="116" spans="1:17" x14ac:dyDescent="0.25">
      <c r="A116" s="3">
        <v>45474</v>
      </c>
      <c r="B116" s="1">
        <f t="shared" si="7"/>
        <v>2024</v>
      </c>
      <c r="C116" s="1">
        <f t="shared" si="8"/>
        <v>7</v>
      </c>
      <c r="D116" s="259">
        <f ca="1">'Monthly Data'!S116</f>
        <v>9531642.8634949531</v>
      </c>
      <c r="E116" s="269">
        <f t="shared" ca="1" si="12"/>
        <v>174.0219619206118</v>
      </c>
      <c r="F116" s="269">
        <f>'Monthly Data'!CG116</f>
        <v>0</v>
      </c>
      <c r="G116" s="269">
        <f>'Monthly Data'!AQ116</f>
        <v>227.5</v>
      </c>
      <c r="H116" s="269">
        <f>'Monthly Data'!CD116</f>
        <v>31</v>
      </c>
      <c r="J116" s="18">
        <f>'GS 1k-4,999 Predicted Monthly'!$T$10</f>
        <v>1375460.7545834701</v>
      </c>
      <c r="K116" s="18">
        <f ca="1">E116*'GS 1k-4,999 Predicted Monthly'!$T$11</f>
        <v>1554924.9707682601</v>
      </c>
      <c r="L116" s="18">
        <f>F116*'GS 1k-4,999 Predicted Monthly'!$T$12</f>
        <v>0</v>
      </c>
      <c r="M116" s="18">
        <f>G116*'GS 1k-4,999 Predicted Monthly'!$T$13</f>
        <v>2493208.3754436495</v>
      </c>
      <c r="N116" s="18">
        <f>H116*'GS 1k-4,999 Predicted Monthly'!$T$14</f>
        <v>3509355.4704038892</v>
      </c>
      <c r="O116" s="18">
        <f t="shared" ca="1" si="9"/>
        <v>8932949.5711992681</v>
      </c>
      <c r="P116" s="259"/>
      <c r="Q116" s="18"/>
    </row>
    <row r="117" spans="1:17" x14ac:dyDescent="0.25">
      <c r="A117" s="3">
        <v>45505</v>
      </c>
      <c r="B117" s="1">
        <f t="shared" si="7"/>
        <v>2024</v>
      </c>
      <c r="C117" s="1">
        <f t="shared" si="8"/>
        <v>8</v>
      </c>
      <c r="D117" s="259">
        <f ca="1">'Monthly Data'!S117</f>
        <v>9275831.2017256543</v>
      </c>
      <c r="E117" s="269">
        <f t="shared" ca="1" si="12"/>
        <v>149.7160046113307</v>
      </c>
      <c r="F117" s="269">
        <f>'Monthly Data'!CG117</f>
        <v>0</v>
      </c>
      <c r="G117" s="269">
        <f>'Monthly Data'!AQ117</f>
        <v>225.1</v>
      </c>
      <c r="H117" s="269">
        <f>'Monthly Data'!CD117</f>
        <v>31</v>
      </c>
      <c r="J117" s="18">
        <f>'GS 1k-4,999 Predicted Monthly'!$T$10</f>
        <v>1375460.7545834701</v>
      </c>
      <c r="K117" s="18">
        <f ca="1">E117*'GS 1k-4,999 Predicted Monthly'!$T$11</f>
        <v>1337745.8311843153</v>
      </c>
      <c r="L117" s="18">
        <f>F117*'GS 1k-4,999 Predicted Monthly'!$T$12</f>
        <v>0</v>
      </c>
      <c r="M117" s="18">
        <f>G117*'GS 1k-4,999 Predicted Monthly'!$T$13</f>
        <v>2466906.3969774307</v>
      </c>
      <c r="N117" s="18">
        <f>H117*'GS 1k-4,999 Predicted Monthly'!$T$14</f>
        <v>3509355.4704038892</v>
      </c>
      <c r="O117" s="18">
        <f t="shared" ca="1" si="9"/>
        <v>8689468.4531491045</v>
      </c>
      <c r="Q117" s="18"/>
    </row>
    <row r="118" spans="1:17" x14ac:dyDescent="0.25">
      <c r="A118" s="3">
        <v>45536</v>
      </c>
      <c r="B118" s="1">
        <f t="shared" si="7"/>
        <v>2024</v>
      </c>
      <c r="C118" s="1">
        <f t="shared" si="8"/>
        <v>9</v>
      </c>
      <c r="D118" s="259">
        <f ca="1">'Monthly Data'!S118</f>
        <v>8099900.5399563527</v>
      </c>
      <c r="E118" s="269">
        <f t="shared" ca="1" si="12"/>
        <v>62.345178571428576</v>
      </c>
      <c r="F118" s="269">
        <f>'Monthly Data'!CG118</f>
        <v>0</v>
      </c>
      <c r="G118" s="269">
        <f>'Monthly Data'!AQ118</f>
        <v>226.9</v>
      </c>
      <c r="H118" s="269">
        <f>'Monthly Data'!CD118</f>
        <v>30</v>
      </c>
      <c r="J118" s="18">
        <f>'GS 1k-4,999 Predicted Monthly'!$T$10</f>
        <v>1375460.7545834701</v>
      </c>
      <c r="K118" s="18">
        <f ca="1">E118*'GS 1k-4,999 Predicted Monthly'!$T$11</f>
        <v>557068.04990478826</v>
      </c>
      <c r="L118" s="18">
        <f>F118*'GS 1k-4,999 Predicted Monthly'!$T$12</f>
        <v>0</v>
      </c>
      <c r="M118" s="18">
        <f>G118*'GS 1k-4,999 Predicted Monthly'!$T$13</f>
        <v>2486632.8808270949</v>
      </c>
      <c r="N118" s="18">
        <f>H118*'GS 1k-4,999 Predicted Monthly'!$T$14</f>
        <v>3396150.4552295702</v>
      </c>
      <c r="O118" s="18">
        <f t="shared" ca="1" si="9"/>
        <v>7815312.140544924</v>
      </c>
      <c r="Q118" s="18"/>
    </row>
    <row r="119" spans="1:17" x14ac:dyDescent="0.25">
      <c r="A119" s="3">
        <v>45566</v>
      </c>
      <c r="B119" s="1">
        <f t="shared" si="7"/>
        <v>2024</v>
      </c>
      <c r="C119" s="1">
        <f t="shared" si="8"/>
        <v>10</v>
      </c>
      <c r="D119" s="259">
        <f ca="1">'Monthly Data'!S119</f>
        <v>7448548.8781870529</v>
      </c>
      <c r="E119" s="269">
        <f t="shared" ca="1" si="12"/>
        <v>7.1541666666666703</v>
      </c>
      <c r="F119" s="269">
        <f>'Monthly Data'!CG119</f>
        <v>0</v>
      </c>
      <c r="G119" s="269">
        <f>'Monthly Data'!AQ119</f>
        <v>228.7</v>
      </c>
      <c r="H119" s="269">
        <f>'Monthly Data'!CD119</f>
        <v>31</v>
      </c>
      <c r="J119" s="18">
        <f>'GS 1k-4,999 Predicted Monthly'!$T$10</f>
        <v>1375460.7545834701</v>
      </c>
      <c r="K119" s="18">
        <f ca="1">E119*'GS 1k-4,999 Predicted Monthly'!$T$11</f>
        <v>63924.071837052099</v>
      </c>
      <c r="L119" s="18">
        <f>F119*'GS 1k-4,999 Predicted Monthly'!$T$12</f>
        <v>0</v>
      </c>
      <c r="M119" s="18">
        <f>G119*'GS 1k-4,999 Predicted Monthly'!$T$13</f>
        <v>2506359.3646767586</v>
      </c>
      <c r="N119" s="18">
        <f>H119*'GS 1k-4,999 Predicted Monthly'!$T$14</f>
        <v>3509355.4704038892</v>
      </c>
      <c r="O119" s="18">
        <f t="shared" ca="1" si="9"/>
        <v>7455099.6615011701</v>
      </c>
      <c r="Q119" s="18"/>
    </row>
    <row r="120" spans="1:17" x14ac:dyDescent="0.25">
      <c r="A120" s="3">
        <v>45597</v>
      </c>
      <c r="B120" s="1">
        <f t="shared" si="7"/>
        <v>2024</v>
      </c>
      <c r="C120" s="1">
        <f t="shared" si="8"/>
        <v>11</v>
      </c>
      <c r="D120" s="259">
        <f ca="1">'Monthly Data'!S120</f>
        <v>7029118.2164177522</v>
      </c>
      <c r="E120" s="269">
        <f t="shared" ca="1" si="12"/>
        <v>0.15041666666666628</v>
      </c>
      <c r="F120" s="269">
        <f>'Monthly Data'!CG120</f>
        <v>0</v>
      </c>
      <c r="G120" s="269">
        <f>'Monthly Data'!AQ120</f>
        <v>228.7</v>
      </c>
      <c r="H120" s="269">
        <f>'Monthly Data'!CD120</f>
        <v>30</v>
      </c>
      <c r="J120" s="18">
        <f>'GS 1k-4,999 Predicted Monthly'!$T$10</f>
        <v>1375460.7545834701</v>
      </c>
      <c r="K120" s="18">
        <f ca="1">E120*'GS 1k-4,999 Predicted Monthly'!$T$11</f>
        <v>1344.0064026310854</v>
      </c>
      <c r="L120" s="18">
        <f>F120*'GS 1k-4,999 Predicted Monthly'!$T$12</f>
        <v>0</v>
      </c>
      <c r="M120" s="18">
        <f>G120*'GS 1k-4,999 Predicted Monthly'!$T$13</f>
        <v>2506359.3646767586</v>
      </c>
      <c r="N120" s="18">
        <f>H120*'GS 1k-4,999 Predicted Monthly'!$T$14</f>
        <v>3396150.4552295702</v>
      </c>
      <c r="O120" s="18">
        <f t="shared" ca="1" si="9"/>
        <v>7279314.5808924297</v>
      </c>
      <c r="Q120" s="18"/>
    </row>
    <row r="121" spans="1:17" x14ac:dyDescent="0.25">
      <c r="A121" s="3">
        <v>45627</v>
      </c>
      <c r="B121" s="1">
        <f t="shared" si="7"/>
        <v>2024</v>
      </c>
      <c r="C121" s="1">
        <f t="shared" si="8"/>
        <v>12</v>
      </c>
      <c r="D121" s="259">
        <f ca="1">'Monthly Data'!S121</f>
        <v>7448387.5546484515</v>
      </c>
      <c r="E121" s="269">
        <f t="shared" ca="1" si="12"/>
        <v>0</v>
      </c>
      <c r="F121" s="269">
        <f>'Monthly Data'!CG121</f>
        <v>0</v>
      </c>
      <c r="G121" s="269">
        <f>'Monthly Data'!AQ121</f>
        <v>227</v>
      </c>
      <c r="H121" s="269">
        <f>'Monthly Data'!CD121</f>
        <v>31</v>
      </c>
      <c r="J121" s="18">
        <f>'GS 1k-4,999 Predicted Monthly'!$T$10</f>
        <v>1375460.7545834701</v>
      </c>
      <c r="K121" s="18">
        <f ca="1"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2487728.7965965206</v>
      </c>
      <c r="N121" s="18">
        <f>H121*'GS 1k-4,999 Predicted Monthly'!$T$14</f>
        <v>3509355.4704038892</v>
      </c>
      <c r="O121" s="18">
        <f t="shared" ca="1" si="9"/>
        <v>7372545.0215838794</v>
      </c>
      <c r="Q121" s="18"/>
    </row>
    <row r="122" spans="1:17" x14ac:dyDescent="0.25">
      <c r="A122" s="3">
        <v>45658</v>
      </c>
      <c r="B122" s="1">
        <f t="shared" si="7"/>
        <v>2025</v>
      </c>
      <c r="C122" s="1">
        <f t="shared" si="8"/>
        <v>1</v>
      </c>
      <c r="D122" s="259"/>
      <c r="E122" s="269">
        <f t="shared" ca="1" si="12"/>
        <v>0</v>
      </c>
      <c r="F122" s="269">
        <f t="shared" si="12"/>
        <v>0</v>
      </c>
      <c r="G122" s="269">
        <f>Economic!F124</f>
        <v>232.12402500000002</v>
      </c>
      <c r="H122" s="269">
        <f>H74</f>
        <v>31</v>
      </c>
      <c r="J122" s="18">
        <f>'GS 1k-4,999 Predicted Monthly'!$T$10</f>
        <v>1375460.7545834701</v>
      </c>
      <c r="K122" s="18">
        <f ca="1">E122*'GS 1k-4,999 Predicted Monthly'!$T$11</f>
        <v>0</v>
      </c>
      <c r="L122" s="18">
        <f>F122*'GS 1k-4,999 Predicted Monthly'!$T$12</f>
        <v>0</v>
      </c>
      <c r="M122" s="18">
        <f>G122*'GS 1k-4,999 Predicted Monthly'!$T$13</f>
        <v>2543883.7946008402</v>
      </c>
      <c r="N122" s="18">
        <f>H122*'GS 1k-4,999 Predicted Monthly'!$T$14</f>
        <v>3509355.4704038892</v>
      </c>
      <c r="O122" s="18">
        <f t="shared" ca="1" si="9"/>
        <v>7428700.0195881994</v>
      </c>
      <c r="Q122" s="18"/>
    </row>
    <row r="123" spans="1:17" x14ac:dyDescent="0.25">
      <c r="A123" s="3">
        <v>45689</v>
      </c>
      <c r="B123" s="1">
        <f t="shared" si="7"/>
        <v>2025</v>
      </c>
      <c r="C123" s="1">
        <f t="shared" si="8"/>
        <v>2</v>
      </c>
      <c r="D123" s="259"/>
      <c r="E123" s="269">
        <f t="shared" ca="1" si="12"/>
        <v>0</v>
      </c>
      <c r="F123" s="269">
        <f t="shared" si="12"/>
        <v>0</v>
      </c>
      <c r="G123" s="269">
        <f>Economic!F125</f>
        <v>233.24245000000002</v>
      </c>
      <c r="H123" s="269">
        <f t="shared" ref="H123:H145" si="13">H75</f>
        <v>28</v>
      </c>
      <c r="J123" s="18">
        <f>'GS 1k-4,999 Predicted Monthly'!$T$10</f>
        <v>1375460.7545834701</v>
      </c>
      <c r="K123" s="18">
        <f ca="1">E123*'GS 1k-4,999 Predicted Monthly'!$T$11</f>
        <v>0</v>
      </c>
      <c r="L123" s="18">
        <f>F123*'GS 1k-4,999 Predicted Monthly'!$T$12</f>
        <v>0</v>
      </c>
      <c r="M123" s="18">
        <f>G123*'GS 1k-4,999 Predicted Monthly'!$T$13</f>
        <v>2556140.7905450403</v>
      </c>
      <c r="N123" s="18">
        <f>H123*'GS 1k-4,999 Predicted Monthly'!$T$14</f>
        <v>3169740.4248809321</v>
      </c>
      <c r="O123" s="18">
        <f t="shared" ca="1" si="9"/>
        <v>7101341.9700094424</v>
      </c>
      <c r="Q123" s="18"/>
    </row>
    <row r="124" spans="1:17" x14ac:dyDescent="0.25">
      <c r="A124" s="3">
        <v>45717</v>
      </c>
      <c r="B124" s="1">
        <f t="shared" si="7"/>
        <v>2025</v>
      </c>
      <c r="C124" s="1">
        <f t="shared" si="8"/>
        <v>3</v>
      </c>
      <c r="D124" s="259"/>
      <c r="E124" s="269">
        <f t="shared" ca="1" si="12"/>
        <v>0</v>
      </c>
      <c r="F124" s="269">
        <f t="shared" si="12"/>
        <v>0</v>
      </c>
      <c r="G124" s="269">
        <f>Economic!F126</f>
        <v>234.76757500000002</v>
      </c>
      <c r="H124" s="269">
        <f t="shared" si="13"/>
        <v>31</v>
      </c>
      <c r="J124" s="18">
        <f>'GS 1k-4,999 Predicted Monthly'!$T$10</f>
        <v>1375460.7545834701</v>
      </c>
      <c r="K124" s="18">
        <f ca="1">E124*'GS 1k-4,999 Predicted Monthly'!$T$11</f>
        <v>0</v>
      </c>
      <c r="L124" s="18">
        <f>F124*'GS 1k-4,999 Predicted Monthly'!$T$12</f>
        <v>0</v>
      </c>
      <c r="M124" s="18">
        <f>G124*'GS 1k-4,999 Predicted Monthly'!$T$13</f>
        <v>2572854.8759234953</v>
      </c>
      <c r="N124" s="18">
        <f>H124*'GS 1k-4,999 Predicted Monthly'!$T$14</f>
        <v>3509355.4704038892</v>
      </c>
      <c r="O124" s="18">
        <f t="shared" ca="1" si="9"/>
        <v>7457671.1009108545</v>
      </c>
      <c r="Q124" s="18"/>
    </row>
    <row r="125" spans="1:17" x14ac:dyDescent="0.25">
      <c r="A125" s="3">
        <v>45748</v>
      </c>
      <c r="B125" s="1">
        <f t="shared" si="7"/>
        <v>2025</v>
      </c>
      <c r="C125" s="1">
        <f t="shared" si="8"/>
        <v>4</v>
      </c>
      <c r="D125" s="259"/>
      <c r="E125" s="269">
        <f t="shared" ca="1" si="12"/>
        <v>0.4316666666666677</v>
      </c>
      <c r="F125" s="269">
        <f t="shared" si="12"/>
        <v>0</v>
      </c>
      <c r="G125" s="269">
        <f>Economic!F127</f>
        <v>237.004425</v>
      </c>
      <c r="H125" s="269">
        <f t="shared" si="13"/>
        <v>30</v>
      </c>
      <c r="J125" s="18">
        <f>'GS 1k-4,999 Predicted Monthly'!$T$10</f>
        <v>1375460.7545834701</v>
      </c>
      <c r="K125" s="18">
        <f ca="1">E125*'GS 1k-4,999 Predicted Monthly'!$T$11</f>
        <v>3857.0377648914441</v>
      </c>
      <c r="L125" s="18">
        <f>F125*'GS 1k-4,999 Predicted Monthly'!$T$12</f>
        <v>0</v>
      </c>
      <c r="M125" s="18">
        <f>G125*'GS 1k-4,999 Predicted Monthly'!$T$13</f>
        <v>2597368.8678118954</v>
      </c>
      <c r="N125" s="18">
        <f>H125*'GS 1k-4,999 Predicted Monthly'!$T$14</f>
        <v>3396150.4552295702</v>
      </c>
      <c r="O125" s="18">
        <f t="shared" ca="1" si="9"/>
        <v>7372837.1153898276</v>
      </c>
    </row>
    <row r="126" spans="1:17" x14ac:dyDescent="0.25">
      <c r="A126" s="3">
        <v>45778</v>
      </c>
      <c r="B126" s="1">
        <f t="shared" si="7"/>
        <v>2025</v>
      </c>
      <c r="C126" s="1">
        <f t="shared" si="8"/>
        <v>5</v>
      </c>
      <c r="D126" s="259"/>
      <c r="E126" s="269">
        <f t="shared" ca="1" si="12"/>
        <v>29.4520183982684</v>
      </c>
      <c r="F126" s="269">
        <f t="shared" si="12"/>
        <v>0</v>
      </c>
      <c r="G126" s="269">
        <f>Economic!F128</f>
        <v>236.69940000000003</v>
      </c>
      <c r="H126" s="269">
        <f t="shared" si="13"/>
        <v>31</v>
      </c>
      <c r="J126" s="18">
        <f>'GS 1k-4,999 Predicted Monthly'!$T$10</f>
        <v>1375460.7545834701</v>
      </c>
      <c r="K126" s="18">
        <f ca="1">E126*'GS 1k-4,999 Predicted Monthly'!$T$11</f>
        <v>263160.34103721677</v>
      </c>
      <c r="L126" s="18">
        <f>F126*'GS 1k-4,999 Predicted Monthly'!$T$12</f>
        <v>0</v>
      </c>
      <c r="M126" s="18">
        <f>G126*'GS 1k-4,999 Predicted Monthly'!$T$13</f>
        <v>2594026.0507362047</v>
      </c>
      <c r="N126" s="18">
        <f>H126*'GS 1k-4,999 Predicted Monthly'!$T$14</f>
        <v>3509355.4704038892</v>
      </c>
      <c r="O126" s="18">
        <f t="shared" ca="1" si="9"/>
        <v>7742002.616760781</v>
      </c>
    </row>
    <row r="127" spans="1:17" x14ac:dyDescent="0.25">
      <c r="A127" s="3">
        <v>45809</v>
      </c>
      <c r="B127" s="1">
        <f t="shared" si="7"/>
        <v>2025</v>
      </c>
      <c r="C127" s="1">
        <f t="shared" si="8"/>
        <v>6</v>
      </c>
      <c r="D127" s="259"/>
      <c r="E127" s="269">
        <f t="shared" ref="E127:F142" ca="1" si="14">E115</f>
        <v>86.311049595332207</v>
      </c>
      <c r="F127" s="269">
        <f t="shared" si="14"/>
        <v>0</v>
      </c>
      <c r="G127" s="269">
        <f>Economic!F129</f>
        <v>234.46254999999999</v>
      </c>
      <c r="H127" s="269">
        <f t="shared" si="13"/>
        <v>30</v>
      </c>
      <c r="J127" s="18">
        <f>'GS 1k-4,999 Predicted Monthly'!$T$10</f>
        <v>1375460.7545834701</v>
      </c>
      <c r="K127" s="18">
        <f ca="1">E127*'GS 1k-4,999 Predicted Monthly'!$T$11</f>
        <v>771208.44281841069</v>
      </c>
      <c r="L127" s="18">
        <f>F127*'GS 1k-4,999 Predicted Monthly'!$T$12</f>
        <v>0</v>
      </c>
      <c r="M127" s="18">
        <f>G127*'GS 1k-4,999 Predicted Monthly'!$T$13</f>
        <v>2569512.0588478041</v>
      </c>
      <c r="N127" s="18">
        <f>H127*'GS 1k-4,999 Predicted Monthly'!$T$14</f>
        <v>3396150.4552295702</v>
      </c>
      <c r="O127" s="18">
        <f t="shared" ca="1" si="9"/>
        <v>8112331.711479255</v>
      </c>
    </row>
    <row r="128" spans="1:17" x14ac:dyDescent="0.25">
      <c r="A128" s="3">
        <v>45839</v>
      </c>
      <c r="B128" s="1">
        <f t="shared" si="7"/>
        <v>2025</v>
      </c>
      <c r="C128" s="1">
        <f t="shared" si="8"/>
        <v>7</v>
      </c>
      <c r="D128" s="259"/>
      <c r="E128" s="269">
        <f t="shared" ca="1" si="14"/>
        <v>174.0219619206118</v>
      </c>
      <c r="F128" s="269">
        <f t="shared" si="14"/>
        <v>0</v>
      </c>
      <c r="G128" s="269">
        <f>Economic!F130</f>
        <v>231.31062500000002</v>
      </c>
      <c r="H128" s="269">
        <f t="shared" si="13"/>
        <v>31</v>
      </c>
      <c r="J128" s="18">
        <f>'GS 1k-4,999 Predicted Monthly'!$T$10</f>
        <v>1375460.7545834701</v>
      </c>
      <c r="K128" s="18">
        <f ca="1">E128*'GS 1k-4,999 Predicted Monthly'!$T$11</f>
        <v>1554924.9707682601</v>
      </c>
      <c r="L128" s="18">
        <f>F128*'GS 1k-4,999 Predicted Monthly'!$T$12</f>
        <v>0</v>
      </c>
      <c r="M128" s="18">
        <f>G128*'GS 1k-4,999 Predicted Monthly'!$T$13</f>
        <v>2534969.6157323308</v>
      </c>
      <c r="N128" s="18">
        <f>H128*'GS 1k-4,999 Predicted Monthly'!$T$14</f>
        <v>3509355.4704038892</v>
      </c>
      <c r="O128" s="18">
        <f t="shared" ca="1" si="9"/>
        <v>8974710.8114879504</v>
      </c>
    </row>
    <row r="129" spans="1:15" x14ac:dyDescent="0.25">
      <c r="A129" s="3">
        <v>45870</v>
      </c>
      <c r="B129" s="1">
        <f t="shared" si="7"/>
        <v>2025</v>
      </c>
      <c r="C129" s="1">
        <f t="shared" si="8"/>
        <v>8</v>
      </c>
      <c r="D129" s="259"/>
      <c r="E129" s="269">
        <f t="shared" ca="1" si="14"/>
        <v>149.7160046113307</v>
      </c>
      <c r="F129" s="269">
        <f t="shared" si="14"/>
        <v>0</v>
      </c>
      <c r="G129" s="269">
        <f>Economic!F131</f>
        <v>228.87042500000001</v>
      </c>
      <c r="H129" s="269">
        <f t="shared" si="13"/>
        <v>31</v>
      </c>
      <c r="J129" s="18">
        <f>'GS 1k-4,999 Predicted Monthly'!$T$10</f>
        <v>1375460.7545834701</v>
      </c>
      <c r="K129" s="18">
        <f ca="1">E129*'GS 1k-4,999 Predicted Monthly'!$T$11</f>
        <v>1337745.8311843153</v>
      </c>
      <c r="L129" s="18">
        <f>F129*'GS 1k-4,999 Predicted Monthly'!$T$12</f>
        <v>0</v>
      </c>
      <c r="M129" s="18">
        <f>G129*'GS 1k-4,999 Predicted Monthly'!$T$13</f>
        <v>2508227.0791268027</v>
      </c>
      <c r="N129" s="18">
        <f>H129*'GS 1k-4,999 Predicted Monthly'!$T$14</f>
        <v>3509355.4704038892</v>
      </c>
      <c r="O129" s="18">
        <f t="shared" ca="1" si="9"/>
        <v>8730789.1352984775</v>
      </c>
    </row>
    <row r="130" spans="1:15" x14ac:dyDescent="0.25">
      <c r="A130" s="3">
        <v>45901</v>
      </c>
      <c r="B130" s="1">
        <f t="shared" ref="B130:B145" si="15">YEAR(A130)</f>
        <v>2025</v>
      </c>
      <c r="C130" s="1">
        <f t="shared" ref="C130:C145" si="16">MONTH(A130)</f>
        <v>9</v>
      </c>
      <c r="D130" s="259"/>
      <c r="E130" s="269">
        <f t="shared" ca="1" si="14"/>
        <v>62.345178571428576</v>
      </c>
      <c r="F130" s="269">
        <f t="shared" si="14"/>
        <v>0</v>
      </c>
      <c r="G130" s="269">
        <f>Economic!F132</f>
        <v>230.70057500000001</v>
      </c>
      <c r="H130" s="269">
        <f t="shared" si="13"/>
        <v>30</v>
      </c>
      <c r="J130" s="18">
        <f>'GS 1k-4,999 Predicted Monthly'!$T$10</f>
        <v>1375460.7545834701</v>
      </c>
      <c r="K130" s="18">
        <f ca="1">E130*'GS 1k-4,999 Predicted Monthly'!$T$11</f>
        <v>557068.04990478826</v>
      </c>
      <c r="L130" s="18">
        <f>F130*'GS 1k-4,999 Predicted Monthly'!$T$12</f>
        <v>0</v>
      </c>
      <c r="M130" s="18">
        <f>G130*'GS 1k-4,999 Predicted Monthly'!$T$13</f>
        <v>2528283.9815809489</v>
      </c>
      <c r="N130" s="18">
        <f>H130*'GS 1k-4,999 Predicted Monthly'!$T$14</f>
        <v>3396150.4552295702</v>
      </c>
      <c r="O130" s="18">
        <f t="shared" ca="1" si="9"/>
        <v>7856963.2412987771</v>
      </c>
    </row>
    <row r="131" spans="1:15" x14ac:dyDescent="0.25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4"/>
        <v>7.1541666666666703</v>
      </c>
      <c r="F131" s="269">
        <f t="shared" si="14"/>
        <v>0</v>
      </c>
      <c r="G131" s="269">
        <f>Economic!F133</f>
        <v>232.53072499999999</v>
      </c>
      <c r="H131" s="269">
        <f t="shared" si="13"/>
        <v>31</v>
      </c>
      <c r="J131" s="18">
        <f>'GS 1k-4,999 Predicted Monthly'!$T$10</f>
        <v>1375460.7545834701</v>
      </c>
      <c r="K131" s="18">
        <f ca="1">E131*'GS 1k-4,999 Predicted Monthly'!$T$11</f>
        <v>63924.071837052099</v>
      </c>
      <c r="L131" s="18">
        <f>F131*'GS 1k-4,999 Predicted Monthly'!$T$12</f>
        <v>0</v>
      </c>
      <c r="M131" s="18">
        <f>G131*'GS 1k-4,999 Predicted Monthly'!$T$13</f>
        <v>2548340.8840350942</v>
      </c>
      <c r="N131" s="18">
        <f>H131*'GS 1k-4,999 Predicted Monthly'!$T$14</f>
        <v>3509355.4704038892</v>
      </c>
      <c r="O131" s="18">
        <f t="shared" ref="O131:O145" ca="1" si="17">SUM(J131:N131)</f>
        <v>7497081.1808595052</v>
      </c>
    </row>
    <row r="132" spans="1:15" x14ac:dyDescent="0.25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4"/>
        <v>0.15041666666666628</v>
      </c>
      <c r="F132" s="269">
        <f t="shared" si="14"/>
        <v>0</v>
      </c>
      <c r="G132" s="269">
        <f>Economic!F134</f>
        <v>232.53072499999999</v>
      </c>
      <c r="H132" s="269">
        <f t="shared" si="13"/>
        <v>30</v>
      </c>
      <c r="J132" s="18">
        <f>'GS 1k-4,999 Predicted Monthly'!$T$10</f>
        <v>1375460.7545834701</v>
      </c>
      <c r="K132" s="18">
        <f ca="1">E132*'GS 1k-4,999 Predicted Monthly'!$T$11</f>
        <v>1344.0064026310854</v>
      </c>
      <c r="L132" s="18">
        <f>F132*'GS 1k-4,999 Predicted Monthly'!$T$12</f>
        <v>0</v>
      </c>
      <c r="M132" s="18">
        <f>G132*'GS 1k-4,999 Predicted Monthly'!$T$13</f>
        <v>2548340.8840350942</v>
      </c>
      <c r="N132" s="18">
        <f>H132*'GS 1k-4,999 Predicted Monthly'!$T$14</f>
        <v>3396150.4552295702</v>
      </c>
      <c r="O132" s="18">
        <f t="shared" ca="1" si="17"/>
        <v>7321296.1002507657</v>
      </c>
    </row>
    <row r="133" spans="1:15" x14ac:dyDescent="0.25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4"/>
        <v>0</v>
      </c>
      <c r="F133" s="269">
        <f t="shared" si="14"/>
        <v>0</v>
      </c>
      <c r="G133" s="269">
        <f>Economic!F135</f>
        <v>230.80225000000002</v>
      </c>
      <c r="H133" s="269">
        <f t="shared" si="13"/>
        <v>31</v>
      </c>
      <c r="J133" s="18">
        <f>'GS 1k-4,999 Predicted Monthly'!$T$10</f>
        <v>1375460.7545834701</v>
      </c>
      <c r="K133" s="18">
        <f ca="1">E133*'GS 1k-4,999 Predicted Monthly'!$T$11</f>
        <v>0</v>
      </c>
      <c r="L133" s="18">
        <f>F133*'GS 1k-4,999 Predicted Monthly'!$T$12</f>
        <v>0</v>
      </c>
      <c r="M133" s="18">
        <f>G133*'GS 1k-4,999 Predicted Monthly'!$T$13</f>
        <v>2529398.2539395122</v>
      </c>
      <c r="N133" s="18">
        <f>H133*'GS 1k-4,999 Predicted Monthly'!$T$14</f>
        <v>3509355.4704038892</v>
      </c>
      <c r="O133" s="18">
        <f t="shared" ca="1" si="17"/>
        <v>7414214.478926871</v>
      </c>
    </row>
    <row r="134" spans="1:15" x14ac:dyDescent="0.25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ca="1" si="14"/>
        <v>0</v>
      </c>
      <c r="F134" s="269">
        <f t="shared" si="14"/>
        <v>0</v>
      </c>
      <c r="G134" s="269">
        <f>Economic!F136</f>
        <v>234.85148229375</v>
      </c>
      <c r="H134" s="269">
        <f t="shared" si="13"/>
        <v>31</v>
      </c>
      <c r="J134" s="18">
        <f>'GS 1k-4,999 Predicted Monthly'!$T$10</f>
        <v>1375460.7545834701</v>
      </c>
      <c r="K134" s="18">
        <f ca="1">E134*'GS 1k-4,999 Predicted Monthly'!$T$11</f>
        <v>0</v>
      </c>
      <c r="L134" s="18">
        <f>F134*'GS 1k-4,999 Predicted Monthly'!$T$12</f>
        <v>0</v>
      </c>
      <c r="M134" s="18">
        <f>G134*'GS 1k-4,999 Predicted Monthly'!$T$13</f>
        <v>2573774.4291873998</v>
      </c>
      <c r="N134" s="18">
        <f>H134*'GS 1k-4,999 Predicted Monthly'!$T$14</f>
        <v>3509355.4704038892</v>
      </c>
      <c r="O134" s="18">
        <f t="shared" ca="1" si="17"/>
        <v>7458590.6541747591</v>
      </c>
    </row>
    <row r="135" spans="1:15" x14ac:dyDescent="0.25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4"/>
        <v>0</v>
      </c>
      <c r="F135" s="269">
        <f t="shared" si="14"/>
        <v>0</v>
      </c>
      <c r="G135" s="269">
        <f>Economic!F137</f>
        <v>235.9830487875</v>
      </c>
      <c r="H135" s="269">
        <f t="shared" si="13"/>
        <v>28</v>
      </c>
      <c r="J135" s="18">
        <f>'GS 1k-4,999 Predicted Monthly'!$T$10</f>
        <v>1375460.7545834701</v>
      </c>
      <c r="K135" s="18">
        <f ca="1">E135*'GS 1k-4,999 Predicted Monthly'!$T$11</f>
        <v>0</v>
      </c>
      <c r="L135" s="18">
        <f>F135*'GS 1k-4,999 Predicted Monthly'!$T$12</f>
        <v>0</v>
      </c>
      <c r="M135" s="18">
        <f>G135*'GS 1k-4,999 Predicted Monthly'!$T$13</f>
        <v>2586175.4448339441</v>
      </c>
      <c r="N135" s="18">
        <f>H135*'GS 1k-4,999 Predicted Monthly'!$T$14</f>
        <v>3169740.4248809321</v>
      </c>
      <c r="O135" s="18">
        <f t="shared" ca="1" si="17"/>
        <v>7131376.6242983462</v>
      </c>
    </row>
    <row r="136" spans="1:15" x14ac:dyDescent="0.25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4"/>
        <v>0</v>
      </c>
      <c r="F136" s="269">
        <f t="shared" si="14"/>
        <v>0</v>
      </c>
      <c r="G136" s="269">
        <f>Economic!F138</f>
        <v>237.52609400624999</v>
      </c>
      <c r="H136" s="269">
        <f t="shared" si="13"/>
        <v>31</v>
      </c>
      <c r="J136" s="18">
        <f>'GS 1k-4,999 Predicted Monthly'!$T$10</f>
        <v>1375460.7545834701</v>
      </c>
      <c r="K136" s="18">
        <f ca="1">E136*'GS 1k-4,999 Predicted Monthly'!$T$11</f>
        <v>0</v>
      </c>
      <c r="L136" s="18">
        <f>F136*'GS 1k-4,999 Predicted Monthly'!$T$12</f>
        <v>0</v>
      </c>
      <c r="M136" s="18">
        <f>G136*'GS 1k-4,999 Predicted Monthly'!$T$13</f>
        <v>2603085.9207155961</v>
      </c>
      <c r="N136" s="18">
        <f>H136*'GS 1k-4,999 Predicted Monthly'!$T$14</f>
        <v>3509355.4704038892</v>
      </c>
      <c r="O136" s="18">
        <f t="shared" ca="1" si="17"/>
        <v>7487902.1457029553</v>
      </c>
    </row>
    <row r="137" spans="1:15" x14ac:dyDescent="0.25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4"/>
        <v>0.4316666666666677</v>
      </c>
      <c r="F137" s="269">
        <f t="shared" si="14"/>
        <v>0</v>
      </c>
      <c r="G137" s="269">
        <f>Economic!F139</f>
        <v>239.78922699374999</v>
      </c>
      <c r="H137" s="269">
        <f t="shared" si="13"/>
        <v>30</v>
      </c>
      <c r="J137" s="18">
        <f>'GS 1k-4,999 Predicted Monthly'!$T$10</f>
        <v>1375460.7545834701</v>
      </c>
      <c r="K137" s="18">
        <f ca="1">E137*'GS 1k-4,999 Predicted Monthly'!$T$11</f>
        <v>3857.0377648914441</v>
      </c>
      <c r="L137" s="18">
        <f>F137*'GS 1k-4,999 Predicted Monthly'!$T$12</f>
        <v>0</v>
      </c>
      <c r="M137" s="18">
        <f>G137*'GS 1k-4,999 Predicted Monthly'!$T$13</f>
        <v>2627887.9520086851</v>
      </c>
      <c r="N137" s="18">
        <f>H137*'GS 1k-4,999 Predicted Monthly'!$T$14</f>
        <v>3396150.4552295702</v>
      </c>
      <c r="O137" s="18">
        <f t="shared" ca="1" si="17"/>
        <v>7403356.1995866168</v>
      </c>
    </row>
    <row r="138" spans="1:15" x14ac:dyDescent="0.25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4"/>
        <v>29.4520183982684</v>
      </c>
      <c r="F138" s="269">
        <f t="shared" si="14"/>
        <v>0</v>
      </c>
      <c r="G138" s="269">
        <f>Economic!F140</f>
        <v>239.48061795000001</v>
      </c>
      <c r="H138" s="269">
        <f t="shared" si="13"/>
        <v>31</v>
      </c>
      <c r="J138" s="18">
        <f>'GS 1k-4,999 Predicted Monthly'!$T$10</f>
        <v>1375460.7545834701</v>
      </c>
      <c r="K138" s="18">
        <f ca="1">E138*'GS 1k-4,999 Predicted Monthly'!$T$11</f>
        <v>263160.34103721677</v>
      </c>
      <c r="L138" s="18">
        <f>F138*'GS 1k-4,999 Predicted Monthly'!$T$12</f>
        <v>0</v>
      </c>
      <c r="M138" s="18">
        <f>G138*'GS 1k-4,999 Predicted Monthly'!$T$13</f>
        <v>2624505.8568323553</v>
      </c>
      <c r="N138" s="18">
        <f>H138*'GS 1k-4,999 Predicted Monthly'!$T$14</f>
        <v>3509355.4704038892</v>
      </c>
      <c r="O138" s="18">
        <f t="shared" ca="1" si="17"/>
        <v>7772482.4228569316</v>
      </c>
    </row>
    <row r="139" spans="1:15" x14ac:dyDescent="0.25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4"/>
        <v>86.311049595332207</v>
      </c>
      <c r="F139" s="269">
        <f t="shared" si="14"/>
        <v>0</v>
      </c>
      <c r="G139" s="269">
        <f>Economic!F141</f>
        <v>237.21748496249998</v>
      </c>
      <c r="H139" s="269">
        <f t="shared" si="13"/>
        <v>30</v>
      </c>
      <c r="J139" s="18">
        <f>'GS 1k-4,999 Predicted Monthly'!$T$10</f>
        <v>1375460.7545834701</v>
      </c>
      <c r="K139" s="18">
        <f ca="1">E139*'GS 1k-4,999 Predicted Monthly'!$T$11</f>
        <v>771208.44281841069</v>
      </c>
      <c r="L139" s="18">
        <f>F139*'GS 1k-4,999 Predicted Monthly'!$T$12</f>
        <v>0</v>
      </c>
      <c r="M139" s="18">
        <f>G139*'GS 1k-4,999 Predicted Monthly'!$T$13</f>
        <v>2599703.8255392653</v>
      </c>
      <c r="N139" s="18">
        <f>H139*'GS 1k-4,999 Predicted Monthly'!$T$14</f>
        <v>3396150.4552295702</v>
      </c>
      <c r="O139" s="18">
        <f t="shared" ca="1" si="17"/>
        <v>8142523.4781707162</v>
      </c>
    </row>
    <row r="140" spans="1:15" x14ac:dyDescent="0.25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4"/>
        <v>174.0219619206118</v>
      </c>
      <c r="F140" s="269">
        <f t="shared" si="14"/>
        <v>0</v>
      </c>
      <c r="G140" s="269">
        <f>Economic!F142</f>
        <v>234.02852484375001</v>
      </c>
      <c r="H140" s="269">
        <f t="shared" si="13"/>
        <v>31</v>
      </c>
      <c r="J140" s="18">
        <f>'GS 1k-4,999 Predicted Monthly'!$T$10</f>
        <v>1375460.7545834701</v>
      </c>
      <c r="K140" s="18">
        <f ca="1">E140*'GS 1k-4,999 Predicted Monthly'!$T$11</f>
        <v>1554924.9707682601</v>
      </c>
      <c r="L140" s="18">
        <f>F140*'GS 1k-4,999 Predicted Monthly'!$T$12</f>
        <v>0</v>
      </c>
      <c r="M140" s="18">
        <f>G140*'GS 1k-4,999 Predicted Monthly'!$T$13</f>
        <v>2564755.5087171854</v>
      </c>
      <c r="N140" s="18">
        <f>H140*'GS 1k-4,999 Predicted Monthly'!$T$14</f>
        <v>3509355.4704038892</v>
      </c>
      <c r="O140" s="18">
        <f t="shared" ca="1" si="17"/>
        <v>9004496.7044728044</v>
      </c>
    </row>
    <row r="141" spans="1:15" x14ac:dyDescent="0.25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4"/>
        <v>149.7160046113307</v>
      </c>
      <c r="F141" s="269">
        <f t="shared" si="14"/>
        <v>0</v>
      </c>
      <c r="G141" s="269">
        <f>Economic!F143</f>
        <v>231.55965249375001</v>
      </c>
      <c r="H141" s="269">
        <f t="shared" si="13"/>
        <v>31</v>
      </c>
      <c r="J141" s="18">
        <f>'GS 1k-4,999 Predicted Monthly'!$T$10</f>
        <v>1375460.7545834701</v>
      </c>
      <c r="K141" s="18">
        <f ca="1">E141*'GS 1k-4,999 Predicted Monthly'!$T$11</f>
        <v>1337745.8311843153</v>
      </c>
      <c r="L141" s="18">
        <f>F141*'GS 1k-4,999 Predicted Monthly'!$T$12</f>
        <v>0</v>
      </c>
      <c r="M141" s="18">
        <f>G141*'GS 1k-4,999 Predicted Monthly'!$T$13</f>
        <v>2537698.7473065425</v>
      </c>
      <c r="N141" s="18">
        <f>H141*'GS 1k-4,999 Predicted Monthly'!$T$14</f>
        <v>3509355.4704038892</v>
      </c>
      <c r="O141" s="18">
        <f t="shared" ca="1" si="17"/>
        <v>8760260.8034782168</v>
      </c>
    </row>
    <row r="142" spans="1:15" x14ac:dyDescent="0.25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4"/>
        <v>62.345178571428576</v>
      </c>
      <c r="F142" s="269">
        <f t="shared" si="14"/>
        <v>0</v>
      </c>
      <c r="G142" s="269">
        <f>Economic!F144</f>
        <v>233.41130675624999</v>
      </c>
      <c r="H142" s="269">
        <f t="shared" si="13"/>
        <v>30</v>
      </c>
      <c r="J142" s="18">
        <f>'GS 1k-4,999 Predicted Monthly'!$T$10</f>
        <v>1375460.7545834701</v>
      </c>
      <c r="K142" s="18">
        <f ca="1">E142*'GS 1k-4,999 Predicted Monthly'!$T$11</f>
        <v>557068.04990478826</v>
      </c>
      <c r="L142" s="18">
        <f>F142*'GS 1k-4,999 Predicted Monthly'!$T$12</f>
        <v>0</v>
      </c>
      <c r="M142" s="18">
        <f>G142*'GS 1k-4,999 Predicted Monthly'!$T$13</f>
        <v>2557991.3183645243</v>
      </c>
      <c r="N142" s="18">
        <f>H142*'GS 1k-4,999 Predicted Monthly'!$T$14</f>
        <v>3396150.4552295702</v>
      </c>
      <c r="O142" s="18">
        <f t="shared" ca="1" si="17"/>
        <v>7886670.5780823529</v>
      </c>
    </row>
    <row r="143" spans="1:15" x14ac:dyDescent="0.25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ref="E143:F145" ca="1" si="18">E131</f>
        <v>7.1541666666666703</v>
      </c>
      <c r="F143" s="269">
        <f t="shared" si="18"/>
        <v>0</v>
      </c>
      <c r="G143" s="269">
        <f>Economic!F145</f>
        <v>235.26296101874996</v>
      </c>
      <c r="H143" s="269">
        <f t="shared" si="13"/>
        <v>31</v>
      </c>
      <c r="J143" s="18">
        <f>'GS 1k-4,999 Predicted Monthly'!$T$10</f>
        <v>1375460.7545834701</v>
      </c>
      <c r="K143" s="18">
        <f ca="1">E143*'GS 1k-4,999 Predicted Monthly'!$T$11</f>
        <v>63924.071837052099</v>
      </c>
      <c r="L143" s="18">
        <f>F143*'GS 1k-4,999 Predicted Monthly'!$T$12</f>
        <v>0</v>
      </c>
      <c r="M143" s="18">
        <f>G143*'GS 1k-4,999 Predicted Monthly'!$T$13</f>
        <v>2578283.8894225066</v>
      </c>
      <c r="N143" s="18">
        <f>H143*'GS 1k-4,999 Predicted Monthly'!$T$14</f>
        <v>3509355.4704038892</v>
      </c>
      <c r="O143" s="18">
        <f t="shared" ca="1" si="17"/>
        <v>7527024.1862469176</v>
      </c>
    </row>
    <row r="144" spans="1:15" x14ac:dyDescent="0.25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0.15041666666666628</v>
      </c>
      <c r="F144" s="269">
        <f t="shared" si="18"/>
        <v>0</v>
      </c>
      <c r="G144" s="269">
        <f>Economic!F146</f>
        <v>235.26296101874996</v>
      </c>
      <c r="H144" s="269">
        <f t="shared" si="13"/>
        <v>30</v>
      </c>
      <c r="J144" s="18">
        <f>'GS 1k-4,999 Predicted Monthly'!$T$10</f>
        <v>1375460.7545834701</v>
      </c>
      <c r="K144" s="18">
        <f ca="1">E144*'GS 1k-4,999 Predicted Monthly'!$T$11</f>
        <v>1344.0064026310854</v>
      </c>
      <c r="L144" s="18">
        <f>F144*'GS 1k-4,999 Predicted Monthly'!$T$12</f>
        <v>0</v>
      </c>
      <c r="M144" s="18">
        <f>G144*'GS 1k-4,999 Predicted Monthly'!$T$13</f>
        <v>2578283.8894225066</v>
      </c>
      <c r="N144" s="18">
        <f>H144*'GS 1k-4,999 Predicted Monthly'!$T$14</f>
        <v>3396150.4552295702</v>
      </c>
      <c r="O144" s="18">
        <f t="shared" ca="1" si="17"/>
        <v>7351239.1056381781</v>
      </c>
    </row>
    <row r="145" spans="1:15" x14ac:dyDescent="0.25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0</v>
      </c>
      <c r="F145" s="269">
        <f t="shared" si="18"/>
        <v>0</v>
      </c>
      <c r="G145" s="269">
        <f>Economic!F147</f>
        <v>233.5141764375</v>
      </c>
      <c r="H145" s="269">
        <f t="shared" si="13"/>
        <v>31</v>
      </c>
      <c r="J145" s="18">
        <f>'GS 1k-4,999 Predicted Monthly'!$T$10</f>
        <v>1375460.7545834701</v>
      </c>
      <c r="K145" s="18">
        <f ca="1">E145*'GS 1k-4,999 Predicted Monthly'!$T$11</f>
        <v>0</v>
      </c>
      <c r="L145" s="18">
        <f>F145*'GS 1k-4,999 Predicted Monthly'!$T$12</f>
        <v>0</v>
      </c>
      <c r="M145" s="18">
        <f>G145*'GS 1k-4,999 Predicted Monthly'!$T$13</f>
        <v>2559118.6834233017</v>
      </c>
      <c r="N145" s="18">
        <f>H145*'GS 1k-4,999 Predicted Monthly'!$T$14</f>
        <v>3509355.4704038892</v>
      </c>
      <c r="O145" s="18">
        <f t="shared" ca="1" si="17"/>
        <v>7443934.9084106609</v>
      </c>
    </row>
    <row r="195" spans="7:18" x14ac:dyDescent="0.25">
      <c r="G195" s="18"/>
      <c r="H195" s="18"/>
      <c r="K195" s="18"/>
      <c r="L195" s="18"/>
      <c r="M195" s="18"/>
      <c r="N195" s="18"/>
      <c r="O195" s="18"/>
      <c r="P195" s="18"/>
      <c r="Q195" s="18"/>
      <c r="R195" s="18"/>
    </row>
    <row r="196" spans="7:18" x14ac:dyDescent="0.25">
      <c r="G196" s="18"/>
      <c r="H196" s="18"/>
      <c r="K196" s="18"/>
      <c r="L196" s="18"/>
      <c r="M196" s="18"/>
      <c r="N196" s="18"/>
      <c r="O196" s="18"/>
      <c r="P196" s="18"/>
      <c r="Q196" s="18"/>
      <c r="R196" s="18"/>
    </row>
    <row r="197" spans="7:18" x14ac:dyDescent="0.25">
      <c r="G197" s="18"/>
      <c r="H197" s="18"/>
      <c r="K197" s="18"/>
      <c r="L197" s="18"/>
      <c r="M197" s="18"/>
      <c r="N197" s="18"/>
      <c r="O197" s="18"/>
      <c r="P197" s="18"/>
      <c r="Q197" s="18"/>
      <c r="R197" s="18"/>
    </row>
    <row r="198" spans="7:18" x14ac:dyDescent="0.25">
      <c r="G198" s="18"/>
      <c r="H198" s="18"/>
      <c r="K198" s="18"/>
      <c r="L198" s="18"/>
      <c r="M198" s="18"/>
      <c r="N198" s="18"/>
      <c r="O198" s="18"/>
      <c r="P198" s="18"/>
      <c r="Q198" s="18"/>
      <c r="R198" s="18"/>
    </row>
    <row r="199" spans="7:18" x14ac:dyDescent="0.25">
      <c r="G199" s="18"/>
      <c r="H199" s="18"/>
      <c r="K199" s="18"/>
      <c r="L199" s="18"/>
      <c r="M199" s="18"/>
      <c r="N199" s="18"/>
      <c r="O199" s="18"/>
      <c r="P199" s="18"/>
      <c r="Q199" s="18"/>
      <c r="R199" s="18"/>
    </row>
    <row r="200" spans="7:18" x14ac:dyDescent="0.25">
      <c r="G200" s="18"/>
      <c r="H200" s="18"/>
      <c r="K200" s="18"/>
      <c r="L200" s="18"/>
      <c r="M200" s="18"/>
      <c r="N200" s="18"/>
      <c r="O200" s="18"/>
      <c r="P200" s="18"/>
      <c r="Q200" s="18"/>
      <c r="R200" s="18"/>
    </row>
    <row r="201" spans="7:18" x14ac:dyDescent="0.25">
      <c r="G201" s="18"/>
      <c r="H201" s="18"/>
      <c r="K201" s="18"/>
      <c r="L201" s="18"/>
      <c r="M201" s="18"/>
      <c r="N201" s="18"/>
      <c r="O201" s="18"/>
      <c r="P201" s="18"/>
      <c r="Q201" s="18"/>
      <c r="R201" s="18"/>
    </row>
    <row r="202" spans="7:18" x14ac:dyDescent="0.25">
      <c r="G202" s="18"/>
      <c r="H202" s="18"/>
      <c r="K202" s="18"/>
      <c r="L202" s="18"/>
      <c r="M202" s="18"/>
      <c r="N202" s="18"/>
      <c r="O202" s="18"/>
      <c r="P202" s="18"/>
      <c r="Q202" s="18"/>
      <c r="R202" s="18"/>
    </row>
    <row r="204" spans="7:18" x14ac:dyDescent="0.25">
      <c r="J204" s="24"/>
      <c r="K204" s="24"/>
      <c r="L204" s="24"/>
      <c r="M204" s="24"/>
      <c r="N204" s="24"/>
      <c r="O204" s="24"/>
      <c r="P204" s="24"/>
      <c r="Q204" s="24"/>
      <c r="R204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  <pageSetUpPr fitToPage="1"/>
  </sheetPr>
  <dimension ref="A1:DV128"/>
  <sheetViews>
    <sheetView workbookViewId="0">
      <pane xSplit="1" ySplit="1" topLeftCell="B96" activePane="bottomRight" state="frozen"/>
      <selection activeCell="G45" sqref="G45"/>
      <selection pane="topRight" activeCell="G45" sqref="G45"/>
      <selection pane="bottomLeft" activeCell="G45" sqref="G45"/>
      <selection pane="bottomRight" activeCell="H119" sqref="H119"/>
    </sheetView>
  </sheetViews>
  <sheetFormatPr defaultColWidth="8.77734375" defaultRowHeight="13.2" x14ac:dyDescent="0.25"/>
  <cols>
    <col min="1" max="1" width="11.77734375" style="3" bestFit="1" customWidth="1"/>
    <col min="2" max="3" width="10.33203125" style="1" customWidth="1"/>
    <col min="4" max="4" width="14.77734375" style="257" customWidth="1"/>
    <col min="5" max="5" width="14.109375" style="257" customWidth="1"/>
    <col min="6" max="6" width="13.109375" style="257" customWidth="1"/>
    <col min="7" max="7" width="12.44140625" style="4" customWidth="1"/>
    <col min="8" max="8" width="15.44140625" style="254" customWidth="1"/>
    <col min="9" max="10" width="13.109375" style="1" customWidth="1"/>
    <col min="11" max="11" width="17.44140625" style="4" bestFit="1" customWidth="1"/>
    <col min="12" max="13" width="14.33203125" style="4" customWidth="1"/>
    <col min="14" max="14" width="15.77734375" style="4" customWidth="1"/>
    <col min="15" max="26" width="13.77734375" style="4" customWidth="1"/>
    <col min="27" max="27" width="19.44140625" style="4" bestFit="1" customWidth="1"/>
    <col min="28" max="28" width="18.33203125" style="4" customWidth="1"/>
    <col min="29" max="29" width="20" style="4" bestFit="1" customWidth="1"/>
    <col min="30" max="32" width="20" style="4" customWidth="1"/>
    <col min="33" max="33" width="13.109375" style="4" bestFit="1" customWidth="1"/>
    <col min="34" max="34" width="18.33203125" style="1" bestFit="1" customWidth="1"/>
    <col min="35" max="35" width="12.33203125" style="5" bestFit="1" customWidth="1"/>
    <col min="36" max="40" width="12.33203125" style="5" customWidth="1"/>
    <col min="41" max="44" width="10.109375" style="5" bestFit="1" customWidth="1"/>
    <col min="45" max="50" width="8.77734375" style="5" customWidth="1"/>
    <col min="51" max="65" width="8.77734375" style="6"/>
    <col min="66" max="83" width="8.77734375" style="1"/>
    <col min="84" max="84" width="8.33203125" style="1" bestFit="1" customWidth="1"/>
    <col min="85" max="85" width="12.33203125" style="1" bestFit="1" customWidth="1"/>
    <col min="86" max="86" width="13.6640625" style="1" bestFit="1" customWidth="1"/>
    <col min="87" max="87" width="12.33203125" style="1" bestFit="1" customWidth="1"/>
    <col min="88" max="115" width="10.109375" style="1" customWidth="1"/>
    <col min="116" max="116" width="10.6640625" style="1" customWidth="1"/>
    <col min="117" max="117" width="8.77734375" style="1"/>
    <col min="118" max="118" width="12.77734375" style="1" customWidth="1"/>
    <col min="119" max="119" width="10.77734375" style="1" bestFit="1" customWidth="1"/>
    <col min="120" max="120" width="8.77734375" style="1"/>
    <col min="121" max="122" width="12" style="1" bestFit="1" customWidth="1"/>
    <col min="123" max="124" width="10.77734375" style="1" bestFit="1" customWidth="1"/>
    <col min="125" max="126" width="14" style="1" bestFit="1" customWidth="1"/>
    <col min="127" max="16384" width="8.77734375" style="1"/>
  </cols>
  <sheetData>
    <row r="1" spans="1:126" s="232" customFormat="1" ht="39.6" x14ac:dyDescent="0.25">
      <c r="A1" s="247" t="s">
        <v>0</v>
      </c>
      <c r="B1" s="232" t="s">
        <v>1</v>
      </c>
      <c r="C1" s="232" t="s">
        <v>2</v>
      </c>
      <c r="D1" s="248" t="s">
        <v>3</v>
      </c>
      <c r="E1" s="248" t="s">
        <v>4</v>
      </c>
      <c r="F1" s="248" t="s">
        <v>5</v>
      </c>
      <c r="G1" s="249" t="s">
        <v>6</v>
      </c>
      <c r="H1" s="250" t="s">
        <v>7</v>
      </c>
      <c r="I1" s="248" t="s">
        <v>8</v>
      </c>
      <c r="J1" s="248" t="s">
        <v>9</v>
      </c>
      <c r="K1" s="251" t="s">
        <v>10</v>
      </c>
      <c r="L1" s="251" t="s">
        <v>11</v>
      </c>
      <c r="M1" s="251" t="s">
        <v>12</v>
      </c>
      <c r="N1" s="251" t="s">
        <v>13</v>
      </c>
      <c r="O1" s="251" t="s">
        <v>14</v>
      </c>
      <c r="P1" s="251" t="s">
        <v>15</v>
      </c>
      <c r="Q1" s="251" t="s">
        <v>16</v>
      </c>
      <c r="R1" s="251" t="s">
        <v>17</v>
      </c>
      <c r="S1" s="251" t="s">
        <v>18</v>
      </c>
      <c r="T1" s="251" t="s">
        <v>19</v>
      </c>
      <c r="U1" s="251" t="s">
        <v>20</v>
      </c>
      <c r="V1" s="251" t="s">
        <v>21</v>
      </c>
      <c r="W1" s="251" t="s">
        <v>22</v>
      </c>
      <c r="X1" s="251" t="s">
        <v>23</v>
      </c>
      <c r="Y1" s="251" t="s">
        <v>24</v>
      </c>
      <c r="Z1" s="251" t="s">
        <v>25</v>
      </c>
      <c r="AA1" s="251" t="s">
        <v>26</v>
      </c>
      <c r="AB1" s="251" t="s">
        <v>27</v>
      </c>
      <c r="AC1" s="251" t="s">
        <v>28</v>
      </c>
      <c r="AD1" s="251" t="s">
        <v>29</v>
      </c>
      <c r="AE1" s="251" t="s">
        <v>30</v>
      </c>
      <c r="AF1" s="251" t="s">
        <v>31</v>
      </c>
      <c r="AG1" s="251" t="s">
        <v>32</v>
      </c>
      <c r="AH1" s="232" t="s">
        <v>33</v>
      </c>
      <c r="AI1" s="233" t="s">
        <v>34</v>
      </c>
      <c r="AJ1" s="233" t="s">
        <v>35</v>
      </c>
      <c r="AK1" s="233" t="s">
        <v>36</v>
      </c>
      <c r="AL1" s="233" t="s">
        <v>37</v>
      </c>
      <c r="AM1" s="233" t="s">
        <v>38</v>
      </c>
      <c r="AN1" s="233" t="s">
        <v>39</v>
      </c>
      <c r="AO1" s="233" t="s">
        <v>40</v>
      </c>
      <c r="AP1" s="233" t="s">
        <v>41</v>
      </c>
      <c r="AQ1" s="233" t="s">
        <v>42</v>
      </c>
      <c r="AR1" s="233" t="s">
        <v>43</v>
      </c>
      <c r="AS1" s="233" t="s">
        <v>44</v>
      </c>
      <c r="AT1" s="233" t="s">
        <v>45</v>
      </c>
      <c r="AU1" s="233" t="s">
        <v>46</v>
      </c>
      <c r="AV1" s="233" t="s">
        <v>47</v>
      </c>
      <c r="AW1" s="233" t="s">
        <v>48</v>
      </c>
      <c r="AX1" s="233" t="s">
        <v>49</v>
      </c>
      <c r="AY1" s="234" t="s">
        <v>50</v>
      </c>
      <c r="AZ1" s="234" t="s">
        <v>51</v>
      </c>
      <c r="BA1" s="234" t="s">
        <v>52</v>
      </c>
      <c r="BB1" s="234" t="s">
        <v>53</v>
      </c>
      <c r="BC1" s="234" t="s">
        <v>54</v>
      </c>
      <c r="BD1" s="234" t="s">
        <v>55</v>
      </c>
      <c r="BE1" s="234" t="s">
        <v>56</v>
      </c>
      <c r="BF1" s="234" t="s">
        <v>57</v>
      </c>
      <c r="BG1" s="234" t="s">
        <v>58</v>
      </c>
      <c r="BH1" s="234" t="s">
        <v>59</v>
      </c>
      <c r="BI1" s="234" t="s">
        <v>60</v>
      </c>
      <c r="BJ1" s="234" t="s">
        <v>61</v>
      </c>
      <c r="BK1" s="234" t="s">
        <v>62</v>
      </c>
      <c r="BL1" s="234" t="s">
        <v>63</v>
      </c>
      <c r="BM1" s="234" t="s">
        <v>64</v>
      </c>
      <c r="BN1" s="449" t="s">
        <v>65</v>
      </c>
      <c r="BO1" s="449" t="s">
        <v>66</v>
      </c>
      <c r="BP1" s="449" t="s">
        <v>67</v>
      </c>
      <c r="BQ1" s="449" t="s">
        <v>68</v>
      </c>
      <c r="BR1" s="449" t="s">
        <v>69</v>
      </c>
      <c r="BS1" s="449" t="s">
        <v>70</v>
      </c>
      <c r="BT1" s="449" t="s">
        <v>71</v>
      </c>
      <c r="BU1" s="449" t="s">
        <v>72</v>
      </c>
      <c r="BV1" s="449" t="s">
        <v>73</v>
      </c>
      <c r="BW1" s="449" t="s">
        <v>74</v>
      </c>
      <c r="BX1" s="449" t="s">
        <v>75</v>
      </c>
      <c r="BY1" s="449" t="s">
        <v>76</v>
      </c>
      <c r="BZ1" s="449" t="s">
        <v>77</v>
      </c>
      <c r="CA1" s="449" t="s">
        <v>78</v>
      </c>
      <c r="CB1" s="449" t="s">
        <v>79</v>
      </c>
      <c r="CC1" s="232" t="s">
        <v>80</v>
      </c>
      <c r="CD1" s="449" t="s">
        <v>81</v>
      </c>
      <c r="CE1" s="449" t="s">
        <v>82</v>
      </c>
      <c r="CF1" s="450" t="s">
        <v>83</v>
      </c>
      <c r="CG1" s="450" t="s">
        <v>84</v>
      </c>
      <c r="CH1" s="450" t="s">
        <v>85</v>
      </c>
      <c r="CI1" s="450" t="s">
        <v>86</v>
      </c>
      <c r="CJ1" s="450" t="s">
        <v>87</v>
      </c>
      <c r="CK1" s="450" t="s">
        <v>88</v>
      </c>
      <c r="CL1" s="450" t="s">
        <v>89</v>
      </c>
      <c r="CM1" s="450" t="s">
        <v>90</v>
      </c>
      <c r="CN1" s="450" t="s">
        <v>91</v>
      </c>
      <c r="CO1" s="450" t="s">
        <v>92</v>
      </c>
      <c r="CP1" s="450" t="s">
        <v>93</v>
      </c>
      <c r="CQ1" s="450" t="s">
        <v>94</v>
      </c>
      <c r="CR1" s="450" t="s">
        <v>95</v>
      </c>
      <c r="CS1" s="450" t="s">
        <v>96</v>
      </c>
      <c r="CT1" s="450" t="s">
        <v>97</v>
      </c>
      <c r="CU1" s="450" t="s">
        <v>98</v>
      </c>
      <c r="CV1" s="450" t="s">
        <v>99</v>
      </c>
      <c r="CW1" s="450" t="s">
        <v>100</v>
      </c>
      <c r="CX1" s="450" t="s">
        <v>101</v>
      </c>
      <c r="CY1" s="450" t="s">
        <v>102</v>
      </c>
      <c r="CZ1" s="450" t="s">
        <v>103</v>
      </c>
      <c r="DA1" s="450" t="s">
        <v>104</v>
      </c>
      <c r="DB1" s="450" t="s">
        <v>105</v>
      </c>
      <c r="DC1" s="450" t="s">
        <v>106</v>
      </c>
      <c r="DD1" s="450" t="s">
        <v>107</v>
      </c>
      <c r="DE1" s="450" t="s">
        <v>108</v>
      </c>
      <c r="DF1" s="450" t="s">
        <v>109</v>
      </c>
      <c r="DG1" s="450" t="s">
        <v>110</v>
      </c>
      <c r="DH1" s="450" t="s">
        <v>111</v>
      </c>
      <c r="DI1" s="450" t="s">
        <v>112</v>
      </c>
      <c r="DJ1" s="450" t="s">
        <v>113</v>
      </c>
      <c r="DK1" s="450" t="s">
        <v>114</v>
      </c>
      <c r="DL1" s="232" t="s">
        <v>552</v>
      </c>
      <c r="DM1" s="232" t="s">
        <v>553</v>
      </c>
    </row>
    <row r="2" spans="1:126" x14ac:dyDescent="0.25">
      <c r="A2" s="252">
        <v>42005</v>
      </c>
      <c r="B2" s="253">
        <f t="shared" ref="B2:B53" si="0">YEAR(A2)</f>
        <v>2015</v>
      </c>
      <c r="C2" s="253">
        <f t="shared" ref="C2:C53" si="1">MONTH(A2)</f>
        <v>1</v>
      </c>
      <c r="D2" s="254">
        <v>49368868.680075057</v>
      </c>
      <c r="E2" s="254">
        <f>IFERROR(VLOOKUP($B2-1,CDM!$L$7:$T$18,2,FALSE)/12,0)+IFERROR(VLOOKUP($B2,CDM!$L$36:$T$46,2,FALSE)/24,0)+IFERROR(VLOOKUP($B2,CDM!$L$36:$T$46,2,FALSE)/2*$C2/78,0)</f>
        <v>83935.528846153844</v>
      </c>
      <c r="F2" s="254">
        <f t="shared" ref="F2:F53" si="2">D2+E2</f>
        <v>49452804.208921209</v>
      </c>
      <c r="G2" s="255">
        <v>46149</v>
      </c>
      <c r="H2" s="254">
        <v>13797623.045835016</v>
      </c>
      <c r="I2" s="254">
        <f>IFERROR(VLOOKUP($B2-1,CDM!$L$7:$T$18,3,FALSE)/12,0)+IFERROR(VLOOKUP($B2,CDM!$L$36:$T$46,3,FALSE)/24,0)+IFERROR(VLOOKUP($B2,CDM!$L$36:$T$46,3,FALSE)/2*$C2/78,0)</f>
        <v>24765.750961538462</v>
      </c>
      <c r="J2" s="254">
        <f>H2+I2</f>
        <v>13822388.796796555</v>
      </c>
      <c r="K2" s="256">
        <v>3993</v>
      </c>
      <c r="L2" s="4">
        <v>32669752.675784744</v>
      </c>
      <c r="M2" s="257">
        <f>IFERROR(VLOOKUP($B2-1,CDM!$L$7:$T$18,4,FALSE)/12,0)+IFERROR(VLOOKUP($B2,CDM!$L$36:$T$46,4,FALSE)/24,0)+IFERROR(VLOOKUP($B2,CDM!$L$36:$T$46,4,FALSE)/2*$C2/78,0)</f>
        <v>34541.70528846154</v>
      </c>
      <c r="N2" s="254">
        <f t="shared" ref="N2:N53" si="3">L2+M2</f>
        <v>32704294.381073207</v>
      </c>
      <c r="O2" s="4">
        <v>74419</v>
      </c>
      <c r="P2" s="256">
        <v>505</v>
      </c>
      <c r="Q2" s="256">
        <v>6465611.5670688022</v>
      </c>
      <c r="R2" s="256">
        <f>IFERROR(VLOOKUP($B2-1,CDM!$L$7:$T$18,5,FALSE)/12,0)+IFERROR(VLOOKUP($B2,CDM!$L$36:$T$46,5,FALSE)/24,0)+IFERROR(VLOOKUP($B2,CDM!$L$36:$T$46,5,FALSE)/2*$C2/78,0)</f>
        <v>231991.26971153848</v>
      </c>
      <c r="S2" s="256">
        <f>Q2+R2</f>
        <v>6697602.8367803404</v>
      </c>
      <c r="T2" s="256">
        <v>14368</v>
      </c>
      <c r="U2" s="256">
        <v>12</v>
      </c>
      <c r="V2" s="256">
        <v>3310187.7147286441</v>
      </c>
      <c r="W2" s="256">
        <f>IFERROR(VLOOKUP($B2-1,CDM!$L$7:$T$18,6,FALSE)/12,0)+IFERROR(VLOOKUP($B2,CDM!$L$36:$T$46,6,FALSE)/24,0)+IFERROR(VLOOKUP($B2,CDM!$L$36:$T$46,6,FALSE)/2*$C2/78,0)</f>
        <v>0</v>
      </c>
      <c r="X2" s="256">
        <f>V2+W2</f>
        <v>3310187.7147286441</v>
      </c>
      <c r="Y2" s="256">
        <v>7527</v>
      </c>
      <c r="Z2" s="256">
        <v>1</v>
      </c>
      <c r="AA2" s="4">
        <v>978774.29611849855</v>
      </c>
      <c r="AB2" s="4">
        <v>2153</v>
      </c>
      <c r="AC2" s="256">
        <v>12547</v>
      </c>
      <c r="AD2" s="256">
        <v>2413.1031851993134</v>
      </c>
      <c r="AE2" s="256">
        <v>0</v>
      </c>
      <c r="AF2" s="256">
        <v>25</v>
      </c>
      <c r="AG2" s="4">
        <v>210684</v>
      </c>
      <c r="AH2" s="4">
        <v>268</v>
      </c>
      <c r="AI2" s="28">
        <f>Economic!H4</f>
        <v>727609.6</v>
      </c>
      <c r="AJ2" s="28">
        <f>Economic!I4</f>
        <v>557474</v>
      </c>
      <c r="AK2" s="28">
        <f>Economic!J4</f>
        <v>49299.3</v>
      </c>
      <c r="AL2" s="28">
        <f>Economic!K4</f>
        <v>718587</v>
      </c>
      <c r="AM2" s="28">
        <f>Economic!L4</f>
        <v>551679</v>
      </c>
      <c r="AN2" s="28">
        <f>Economic!M4</f>
        <v>28860</v>
      </c>
      <c r="AO2" s="28">
        <f>Economic!D4</f>
        <v>6851.1</v>
      </c>
      <c r="AP2" s="28">
        <f>Economic!E4</f>
        <v>6809.7</v>
      </c>
      <c r="AQ2" s="28">
        <f>Economic!F4</f>
        <v>201.9</v>
      </c>
      <c r="AR2" s="28">
        <f>Economic!G4</f>
        <v>201.6</v>
      </c>
      <c r="AS2" s="28">
        <f>Economic!N4</f>
        <v>0</v>
      </c>
      <c r="AT2" s="28">
        <f>Economic!O4</f>
        <v>0</v>
      </c>
      <c r="AU2" s="28">
        <f>Economic!P4</f>
        <v>0</v>
      </c>
      <c r="AV2" s="28">
        <f>Economic!Q4</f>
        <v>0</v>
      </c>
      <c r="AW2" s="28">
        <f>Economic!R4</f>
        <v>0</v>
      </c>
      <c r="AX2" s="28">
        <f>Economic!S4</f>
        <v>0</v>
      </c>
      <c r="AY2" s="7">
        <f>Weather!D2</f>
        <v>-7.7384467040673215</v>
      </c>
      <c r="AZ2" s="7">
        <f>Weather!E2</f>
        <v>859.89184782608675</v>
      </c>
      <c r="BA2" s="7">
        <f>Weather!F2</f>
        <v>0</v>
      </c>
      <c r="BB2" s="7">
        <f>Weather!G2</f>
        <v>797.89184782608675</v>
      </c>
      <c r="BC2" s="7">
        <f>Weather!H2</f>
        <v>0</v>
      </c>
      <c r="BD2" s="7">
        <f>Weather!I2</f>
        <v>735.89184782608675</v>
      </c>
      <c r="BE2" s="7">
        <f>Weather!J2</f>
        <v>0</v>
      </c>
      <c r="BF2" s="7">
        <f>Weather!K2</f>
        <v>673.89184782608697</v>
      </c>
      <c r="BG2" s="7">
        <f>Weather!L2</f>
        <v>0</v>
      </c>
      <c r="BH2" s="7">
        <f>Weather!M2</f>
        <v>611.89184782608697</v>
      </c>
      <c r="BI2" s="7">
        <f>Weather!N2</f>
        <v>0</v>
      </c>
      <c r="BJ2" s="7">
        <f>Weather!O2</f>
        <v>549.89184782608709</v>
      </c>
      <c r="BK2" s="7">
        <f>Weather!P2</f>
        <v>0</v>
      </c>
      <c r="BL2" s="7">
        <f>Weather!Q2</f>
        <v>487.89184782608703</v>
      </c>
      <c r="BM2" s="7">
        <f>Weather!R2</f>
        <v>0</v>
      </c>
      <c r="BN2" s="1">
        <v>1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1</v>
      </c>
      <c r="CD2" s="1">
        <v>31</v>
      </c>
      <c r="CE2" s="1">
        <v>21</v>
      </c>
      <c r="CF2" s="1">
        <v>0</v>
      </c>
      <c r="CG2" s="1">
        <v>0</v>
      </c>
      <c r="CH2" s="1">
        <v>0</v>
      </c>
      <c r="CI2" s="1">
        <v>0</v>
      </c>
      <c r="CJ2" s="1">
        <f t="shared" ref="CJ2:CW8" si="4">$CG2*AZ2</f>
        <v>0</v>
      </c>
      <c r="CK2" s="1">
        <f t="shared" si="4"/>
        <v>0</v>
      </c>
      <c r="CL2" s="1">
        <f t="shared" si="4"/>
        <v>0</v>
      </c>
      <c r="CM2" s="1">
        <f t="shared" si="4"/>
        <v>0</v>
      </c>
      <c r="CN2" s="1">
        <f t="shared" si="4"/>
        <v>0</v>
      </c>
      <c r="CO2" s="1">
        <f t="shared" si="4"/>
        <v>0</v>
      </c>
      <c r="CP2" s="1">
        <f t="shared" si="4"/>
        <v>0</v>
      </c>
      <c r="CQ2" s="1">
        <f t="shared" si="4"/>
        <v>0</v>
      </c>
      <c r="CR2" s="1">
        <f t="shared" si="4"/>
        <v>0</v>
      </c>
      <c r="CS2" s="1">
        <f t="shared" si="4"/>
        <v>0</v>
      </c>
      <c r="CT2" s="1">
        <f t="shared" si="4"/>
        <v>0</v>
      </c>
      <c r="CU2" s="1">
        <f t="shared" si="4"/>
        <v>0</v>
      </c>
      <c r="CV2" s="1">
        <f t="shared" si="4"/>
        <v>0</v>
      </c>
      <c r="CW2" s="1">
        <f t="shared" si="4"/>
        <v>0</v>
      </c>
      <c r="CX2" s="1">
        <f t="shared" ref="CX2:DK8" si="5">$CH2*AZ2</f>
        <v>0</v>
      </c>
      <c r="CY2" s="1">
        <f t="shared" si="5"/>
        <v>0</v>
      </c>
      <c r="CZ2" s="1">
        <f t="shared" si="5"/>
        <v>0</v>
      </c>
      <c r="DA2" s="1">
        <f t="shared" si="5"/>
        <v>0</v>
      </c>
      <c r="DB2" s="1">
        <f t="shared" si="5"/>
        <v>0</v>
      </c>
      <c r="DC2" s="1">
        <f t="shared" si="5"/>
        <v>0</v>
      </c>
      <c r="DD2" s="1">
        <f t="shared" si="5"/>
        <v>0</v>
      </c>
      <c r="DE2" s="1">
        <f t="shared" si="5"/>
        <v>0</v>
      </c>
      <c r="DF2" s="1">
        <f t="shared" si="5"/>
        <v>0</v>
      </c>
      <c r="DG2" s="1">
        <f t="shared" si="5"/>
        <v>0</v>
      </c>
      <c r="DH2" s="1">
        <f t="shared" si="5"/>
        <v>0</v>
      </c>
      <c r="DI2" s="1">
        <f t="shared" si="5"/>
        <v>0</v>
      </c>
      <c r="DJ2" s="1">
        <f t="shared" si="5"/>
        <v>0</v>
      </c>
      <c r="DK2" s="1">
        <f t="shared" si="5"/>
        <v>0</v>
      </c>
      <c r="DL2" s="25">
        <v>0</v>
      </c>
      <c r="DM2" s="25">
        <v>0</v>
      </c>
      <c r="DN2" s="24"/>
      <c r="DO2" s="25"/>
      <c r="DP2" s="25"/>
      <c r="DQ2" s="25"/>
      <c r="DR2" s="25"/>
      <c r="DS2" s="25"/>
      <c r="DT2" s="25"/>
      <c r="DU2" s="25"/>
      <c r="DV2" s="25"/>
    </row>
    <row r="3" spans="1:126" x14ac:dyDescent="0.25">
      <c r="A3" s="252">
        <v>42036</v>
      </c>
      <c r="B3" s="253">
        <f t="shared" si="0"/>
        <v>2015</v>
      </c>
      <c r="C3" s="253">
        <f t="shared" si="1"/>
        <v>2</v>
      </c>
      <c r="D3" s="254">
        <v>50207789.74081552</v>
      </c>
      <c r="E3" s="254">
        <f>IFERROR(VLOOKUP($B3-1,CDM!$L$7:$T$18,2,FALSE)/12,0)+IFERROR(VLOOKUP($B3,CDM!$L$36:$T$46,2,FALSE)/24,0)+IFERROR(VLOOKUP($B3,CDM!$L$36:$T$46,2,FALSE)/2*$C3/78,0)</f>
        <v>95126.932692307688</v>
      </c>
      <c r="F3" s="254">
        <f t="shared" si="2"/>
        <v>50302916.673507825</v>
      </c>
      <c r="G3" s="255">
        <v>46291</v>
      </c>
      <c r="H3" s="254">
        <v>12740841.794725608</v>
      </c>
      <c r="I3" s="254">
        <f>IFERROR(VLOOKUP($B3-1,CDM!$L$7:$T$18,3,FALSE)/12,0)+IFERROR(VLOOKUP($B3,CDM!$L$36:$T$46,3,FALSE)/24,0)+IFERROR(VLOOKUP($B3,CDM!$L$36:$T$46,3,FALSE)/2*$C3/78,0)</f>
        <v>28067.851089743592</v>
      </c>
      <c r="J3" s="254">
        <f t="shared" ref="J3:J53" si="6">H3+I3</f>
        <v>12768909.645815352</v>
      </c>
      <c r="K3" s="256">
        <v>3993</v>
      </c>
      <c r="L3" s="4">
        <v>34066716.224822745</v>
      </c>
      <c r="M3" s="257">
        <f>IFERROR(VLOOKUP($B3-1,CDM!$L$7:$T$18,4,FALSE)/12,0)+IFERROR(VLOOKUP($B3,CDM!$L$36:$T$46,4,FALSE)/24,0)+IFERROR(VLOOKUP($B3,CDM!$L$36:$T$46,4,FALSE)/2*$C3/78,0)</f>
        <v>39147.265993589754</v>
      </c>
      <c r="N3" s="254">
        <f t="shared" si="3"/>
        <v>34105863.490816332</v>
      </c>
      <c r="O3" s="4">
        <v>82526</v>
      </c>
      <c r="P3" s="256">
        <v>505</v>
      </c>
      <c r="Q3" s="256">
        <v>6029332.5775803057</v>
      </c>
      <c r="R3" s="256">
        <f>IFERROR(VLOOKUP($B3-1,CDM!$L$7:$T$18,5,FALSE)/12,0)+IFERROR(VLOOKUP($B3,CDM!$L$36:$T$46,5,FALSE)/24,0)+IFERROR(VLOOKUP($B3,CDM!$L$36:$T$46,5,FALSE)/2*$C3/78,0)</f>
        <v>262923.43900641031</v>
      </c>
      <c r="S3" s="256">
        <f t="shared" ref="S3:S66" si="7">Q3+R3</f>
        <v>6292256.0165867163</v>
      </c>
      <c r="T3" s="256">
        <v>14632</v>
      </c>
      <c r="U3" s="256">
        <v>12</v>
      </c>
      <c r="V3" s="256">
        <v>3180175.3551415652</v>
      </c>
      <c r="W3" s="256">
        <f>IFERROR(VLOOKUP($B3-1,CDM!$L$7:$T$18,6,FALSE)/12,0)+IFERROR(VLOOKUP($B3,CDM!$L$36:$T$46,6,FALSE)/24,0)+IFERROR(VLOOKUP($B3,CDM!$L$36:$T$46,6,FALSE)/2*$C3/78,0)</f>
        <v>0</v>
      </c>
      <c r="X3" s="256">
        <f t="shared" ref="X3:X66" si="8">V3+W3</f>
        <v>3180175.3551415652</v>
      </c>
      <c r="Y3" s="256">
        <v>7067</v>
      </c>
      <c r="Z3" s="256">
        <v>1</v>
      </c>
      <c r="AA3" s="4">
        <v>810286.24593737395</v>
      </c>
      <c r="AB3" s="4">
        <v>2153</v>
      </c>
      <c r="AC3" s="256">
        <v>12547</v>
      </c>
      <c r="AD3" s="256">
        <v>2242.6473393095557</v>
      </c>
      <c r="AE3" s="256">
        <v>0</v>
      </c>
      <c r="AF3" s="256">
        <v>25</v>
      </c>
      <c r="AG3" s="4">
        <v>207365</v>
      </c>
      <c r="AH3" s="4">
        <v>268</v>
      </c>
      <c r="AI3" s="28">
        <f>Economic!H5</f>
        <v>727609.6</v>
      </c>
      <c r="AJ3" s="28">
        <f>Economic!I5</f>
        <v>557474</v>
      </c>
      <c r="AK3" s="28">
        <f>Economic!J5</f>
        <v>49299.3</v>
      </c>
      <c r="AL3" s="28">
        <f>Economic!K5</f>
        <v>718587</v>
      </c>
      <c r="AM3" s="28">
        <f>Economic!L5</f>
        <v>551679</v>
      </c>
      <c r="AN3" s="28">
        <f>Economic!M5</f>
        <v>28860</v>
      </c>
      <c r="AO3" s="28">
        <f>Economic!D5</f>
        <v>6859.2</v>
      </c>
      <c r="AP3" s="28">
        <f>Economic!E5</f>
        <v>6782.7</v>
      </c>
      <c r="AQ3" s="28">
        <f>Economic!F5</f>
        <v>200.2</v>
      </c>
      <c r="AR3" s="28">
        <f>Economic!G5</f>
        <v>198.8</v>
      </c>
      <c r="AS3" s="28">
        <f>Economic!N5</f>
        <v>0</v>
      </c>
      <c r="AT3" s="28">
        <f>Economic!O5</f>
        <v>0</v>
      </c>
      <c r="AU3" s="28">
        <f>Economic!P5</f>
        <v>0</v>
      </c>
      <c r="AV3" s="28">
        <f>Economic!Q5</f>
        <v>0</v>
      </c>
      <c r="AW3" s="28">
        <f>Economic!R5</f>
        <v>0</v>
      </c>
      <c r="AX3" s="28">
        <f>Economic!S5</f>
        <v>0</v>
      </c>
      <c r="AY3" s="7">
        <f>Weather!D3</f>
        <v>-12.92336956521739</v>
      </c>
      <c r="AZ3" s="7">
        <f>Weather!E3</f>
        <v>921.85434782608706</v>
      </c>
      <c r="BA3" s="7">
        <f>Weather!F3</f>
        <v>0</v>
      </c>
      <c r="BB3" s="7">
        <f>Weather!G3</f>
        <v>865.85434782608706</v>
      </c>
      <c r="BC3" s="7">
        <f>Weather!H3</f>
        <v>0</v>
      </c>
      <c r="BD3" s="7">
        <f>Weather!I3</f>
        <v>809.85434782608706</v>
      </c>
      <c r="BE3" s="7">
        <f>Weather!J3</f>
        <v>0</v>
      </c>
      <c r="BF3" s="7">
        <f>Weather!K3</f>
        <v>753.85434782608695</v>
      </c>
      <c r="BG3" s="7">
        <f>Weather!L3</f>
        <v>0</v>
      </c>
      <c r="BH3" s="7">
        <f>Weather!M3</f>
        <v>697.85434782608695</v>
      </c>
      <c r="BI3" s="7">
        <f>Weather!N3</f>
        <v>0</v>
      </c>
      <c r="BJ3" s="7">
        <f>Weather!O3</f>
        <v>641.85434782608695</v>
      </c>
      <c r="BK3" s="7">
        <f>Weather!P3</f>
        <v>0</v>
      </c>
      <c r="BL3" s="7">
        <f>Weather!Q3</f>
        <v>585.85434782608695</v>
      </c>
      <c r="BM3" s="7">
        <f>Weather!R3</f>
        <v>0</v>
      </c>
      <c r="BN3" s="1">
        <v>0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f t="shared" ref="CC3:CC53" si="9">1+CC2</f>
        <v>2</v>
      </c>
      <c r="CD3" s="1">
        <v>28</v>
      </c>
      <c r="CE3" s="1">
        <v>19</v>
      </c>
      <c r="CF3" s="1">
        <v>0</v>
      </c>
      <c r="CG3" s="1">
        <v>0</v>
      </c>
      <c r="CH3" s="1">
        <v>0</v>
      </c>
      <c r="CI3" s="1">
        <v>0</v>
      </c>
      <c r="CJ3" s="1">
        <f t="shared" si="4"/>
        <v>0</v>
      </c>
      <c r="CK3" s="1">
        <f t="shared" si="4"/>
        <v>0</v>
      </c>
      <c r="CL3" s="1">
        <f t="shared" si="4"/>
        <v>0</v>
      </c>
      <c r="CM3" s="1">
        <f t="shared" si="4"/>
        <v>0</v>
      </c>
      <c r="CN3" s="1">
        <f t="shared" si="4"/>
        <v>0</v>
      </c>
      <c r="CO3" s="1">
        <f t="shared" si="4"/>
        <v>0</v>
      </c>
      <c r="CP3" s="1">
        <f t="shared" si="4"/>
        <v>0</v>
      </c>
      <c r="CQ3" s="1">
        <f t="shared" si="4"/>
        <v>0</v>
      </c>
      <c r="CR3" s="1">
        <f t="shared" si="4"/>
        <v>0</v>
      </c>
      <c r="CS3" s="1">
        <f t="shared" si="4"/>
        <v>0</v>
      </c>
      <c r="CT3" s="1">
        <f t="shared" si="4"/>
        <v>0</v>
      </c>
      <c r="CU3" s="1">
        <f t="shared" si="4"/>
        <v>0</v>
      </c>
      <c r="CV3" s="1">
        <f t="shared" si="4"/>
        <v>0</v>
      </c>
      <c r="CW3" s="1">
        <f t="shared" si="4"/>
        <v>0</v>
      </c>
      <c r="CX3" s="1">
        <f t="shared" si="5"/>
        <v>0</v>
      </c>
      <c r="CY3" s="1">
        <f t="shared" si="5"/>
        <v>0</v>
      </c>
      <c r="CZ3" s="1">
        <f t="shared" si="5"/>
        <v>0</v>
      </c>
      <c r="DA3" s="1">
        <f t="shared" si="5"/>
        <v>0</v>
      </c>
      <c r="DB3" s="1">
        <f t="shared" si="5"/>
        <v>0</v>
      </c>
      <c r="DC3" s="1">
        <f t="shared" si="5"/>
        <v>0</v>
      </c>
      <c r="DD3" s="1">
        <f t="shared" si="5"/>
        <v>0</v>
      </c>
      <c r="DE3" s="1">
        <f t="shared" si="5"/>
        <v>0</v>
      </c>
      <c r="DF3" s="1">
        <f t="shared" si="5"/>
        <v>0</v>
      </c>
      <c r="DG3" s="1">
        <f t="shared" si="5"/>
        <v>0</v>
      </c>
      <c r="DH3" s="1">
        <f t="shared" si="5"/>
        <v>0</v>
      </c>
      <c r="DI3" s="1">
        <f t="shared" si="5"/>
        <v>0</v>
      </c>
      <c r="DJ3" s="1">
        <f t="shared" si="5"/>
        <v>0</v>
      </c>
      <c r="DK3" s="1">
        <f t="shared" si="5"/>
        <v>0</v>
      </c>
      <c r="DL3" s="25">
        <v>0</v>
      </c>
      <c r="DM3" s="25">
        <v>0</v>
      </c>
      <c r="DN3" s="24"/>
      <c r="DO3" s="25"/>
      <c r="DP3" s="25"/>
      <c r="DQ3" s="25"/>
      <c r="DR3" s="25"/>
      <c r="DS3" s="25"/>
      <c r="DT3" s="25"/>
      <c r="DU3" s="25"/>
      <c r="DV3" s="25"/>
    </row>
    <row r="4" spans="1:126" x14ac:dyDescent="0.25">
      <c r="A4" s="252">
        <v>42064</v>
      </c>
      <c r="B4" s="253">
        <f t="shared" si="0"/>
        <v>2015</v>
      </c>
      <c r="C4" s="253">
        <f t="shared" si="1"/>
        <v>3</v>
      </c>
      <c r="D4" s="254">
        <v>41764611.526714548</v>
      </c>
      <c r="E4" s="254">
        <f>IFERROR(VLOOKUP($B4-1,CDM!$L$7:$T$18,2,FALSE)/12,0)+IFERROR(VLOOKUP($B4,CDM!$L$36:$T$46,2,FALSE)/24,0)+IFERROR(VLOOKUP($B4,CDM!$L$36:$T$46,2,FALSE)/2*$C4/78,0)</f>
        <v>106318.33653846153</v>
      </c>
      <c r="F4" s="254">
        <f t="shared" si="2"/>
        <v>41870929.863253012</v>
      </c>
      <c r="G4" s="255">
        <v>46722</v>
      </c>
      <c r="H4" s="254">
        <v>12297756.173001509</v>
      </c>
      <c r="I4" s="254">
        <f>IFERROR(VLOOKUP($B4-1,CDM!$L$7:$T$18,3,FALSE)/12,0)+IFERROR(VLOOKUP($B4,CDM!$L$36:$T$46,3,FALSE)/24,0)+IFERROR(VLOOKUP($B4,CDM!$L$36:$T$46,3,FALSE)/2*$C4/78,0)</f>
        <v>31369.951217948717</v>
      </c>
      <c r="J4" s="254">
        <f t="shared" si="6"/>
        <v>12329126.124219459</v>
      </c>
      <c r="K4" s="256">
        <v>3986</v>
      </c>
      <c r="L4" s="4">
        <v>29439289.530604061</v>
      </c>
      <c r="M4" s="257">
        <f>IFERROR(VLOOKUP($B4-1,CDM!$L$7:$T$18,4,FALSE)/12,0)+IFERROR(VLOOKUP($B4,CDM!$L$36:$T$46,4,FALSE)/24,0)+IFERROR(VLOOKUP($B4,CDM!$L$36:$T$46,4,FALSE)/2*$C4/78,0)</f>
        <v>43752.826698717952</v>
      </c>
      <c r="N4" s="254">
        <f t="shared" si="3"/>
        <v>29483042.357302777</v>
      </c>
      <c r="O4" s="4">
        <v>70720</v>
      </c>
      <c r="P4" s="256">
        <v>506</v>
      </c>
      <c r="Q4" s="256">
        <v>6585251.8047750825</v>
      </c>
      <c r="R4" s="256">
        <f>IFERROR(VLOOKUP($B4-1,CDM!$L$7:$T$18,5,FALSE)/12,0)+IFERROR(VLOOKUP($B4,CDM!$L$36:$T$46,5,FALSE)/24,0)+IFERROR(VLOOKUP($B4,CDM!$L$36:$T$46,5,FALSE)/2*$C4/78,0)</f>
        <v>293855.60830128205</v>
      </c>
      <c r="S4" s="256">
        <f t="shared" si="7"/>
        <v>6879107.4130763644</v>
      </c>
      <c r="T4" s="256">
        <v>14419</v>
      </c>
      <c r="U4" s="256">
        <v>12</v>
      </c>
      <c r="V4" s="256">
        <v>3522503.9865684011</v>
      </c>
      <c r="W4" s="256">
        <f>IFERROR(VLOOKUP($B4-1,CDM!$L$7:$T$18,6,FALSE)/12,0)+IFERROR(VLOOKUP($B4,CDM!$L$36:$T$46,6,FALSE)/24,0)+IFERROR(VLOOKUP($B4,CDM!$L$36:$T$46,6,FALSE)/2*$C4/78,0)</f>
        <v>0</v>
      </c>
      <c r="X4" s="256">
        <f t="shared" si="8"/>
        <v>3522503.9865684011</v>
      </c>
      <c r="Y4" s="256">
        <v>7914</v>
      </c>
      <c r="Z4" s="256">
        <v>1</v>
      </c>
      <c r="AA4" s="4">
        <v>814076.77874504891</v>
      </c>
      <c r="AB4" s="4">
        <v>2153</v>
      </c>
      <c r="AC4" s="256">
        <v>12547</v>
      </c>
      <c r="AD4" s="256">
        <v>2322.1247377455657</v>
      </c>
      <c r="AE4" s="256">
        <v>0</v>
      </c>
      <c r="AF4" s="256">
        <v>25</v>
      </c>
      <c r="AG4" s="4">
        <v>207328</v>
      </c>
      <c r="AH4" s="4">
        <v>263</v>
      </c>
      <c r="AI4" s="28">
        <f>Economic!H6</f>
        <v>727609.6</v>
      </c>
      <c r="AJ4" s="28">
        <f>Economic!I6</f>
        <v>557474</v>
      </c>
      <c r="AK4" s="28">
        <f>Economic!J6</f>
        <v>49299.3</v>
      </c>
      <c r="AL4" s="28">
        <f>Economic!K6</f>
        <v>718587</v>
      </c>
      <c r="AM4" s="28">
        <f>Economic!L6</f>
        <v>551679</v>
      </c>
      <c r="AN4" s="28">
        <f>Economic!M6</f>
        <v>28860</v>
      </c>
      <c r="AO4" s="28">
        <f>Economic!D6</f>
        <v>6870</v>
      </c>
      <c r="AP4" s="28">
        <f>Economic!E6</f>
        <v>6761.8</v>
      </c>
      <c r="AQ4" s="28">
        <f>Economic!F6</f>
        <v>198.4</v>
      </c>
      <c r="AR4" s="28">
        <f>Economic!G6</f>
        <v>196</v>
      </c>
      <c r="AS4" s="28">
        <f>Economic!N6</f>
        <v>0</v>
      </c>
      <c r="AT4" s="28">
        <f>Economic!O6</f>
        <v>0</v>
      </c>
      <c r="AU4" s="28">
        <f>Economic!P6</f>
        <v>0</v>
      </c>
      <c r="AV4" s="28">
        <f>Economic!Q6</f>
        <v>0</v>
      </c>
      <c r="AW4" s="28">
        <f>Economic!R6</f>
        <v>0</v>
      </c>
      <c r="AX4" s="28">
        <f>Economic!S6</f>
        <v>0</v>
      </c>
      <c r="AY4" s="7">
        <f>Weather!D4</f>
        <v>-2.5741935483870972</v>
      </c>
      <c r="AZ4" s="7">
        <f>Weather!E4</f>
        <v>699.80000000000007</v>
      </c>
      <c r="BA4" s="7">
        <f>Weather!F4</f>
        <v>0</v>
      </c>
      <c r="BB4" s="7">
        <f>Weather!G4</f>
        <v>637.79999999999995</v>
      </c>
      <c r="BC4" s="7">
        <f>Weather!H4</f>
        <v>0</v>
      </c>
      <c r="BD4" s="7">
        <f>Weather!I4</f>
        <v>575.79999999999995</v>
      </c>
      <c r="BE4" s="7">
        <f>Weather!J4</f>
        <v>0</v>
      </c>
      <c r="BF4" s="7">
        <f>Weather!K4</f>
        <v>513.79999999999995</v>
      </c>
      <c r="BG4" s="7">
        <f>Weather!L4</f>
        <v>0</v>
      </c>
      <c r="BH4" s="7">
        <f>Weather!M4</f>
        <v>451.8</v>
      </c>
      <c r="BI4" s="7">
        <f>Weather!N4</f>
        <v>0</v>
      </c>
      <c r="BJ4" s="7">
        <f>Weather!O4</f>
        <v>389.8</v>
      </c>
      <c r="BK4" s="7">
        <f>Weather!P4</f>
        <v>0</v>
      </c>
      <c r="BL4" s="7">
        <f>Weather!Q4</f>
        <v>327.79999999999995</v>
      </c>
      <c r="BM4" s="7">
        <f>Weather!R4</f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</v>
      </c>
      <c r="CA4" s="1">
        <v>0</v>
      </c>
      <c r="CB4" s="1">
        <v>1</v>
      </c>
      <c r="CC4" s="1">
        <f t="shared" si="9"/>
        <v>3</v>
      </c>
      <c r="CD4" s="1">
        <v>31</v>
      </c>
      <c r="CE4" s="1">
        <v>22</v>
      </c>
      <c r="CF4" s="1">
        <v>0</v>
      </c>
      <c r="CG4" s="1">
        <v>0</v>
      </c>
      <c r="CH4" s="1">
        <v>0</v>
      </c>
      <c r="CI4" s="1">
        <v>0</v>
      </c>
      <c r="CJ4" s="1">
        <f t="shared" si="4"/>
        <v>0</v>
      </c>
      <c r="CK4" s="1">
        <f t="shared" si="4"/>
        <v>0</v>
      </c>
      <c r="CL4" s="1">
        <f t="shared" si="4"/>
        <v>0</v>
      </c>
      <c r="CM4" s="1">
        <f t="shared" si="4"/>
        <v>0</v>
      </c>
      <c r="CN4" s="1">
        <f t="shared" si="4"/>
        <v>0</v>
      </c>
      <c r="CO4" s="1">
        <f t="shared" si="4"/>
        <v>0</v>
      </c>
      <c r="CP4" s="1">
        <f t="shared" si="4"/>
        <v>0</v>
      </c>
      <c r="CQ4" s="1">
        <f t="shared" si="4"/>
        <v>0</v>
      </c>
      <c r="CR4" s="1">
        <f t="shared" si="4"/>
        <v>0</v>
      </c>
      <c r="CS4" s="1">
        <f t="shared" si="4"/>
        <v>0</v>
      </c>
      <c r="CT4" s="1">
        <f t="shared" si="4"/>
        <v>0</v>
      </c>
      <c r="CU4" s="1">
        <f t="shared" si="4"/>
        <v>0</v>
      </c>
      <c r="CV4" s="1">
        <f t="shared" si="4"/>
        <v>0</v>
      </c>
      <c r="CW4" s="1">
        <f t="shared" si="4"/>
        <v>0</v>
      </c>
      <c r="CX4" s="1">
        <f t="shared" si="5"/>
        <v>0</v>
      </c>
      <c r="CY4" s="1">
        <f t="shared" si="5"/>
        <v>0</v>
      </c>
      <c r="CZ4" s="1">
        <f t="shared" si="5"/>
        <v>0</v>
      </c>
      <c r="DA4" s="1">
        <f t="shared" si="5"/>
        <v>0</v>
      </c>
      <c r="DB4" s="1">
        <f t="shared" si="5"/>
        <v>0</v>
      </c>
      <c r="DC4" s="1">
        <f t="shared" si="5"/>
        <v>0</v>
      </c>
      <c r="DD4" s="1">
        <f t="shared" si="5"/>
        <v>0</v>
      </c>
      <c r="DE4" s="1">
        <f t="shared" si="5"/>
        <v>0</v>
      </c>
      <c r="DF4" s="1">
        <f t="shared" si="5"/>
        <v>0</v>
      </c>
      <c r="DG4" s="1">
        <f t="shared" si="5"/>
        <v>0</v>
      </c>
      <c r="DH4" s="1">
        <f t="shared" si="5"/>
        <v>0</v>
      </c>
      <c r="DI4" s="1">
        <f t="shared" si="5"/>
        <v>0</v>
      </c>
      <c r="DJ4" s="1">
        <f t="shared" si="5"/>
        <v>0</v>
      </c>
      <c r="DK4" s="1">
        <f t="shared" si="5"/>
        <v>0</v>
      </c>
      <c r="DL4" s="25">
        <v>0</v>
      </c>
      <c r="DM4" s="25">
        <v>0</v>
      </c>
      <c r="DN4" s="24"/>
      <c r="DO4" s="25"/>
      <c r="DP4" s="25"/>
      <c r="DQ4" s="25"/>
      <c r="DR4" s="25"/>
      <c r="DS4" s="25"/>
      <c r="DT4" s="25"/>
      <c r="DU4" s="25"/>
      <c r="DV4" s="25"/>
    </row>
    <row r="5" spans="1:126" x14ac:dyDescent="0.25">
      <c r="A5" s="252">
        <v>42095</v>
      </c>
      <c r="B5" s="253">
        <f t="shared" si="0"/>
        <v>2015</v>
      </c>
      <c r="C5" s="253">
        <f t="shared" si="1"/>
        <v>4</v>
      </c>
      <c r="D5" s="254">
        <v>36980695.059087172</v>
      </c>
      <c r="E5" s="254">
        <f>IFERROR(VLOOKUP($B5-1,CDM!$L$7:$T$18,2,FALSE)/12,0)+IFERROR(VLOOKUP($B5,CDM!$L$36:$T$46,2,FALSE)/24,0)+IFERROR(VLOOKUP($B5,CDM!$L$36:$T$46,2,FALSE)/2*$C5/78,0)</f>
        <v>117509.74038461538</v>
      </c>
      <c r="F5" s="254">
        <f t="shared" si="2"/>
        <v>37098204.799471788</v>
      </c>
      <c r="G5" s="255">
        <v>46995</v>
      </c>
      <c r="H5" s="254">
        <v>10589244.119807418</v>
      </c>
      <c r="I5" s="254">
        <f>IFERROR(VLOOKUP($B5-1,CDM!$L$7:$T$18,3,FALSE)/12,0)+IFERROR(VLOOKUP($B5,CDM!$L$36:$T$46,3,FALSE)/24,0)+IFERROR(VLOOKUP($B5,CDM!$L$36:$T$46,3,FALSE)/2*$C5/78,0)</f>
        <v>34672.05134615385</v>
      </c>
      <c r="J5" s="254">
        <f t="shared" si="6"/>
        <v>10623916.171153571</v>
      </c>
      <c r="K5" s="256">
        <v>3993</v>
      </c>
      <c r="L5" s="4">
        <v>24935775.65282936</v>
      </c>
      <c r="M5" s="257">
        <f>IFERROR(VLOOKUP($B5-1,CDM!$L$7:$T$18,4,FALSE)/12,0)+IFERROR(VLOOKUP($B5,CDM!$L$36:$T$46,4,FALSE)/24,0)+IFERROR(VLOOKUP($B5,CDM!$L$36:$T$46,4,FALSE)/2*$C5/78,0)</f>
        <v>48358.387403846165</v>
      </c>
      <c r="N5" s="254">
        <f t="shared" si="3"/>
        <v>24984134.040233206</v>
      </c>
      <c r="O5" s="4">
        <v>67704</v>
      </c>
      <c r="P5" s="256">
        <v>507</v>
      </c>
      <c r="Q5" s="256">
        <v>6232028.5327273933</v>
      </c>
      <c r="R5" s="256">
        <f>IFERROR(VLOOKUP($B5-1,CDM!$L$7:$T$18,5,FALSE)/12,0)+IFERROR(VLOOKUP($B5,CDM!$L$36:$T$46,5,FALSE)/24,0)+IFERROR(VLOOKUP($B5,CDM!$L$36:$T$46,5,FALSE)/2*$C5/78,0)</f>
        <v>324787.7775961539</v>
      </c>
      <c r="S5" s="256">
        <f t="shared" si="7"/>
        <v>6556816.3103235476</v>
      </c>
      <c r="T5" s="256">
        <v>15103</v>
      </c>
      <c r="U5" s="256">
        <v>12</v>
      </c>
      <c r="V5" s="256">
        <v>3275756.0247792401</v>
      </c>
      <c r="W5" s="256">
        <f>IFERROR(VLOOKUP($B5-1,CDM!$L$7:$T$18,6,FALSE)/12,0)+IFERROR(VLOOKUP($B5,CDM!$L$36:$T$46,6,FALSE)/24,0)+IFERROR(VLOOKUP($B5,CDM!$L$36:$T$46,6,FALSE)/2*$C5/78,0)</f>
        <v>0</v>
      </c>
      <c r="X5" s="256">
        <f t="shared" si="8"/>
        <v>3275756.0247792401</v>
      </c>
      <c r="Y5" s="256">
        <v>7221</v>
      </c>
      <c r="Z5" s="256">
        <v>1</v>
      </c>
      <c r="AA5" s="4">
        <v>691418.0142282272</v>
      </c>
      <c r="AB5" s="4">
        <v>2149</v>
      </c>
      <c r="AC5" s="256">
        <v>12548</v>
      </c>
      <c r="AD5" s="256">
        <v>2324.2418462712194</v>
      </c>
      <c r="AE5" s="256">
        <v>0</v>
      </c>
      <c r="AF5" s="256">
        <v>25</v>
      </c>
      <c r="AG5" s="4">
        <v>206439</v>
      </c>
      <c r="AH5" s="4">
        <v>258</v>
      </c>
      <c r="AI5" s="28">
        <f>Economic!H7</f>
        <v>727609.6</v>
      </c>
      <c r="AJ5" s="28">
        <f>Economic!I7</f>
        <v>557474</v>
      </c>
      <c r="AK5" s="28">
        <f>Economic!J7</f>
        <v>49299.3</v>
      </c>
      <c r="AL5" s="28">
        <f>Economic!K7</f>
        <v>723726</v>
      </c>
      <c r="AM5" s="28">
        <f>Economic!L7</f>
        <v>555651</v>
      </c>
      <c r="AN5" s="28">
        <f>Economic!M7</f>
        <v>28915</v>
      </c>
      <c r="AO5" s="28">
        <f>Economic!D7</f>
        <v>6876.8</v>
      </c>
      <c r="AP5" s="28">
        <f>Economic!E7</f>
        <v>6786.4</v>
      </c>
      <c r="AQ5" s="28">
        <f>Economic!F7</f>
        <v>195.5</v>
      </c>
      <c r="AR5" s="28">
        <f>Economic!G7</f>
        <v>193.2</v>
      </c>
      <c r="AS5" s="28">
        <f>Economic!N7</f>
        <v>0</v>
      </c>
      <c r="AT5" s="28">
        <f>Economic!O7</f>
        <v>0</v>
      </c>
      <c r="AU5" s="28">
        <f>Economic!P7</f>
        <v>0</v>
      </c>
      <c r="AV5" s="28">
        <f>Economic!Q7</f>
        <v>0</v>
      </c>
      <c r="AW5" s="28">
        <f>Economic!R7</f>
        <v>0</v>
      </c>
      <c r="AX5" s="28">
        <f>Economic!S7</f>
        <v>5139</v>
      </c>
      <c r="AY5" s="7">
        <f>Weather!D5</f>
        <v>6.4416540404040381</v>
      </c>
      <c r="AZ5" s="7">
        <f>Weather!E5</f>
        <v>406.75037878787873</v>
      </c>
      <c r="BA5" s="7">
        <f>Weather!F5</f>
        <v>0</v>
      </c>
      <c r="BB5" s="7">
        <f>Weather!G5</f>
        <v>346.75037878787867</v>
      </c>
      <c r="BC5" s="7">
        <f>Weather!H5</f>
        <v>0</v>
      </c>
      <c r="BD5" s="7">
        <f>Weather!I5</f>
        <v>286.75037878787873</v>
      </c>
      <c r="BE5" s="7">
        <f>Weather!J5</f>
        <v>0</v>
      </c>
      <c r="BF5" s="7">
        <f>Weather!K5</f>
        <v>226.75037878787884</v>
      </c>
      <c r="BG5" s="7">
        <f>Weather!L5</f>
        <v>0</v>
      </c>
      <c r="BH5" s="7">
        <f>Weather!M5</f>
        <v>168.28371212121215</v>
      </c>
      <c r="BI5" s="7">
        <f>Weather!N5</f>
        <v>1.5333333333333332</v>
      </c>
      <c r="BJ5" s="7">
        <f>Weather!O5</f>
        <v>116.58371212121212</v>
      </c>
      <c r="BK5" s="7">
        <f>Weather!P5</f>
        <v>9.8333333333333321</v>
      </c>
      <c r="BL5" s="7">
        <f>Weather!Q5</f>
        <v>72.862878787878799</v>
      </c>
      <c r="BM5" s="7">
        <f>Weather!R5</f>
        <v>26.112499999999997</v>
      </c>
      <c r="BN5" s="1">
        <v>0</v>
      </c>
      <c r="BO5" s="1">
        <v>0</v>
      </c>
      <c r="BP5" s="1">
        <v>0</v>
      </c>
      <c r="BQ5" s="1">
        <v>1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0</v>
      </c>
      <c r="CB5" s="1">
        <v>1</v>
      </c>
      <c r="CC5" s="1">
        <f t="shared" si="9"/>
        <v>4</v>
      </c>
      <c r="CD5" s="1">
        <v>30</v>
      </c>
      <c r="CE5" s="1">
        <v>20</v>
      </c>
      <c r="CF5" s="1">
        <v>0</v>
      </c>
      <c r="CG5" s="1">
        <v>0</v>
      </c>
      <c r="CH5" s="1">
        <v>0</v>
      </c>
      <c r="CI5" s="1">
        <v>0</v>
      </c>
      <c r="CJ5" s="1">
        <f t="shared" si="4"/>
        <v>0</v>
      </c>
      <c r="CK5" s="1">
        <f t="shared" si="4"/>
        <v>0</v>
      </c>
      <c r="CL5" s="1">
        <f t="shared" si="4"/>
        <v>0</v>
      </c>
      <c r="CM5" s="1">
        <f t="shared" si="4"/>
        <v>0</v>
      </c>
      <c r="CN5" s="1">
        <f t="shared" si="4"/>
        <v>0</v>
      </c>
      <c r="CO5" s="1">
        <f t="shared" si="4"/>
        <v>0</v>
      </c>
      <c r="CP5" s="1">
        <f t="shared" si="4"/>
        <v>0</v>
      </c>
      <c r="CQ5" s="1">
        <f t="shared" si="4"/>
        <v>0</v>
      </c>
      <c r="CR5" s="1">
        <f t="shared" si="4"/>
        <v>0</v>
      </c>
      <c r="CS5" s="1">
        <f t="shared" si="4"/>
        <v>0</v>
      </c>
      <c r="CT5" s="1">
        <f t="shared" si="4"/>
        <v>0</v>
      </c>
      <c r="CU5" s="1">
        <f t="shared" si="4"/>
        <v>0</v>
      </c>
      <c r="CV5" s="1">
        <f t="shared" si="4"/>
        <v>0</v>
      </c>
      <c r="CW5" s="1">
        <f t="shared" si="4"/>
        <v>0</v>
      </c>
      <c r="CX5" s="1">
        <f t="shared" si="5"/>
        <v>0</v>
      </c>
      <c r="CY5" s="1">
        <f t="shared" si="5"/>
        <v>0</v>
      </c>
      <c r="CZ5" s="1">
        <f t="shared" si="5"/>
        <v>0</v>
      </c>
      <c r="DA5" s="1">
        <f t="shared" si="5"/>
        <v>0</v>
      </c>
      <c r="DB5" s="1">
        <f t="shared" si="5"/>
        <v>0</v>
      </c>
      <c r="DC5" s="1">
        <f t="shared" si="5"/>
        <v>0</v>
      </c>
      <c r="DD5" s="1">
        <f t="shared" si="5"/>
        <v>0</v>
      </c>
      <c r="DE5" s="1">
        <f t="shared" si="5"/>
        <v>0</v>
      </c>
      <c r="DF5" s="1">
        <f t="shared" si="5"/>
        <v>0</v>
      </c>
      <c r="DG5" s="1">
        <f t="shared" si="5"/>
        <v>0</v>
      </c>
      <c r="DH5" s="1">
        <f t="shared" si="5"/>
        <v>0</v>
      </c>
      <c r="DI5" s="1">
        <f t="shared" si="5"/>
        <v>0</v>
      </c>
      <c r="DJ5" s="1">
        <f t="shared" si="5"/>
        <v>0</v>
      </c>
      <c r="DK5" s="1">
        <f t="shared" si="5"/>
        <v>0</v>
      </c>
      <c r="DL5" s="25">
        <v>0</v>
      </c>
      <c r="DM5" s="25">
        <v>0</v>
      </c>
      <c r="DN5" s="24"/>
      <c r="DO5" s="25"/>
      <c r="DP5" s="25"/>
      <c r="DQ5" s="25"/>
      <c r="DR5" s="25"/>
      <c r="DS5" s="25"/>
      <c r="DT5" s="25"/>
      <c r="DU5" s="25"/>
      <c r="DV5" s="25"/>
    </row>
    <row r="6" spans="1:126" x14ac:dyDescent="0.25">
      <c r="A6" s="252">
        <v>42125</v>
      </c>
      <c r="B6" s="253">
        <f t="shared" si="0"/>
        <v>2015</v>
      </c>
      <c r="C6" s="253">
        <f t="shared" si="1"/>
        <v>5</v>
      </c>
      <c r="D6" s="254">
        <v>31641689.409133583</v>
      </c>
      <c r="E6" s="254">
        <f>IFERROR(VLOOKUP($B6-1,CDM!$L$7:$T$18,2,FALSE)/12,0)+IFERROR(VLOOKUP($B6,CDM!$L$36:$T$46,2,FALSE)/24,0)+IFERROR(VLOOKUP($B6,CDM!$L$36:$T$46,2,FALSE)/2*$C6/78,0)</f>
        <v>128701.14423076923</v>
      </c>
      <c r="F6" s="254">
        <f t="shared" si="2"/>
        <v>31770390.553364351</v>
      </c>
      <c r="G6" s="255">
        <v>47470</v>
      </c>
      <c r="H6" s="254">
        <v>10150858.681456644</v>
      </c>
      <c r="I6" s="254">
        <f>IFERROR(VLOOKUP($B6-1,CDM!$L$7:$T$18,3,FALSE)/12,0)+IFERROR(VLOOKUP($B6,CDM!$L$36:$T$46,3,FALSE)/24,0)+IFERROR(VLOOKUP($B6,CDM!$L$36:$T$46,3,FALSE)/2*$C6/78,0)</f>
        <v>37974.15147435898</v>
      </c>
      <c r="J6" s="254">
        <f t="shared" si="6"/>
        <v>10188832.832931003</v>
      </c>
      <c r="K6" s="256">
        <v>3998</v>
      </c>
      <c r="L6" s="4">
        <v>25114198.741742235</v>
      </c>
      <c r="M6" s="257">
        <f>IFERROR(VLOOKUP($B6-1,CDM!$L$7:$T$18,4,FALSE)/12,0)+IFERROR(VLOOKUP($B6,CDM!$L$36:$T$46,4,FALSE)/24,0)+IFERROR(VLOOKUP($B6,CDM!$L$36:$T$46,4,FALSE)/2*$C6/78,0)</f>
        <v>52963.948108974364</v>
      </c>
      <c r="N6" s="254">
        <f t="shared" si="3"/>
        <v>25167162.68985121</v>
      </c>
      <c r="O6" s="4">
        <v>66725</v>
      </c>
      <c r="P6" s="256">
        <v>506</v>
      </c>
      <c r="Q6" s="256">
        <v>6875031.0480602589</v>
      </c>
      <c r="R6" s="256">
        <f>IFERROR(VLOOKUP($B6-1,CDM!$L$7:$T$18,5,FALSE)/12,0)+IFERROR(VLOOKUP($B6,CDM!$L$36:$T$46,5,FALSE)/24,0)+IFERROR(VLOOKUP($B6,CDM!$L$36:$T$46,5,FALSE)/2*$C6/78,0)</f>
        <v>355719.94689102564</v>
      </c>
      <c r="S6" s="256">
        <f t="shared" si="7"/>
        <v>7230750.9949512845</v>
      </c>
      <c r="T6" s="256">
        <v>15730</v>
      </c>
      <c r="U6" s="256">
        <v>12</v>
      </c>
      <c r="V6" s="256">
        <v>3629287.263527994</v>
      </c>
      <c r="W6" s="256">
        <f>IFERROR(VLOOKUP($B6-1,CDM!$L$7:$T$18,6,FALSE)/12,0)+IFERROR(VLOOKUP($B6,CDM!$L$36:$T$46,6,FALSE)/24,0)+IFERROR(VLOOKUP($B6,CDM!$L$36:$T$46,6,FALSE)/2*$C6/78,0)</f>
        <v>0</v>
      </c>
      <c r="X6" s="256">
        <f t="shared" si="8"/>
        <v>3629287.263527994</v>
      </c>
      <c r="Y6" s="256">
        <v>7963</v>
      </c>
      <c r="Z6" s="256">
        <v>1</v>
      </c>
      <c r="AA6" s="4">
        <v>632402.16746043775</v>
      </c>
      <c r="AB6" s="4">
        <v>2155</v>
      </c>
      <c r="AC6" s="256">
        <v>12639</v>
      </c>
      <c r="AD6" s="256">
        <v>2304.2723631508679</v>
      </c>
      <c r="AE6" s="256">
        <v>0</v>
      </c>
      <c r="AF6" s="256">
        <v>25</v>
      </c>
      <c r="AG6" s="4">
        <v>209666.06557377049</v>
      </c>
      <c r="AH6" s="4">
        <v>258</v>
      </c>
      <c r="AI6" s="28">
        <f>Economic!H8</f>
        <v>727609.6</v>
      </c>
      <c r="AJ6" s="28">
        <f>Economic!I8</f>
        <v>557474</v>
      </c>
      <c r="AK6" s="28">
        <f>Economic!J8</f>
        <v>49299.3</v>
      </c>
      <c r="AL6" s="28">
        <f>Economic!K8</f>
        <v>723726</v>
      </c>
      <c r="AM6" s="28">
        <f>Economic!L8</f>
        <v>555651</v>
      </c>
      <c r="AN6" s="28">
        <f>Economic!M8</f>
        <v>28915</v>
      </c>
      <c r="AO6" s="28">
        <f>Economic!D8</f>
        <v>6883.3</v>
      </c>
      <c r="AP6" s="28">
        <f>Economic!E8</f>
        <v>6848.1</v>
      </c>
      <c r="AQ6" s="28">
        <f>Economic!F8</f>
        <v>193.3</v>
      </c>
      <c r="AR6" s="28">
        <f>Economic!G8</f>
        <v>192.6</v>
      </c>
      <c r="AS6" s="28">
        <f>Economic!N8</f>
        <v>0</v>
      </c>
      <c r="AT6" s="28">
        <f>Economic!O8</f>
        <v>0</v>
      </c>
      <c r="AU6" s="28">
        <f>Economic!P8</f>
        <v>0</v>
      </c>
      <c r="AV6" s="28">
        <f>Economic!Q8</f>
        <v>0</v>
      </c>
      <c r="AW6" s="28">
        <f>Economic!R8</f>
        <v>0</v>
      </c>
      <c r="AX6" s="28">
        <f>Economic!S8</f>
        <v>5139</v>
      </c>
      <c r="AY6" s="7">
        <f>Weather!D6</f>
        <v>14.880745341614906</v>
      </c>
      <c r="AZ6" s="7">
        <f>Weather!E6</f>
        <v>159.09689440993785</v>
      </c>
      <c r="BA6" s="7">
        <f>Weather!F6</f>
        <v>0.39999999999999503</v>
      </c>
      <c r="BB6" s="7">
        <f>Weather!G6</f>
        <v>108.22189440993786</v>
      </c>
      <c r="BC6" s="7">
        <f>Weather!H6</f>
        <v>11.524999999999999</v>
      </c>
      <c r="BD6" s="7">
        <f>Weather!I6</f>
        <v>67.211775362318832</v>
      </c>
      <c r="BE6" s="7">
        <f>Weather!J6</f>
        <v>32.514880952380949</v>
      </c>
      <c r="BF6" s="7">
        <f>Weather!K6</f>
        <v>35.578442028985506</v>
      </c>
      <c r="BG6" s="7">
        <f>Weather!L6</f>
        <v>62.881547619047637</v>
      </c>
      <c r="BH6" s="7">
        <f>Weather!M6</f>
        <v>16.190942028985511</v>
      </c>
      <c r="BI6" s="7">
        <f>Weather!N6</f>
        <v>105.49404761904762</v>
      </c>
      <c r="BJ6" s="7">
        <f>Weather!O6</f>
        <v>4.3916666666666675</v>
      </c>
      <c r="BK6" s="7">
        <f>Weather!P6</f>
        <v>155.69477225672881</v>
      </c>
      <c r="BL6" s="7">
        <f>Weather!Q6</f>
        <v>0</v>
      </c>
      <c r="BM6" s="7">
        <f>Weather!R6</f>
        <v>213.30310559006219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0</v>
      </c>
      <c r="CB6" s="1">
        <v>1</v>
      </c>
      <c r="CC6" s="1">
        <f t="shared" si="9"/>
        <v>5</v>
      </c>
      <c r="CD6" s="1">
        <v>31</v>
      </c>
      <c r="CE6" s="1">
        <v>20</v>
      </c>
      <c r="CF6" s="1">
        <v>0</v>
      </c>
      <c r="CG6" s="1">
        <v>0</v>
      </c>
      <c r="CH6" s="1">
        <v>0</v>
      </c>
      <c r="CI6" s="1">
        <v>0</v>
      </c>
      <c r="CJ6" s="1">
        <f t="shared" si="4"/>
        <v>0</v>
      </c>
      <c r="CK6" s="1">
        <f t="shared" si="4"/>
        <v>0</v>
      </c>
      <c r="CL6" s="1">
        <f t="shared" si="4"/>
        <v>0</v>
      </c>
      <c r="CM6" s="1">
        <f t="shared" si="4"/>
        <v>0</v>
      </c>
      <c r="CN6" s="1">
        <f t="shared" si="4"/>
        <v>0</v>
      </c>
      <c r="CO6" s="1">
        <f t="shared" si="4"/>
        <v>0</v>
      </c>
      <c r="CP6" s="1">
        <f t="shared" si="4"/>
        <v>0</v>
      </c>
      <c r="CQ6" s="1">
        <f t="shared" si="4"/>
        <v>0</v>
      </c>
      <c r="CR6" s="1">
        <f t="shared" si="4"/>
        <v>0</v>
      </c>
      <c r="CS6" s="1">
        <f t="shared" si="4"/>
        <v>0</v>
      </c>
      <c r="CT6" s="1">
        <f t="shared" si="4"/>
        <v>0</v>
      </c>
      <c r="CU6" s="1">
        <f t="shared" si="4"/>
        <v>0</v>
      </c>
      <c r="CV6" s="1">
        <f t="shared" si="4"/>
        <v>0</v>
      </c>
      <c r="CW6" s="1">
        <f t="shared" si="4"/>
        <v>0</v>
      </c>
      <c r="CX6" s="1">
        <f t="shared" si="5"/>
        <v>0</v>
      </c>
      <c r="CY6" s="1">
        <f t="shared" si="5"/>
        <v>0</v>
      </c>
      <c r="CZ6" s="1">
        <f t="shared" si="5"/>
        <v>0</v>
      </c>
      <c r="DA6" s="1">
        <f t="shared" si="5"/>
        <v>0</v>
      </c>
      <c r="DB6" s="1">
        <f t="shared" si="5"/>
        <v>0</v>
      </c>
      <c r="DC6" s="1">
        <f t="shared" si="5"/>
        <v>0</v>
      </c>
      <c r="DD6" s="1">
        <f t="shared" si="5"/>
        <v>0</v>
      </c>
      <c r="DE6" s="1">
        <f t="shared" si="5"/>
        <v>0</v>
      </c>
      <c r="DF6" s="1">
        <f t="shared" si="5"/>
        <v>0</v>
      </c>
      <c r="DG6" s="1">
        <f t="shared" si="5"/>
        <v>0</v>
      </c>
      <c r="DH6" s="1">
        <f t="shared" si="5"/>
        <v>0</v>
      </c>
      <c r="DI6" s="1">
        <f t="shared" si="5"/>
        <v>0</v>
      </c>
      <c r="DJ6" s="1">
        <f t="shared" si="5"/>
        <v>0</v>
      </c>
      <c r="DK6" s="1">
        <f t="shared" si="5"/>
        <v>0</v>
      </c>
      <c r="DL6" s="25">
        <v>0</v>
      </c>
      <c r="DM6" s="25">
        <v>0</v>
      </c>
      <c r="DN6" s="24"/>
      <c r="DO6" s="25"/>
      <c r="DP6" s="25"/>
      <c r="DQ6" s="25"/>
      <c r="DR6" s="25"/>
      <c r="DS6" s="25"/>
      <c r="DT6" s="25"/>
      <c r="DU6" s="25"/>
      <c r="DV6" s="25"/>
    </row>
    <row r="7" spans="1:126" x14ac:dyDescent="0.25">
      <c r="A7" s="252">
        <v>42156</v>
      </c>
      <c r="B7" s="253">
        <f t="shared" si="0"/>
        <v>2015</v>
      </c>
      <c r="C7" s="253">
        <f t="shared" si="1"/>
        <v>6</v>
      </c>
      <c r="D7" s="254">
        <v>34747933.340935998</v>
      </c>
      <c r="E7" s="254">
        <f>IFERROR(VLOOKUP($B7-1,CDM!$L$7:$T$18,2,FALSE)/12,0)+IFERROR(VLOOKUP($B7,CDM!$L$36:$T$46,2,FALSE)/24,0)+IFERROR(VLOOKUP($B7,CDM!$L$36:$T$46,2,FALSE)/2*$C7/78,0)</f>
        <v>139892.54807692306</v>
      </c>
      <c r="F7" s="254">
        <f t="shared" si="2"/>
        <v>34887825.889012918</v>
      </c>
      <c r="G7" s="255">
        <v>48149</v>
      </c>
      <c r="H7" s="254">
        <v>10143341.456731822</v>
      </c>
      <c r="I7" s="254">
        <f>IFERROR(VLOOKUP($B7-1,CDM!$L$7:$T$18,3,FALSE)/12,0)+IFERROR(VLOOKUP($B7,CDM!$L$36:$T$46,3,FALSE)/24,0)+IFERROR(VLOOKUP($B7,CDM!$L$36:$T$46,3,FALSE)/2*$C7/78,0)</f>
        <v>41276.251602564102</v>
      </c>
      <c r="J7" s="254">
        <f t="shared" si="6"/>
        <v>10184617.708334386</v>
      </c>
      <c r="K7" s="256">
        <v>4011</v>
      </c>
      <c r="L7" s="4">
        <v>24251564.592533693</v>
      </c>
      <c r="M7" s="257">
        <f>IFERROR(VLOOKUP($B7-1,CDM!$L$7:$T$18,4,FALSE)/12,0)+IFERROR(VLOOKUP($B7,CDM!$L$36:$T$46,4,FALSE)/24,0)+IFERROR(VLOOKUP($B7,CDM!$L$36:$T$46,4,FALSE)/2*$C7/78,0)</f>
        <v>57569.50881410257</v>
      </c>
      <c r="N7" s="254">
        <f t="shared" si="3"/>
        <v>24309134.101347797</v>
      </c>
      <c r="O7" s="4">
        <v>65801</v>
      </c>
      <c r="P7" s="256">
        <v>508</v>
      </c>
      <c r="Q7" s="256">
        <v>7222960.5398247084</v>
      </c>
      <c r="R7" s="256">
        <f>IFERROR(VLOOKUP($B7-1,CDM!$L$7:$T$18,5,FALSE)/12,0)+IFERROR(VLOOKUP($B7,CDM!$L$36:$T$46,5,FALSE)/24,0)+IFERROR(VLOOKUP($B7,CDM!$L$36:$T$46,5,FALSE)/2*$C7/78,0)</f>
        <v>386652.1161858975</v>
      </c>
      <c r="S7" s="256">
        <f t="shared" si="7"/>
        <v>7609612.6560106054</v>
      </c>
      <c r="T7" s="256">
        <v>18710</v>
      </c>
      <c r="U7" s="256">
        <v>12</v>
      </c>
      <c r="V7" s="256">
        <v>3515408.7356304238</v>
      </c>
      <c r="W7" s="256">
        <f>IFERROR(VLOOKUP($B7-1,CDM!$L$7:$T$18,6,FALSE)/12,0)+IFERROR(VLOOKUP($B7,CDM!$L$36:$T$46,6,FALSE)/24,0)+IFERROR(VLOOKUP($B7,CDM!$L$36:$T$46,6,FALSE)/2*$C7/78,0)</f>
        <v>0</v>
      </c>
      <c r="X7" s="256">
        <f t="shared" si="8"/>
        <v>3515408.7356304238</v>
      </c>
      <c r="Y7" s="256">
        <v>8632</v>
      </c>
      <c r="Z7" s="256">
        <v>1</v>
      </c>
      <c r="AA7" s="4">
        <v>568542.47892437957</v>
      </c>
      <c r="AB7" s="4">
        <v>2162</v>
      </c>
      <c r="AC7" s="256">
        <v>12647</v>
      </c>
      <c r="AD7" s="256">
        <v>2278.5809650963192</v>
      </c>
      <c r="AE7" s="256">
        <v>0</v>
      </c>
      <c r="AF7" s="256">
        <v>25</v>
      </c>
      <c r="AG7" s="4">
        <v>216654.93442622951</v>
      </c>
      <c r="AH7" s="4">
        <v>268</v>
      </c>
      <c r="AI7" s="28">
        <f>Economic!H9</f>
        <v>727609.6</v>
      </c>
      <c r="AJ7" s="28">
        <f>Economic!I9</f>
        <v>557474</v>
      </c>
      <c r="AK7" s="28">
        <f>Economic!J9</f>
        <v>49299.3</v>
      </c>
      <c r="AL7" s="28">
        <f>Economic!K9</f>
        <v>723726</v>
      </c>
      <c r="AM7" s="28">
        <f>Economic!L9</f>
        <v>555651</v>
      </c>
      <c r="AN7" s="28">
        <f>Economic!M9</f>
        <v>28915</v>
      </c>
      <c r="AO7" s="28">
        <f>Economic!D9</f>
        <v>6883.6</v>
      </c>
      <c r="AP7" s="28">
        <f>Economic!E9</f>
        <v>6930.1</v>
      </c>
      <c r="AQ7" s="28">
        <f>Economic!F9</f>
        <v>190.8</v>
      </c>
      <c r="AR7" s="28">
        <f>Economic!G9</f>
        <v>191.9</v>
      </c>
      <c r="AS7" s="28">
        <f>Economic!N9</f>
        <v>0</v>
      </c>
      <c r="AT7" s="28">
        <f>Economic!O9</f>
        <v>0</v>
      </c>
      <c r="AU7" s="28">
        <f>Economic!P9</f>
        <v>0</v>
      </c>
      <c r="AV7" s="28">
        <f>Economic!Q9</f>
        <v>0</v>
      </c>
      <c r="AW7" s="28">
        <f>Economic!R9</f>
        <v>0</v>
      </c>
      <c r="AX7" s="28">
        <f>Economic!S9</f>
        <v>5139</v>
      </c>
      <c r="AY7" s="7">
        <f>Weather!D7</f>
        <v>16.987083333333334</v>
      </c>
      <c r="AZ7" s="7">
        <f>Weather!E7</f>
        <v>93.137500000000045</v>
      </c>
      <c r="BA7" s="7">
        <f>Weather!F7</f>
        <v>2.7499999999999964</v>
      </c>
      <c r="BB7" s="7">
        <f>Weather!G7</f>
        <v>44.925000000000004</v>
      </c>
      <c r="BC7" s="7">
        <f>Weather!H7</f>
        <v>14.537499999999991</v>
      </c>
      <c r="BD7" s="7">
        <f>Weather!I7</f>
        <v>17.725000000000009</v>
      </c>
      <c r="BE7" s="7">
        <f>Weather!J7</f>
        <v>47.337499999999999</v>
      </c>
      <c r="BF7" s="7">
        <f>Weather!K7</f>
        <v>5.9875000000000078</v>
      </c>
      <c r="BG7" s="7">
        <f>Weather!L7</f>
        <v>95.599999999999966</v>
      </c>
      <c r="BH7" s="7">
        <f>Weather!M7</f>
        <v>0.6458333333333357</v>
      </c>
      <c r="BI7" s="7">
        <f>Weather!N7</f>
        <v>150.2583333333333</v>
      </c>
      <c r="BJ7" s="7">
        <f>Weather!O7</f>
        <v>0</v>
      </c>
      <c r="BK7" s="7">
        <f>Weather!P7</f>
        <v>209.61250000000001</v>
      </c>
      <c r="BL7" s="7">
        <f>Weather!Q7</f>
        <v>0</v>
      </c>
      <c r="BM7" s="7">
        <f>Weather!R7</f>
        <v>269.61250000000001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f t="shared" si="9"/>
        <v>6</v>
      </c>
      <c r="CD7" s="1">
        <v>30</v>
      </c>
      <c r="CE7" s="1">
        <v>22</v>
      </c>
      <c r="CF7" s="1">
        <v>0</v>
      </c>
      <c r="CG7" s="1">
        <v>0</v>
      </c>
      <c r="CH7" s="1">
        <v>0</v>
      </c>
      <c r="CI7" s="1">
        <v>0</v>
      </c>
      <c r="CJ7" s="1">
        <f t="shared" si="4"/>
        <v>0</v>
      </c>
      <c r="CK7" s="1">
        <f t="shared" si="4"/>
        <v>0</v>
      </c>
      <c r="CL7" s="1">
        <f t="shared" si="4"/>
        <v>0</v>
      </c>
      <c r="CM7" s="1">
        <f t="shared" si="4"/>
        <v>0</v>
      </c>
      <c r="CN7" s="1">
        <f t="shared" si="4"/>
        <v>0</v>
      </c>
      <c r="CO7" s="1">
        <f t="shared" si="4"/>
        <v>0</v>
      </c>
      <c r="CP7" s="1">
        <f t="shared" si="4"/>
        <v>0</v>
      </c>
      <c r="CQ7" s="1">
        <f t="shared" si="4"/>
        <v>0</v>
      </c>
      <c r="CR7" s="1">
        <f t="shared" si="4"/>
        <v>0</v>
      </c>
      <c r="CS7" s="1">
        <f t="shared" si="4"/>
        <v>0</v>
      </c>
      <c r="CT7" s="1">
        <f t="shared" si="4"/>
        <v>0</v>
      </c>
      <c r="CU7" s="1">
        <f t="shared" si="4"/>
        <v>0</v>
      </c>
      <c r="CV7" s="1">
        <f t="shared" si="4"/>
        <v>0</v>
      </c>
      <c r="CW7" s="1">
        <f t="shared" si="4"/>
        <v>0</v>
      </c>
      <c r="CX7" s="1">
        <f t="shared" si="5"/>
        <v>0</v>
      </c>
      <c r="CY7" s="1">
        <f t="shared" si="5"/>
        <v>0</v>
      </c>
      <c r="CZ7" s="1">
        <f t="shared" si="5"/>
        <v>0</v>
      </c>
      <c r="DA7" s="1">
        <f t="shared" si="5"/>
        <v>0</v>
      </c>
      <c r="DB7" s="1">
        <f t="shared" si="5"/>
        <v>0</v>
      </c>
      <c r="DC7" s="1">
        <f t="shared" si="5"/>
        <v>0</v>
      </c>
      <c r="DD7" s="1">
        <f t="shared" si="5"/>
        <v>0</v>
      </c>
      <c r="DE7" s="1">
        <f t="shared" si="5"/>
        <v>0</v>
      </c>
      <c r="DF7" s="1">
        <f t="shared" si="5"/>
        <v>0</v>
      </c>
      <c r="DG7" s="1">
        <f t="shared" si="5"/>
        <v>0</v>
      </c>
      <c r="DH7" s="1">
        <f t="shared" si="5"/>
        <v>0</v>
      </c>
      <c r="DI7" s="1">
        <f t="shared" si="5"/>
        <v>0</v>
      </c>
      <c r="DJ7" s="1">
        <f t="shared" si="5"/>
        <v>0</v>
      </c>
      <c r="DK7" s="1">
        <f t="shared" si="5"/>
        <v>0</v>
      </c>
      <c r="DL7" s="25">
        <v>0</v>
      </c>
      <c r="DM7" s="25">
        <v>0</v>
      </c>
      <c r="DN7" s="24"/>
      <c r="DO7" s="25"/>
      <c r="DP7" s="25"/>
      <c r="DQ7" s="25"/>
      <c r="DR7" s="25"/>
      <c r="DS7" s="25"/>
      <c r="DT7" s="25"/>
      <c r="DU7" s="25"/>
      <c r="DV7" s="25"/>
    </row>
    <row r="8" spans="1:126" x14ac:dyDescent="0.25">
      <c r="A8" s="252">
        <v>42186</v>
      </c>
      <c r="B8" s="253">
        <f t="shared" si="0"/>
        <v>2015</v>
      </c>
      <c r="C8" s="253">
        <f t="shared" si="1"/>
        <v>7</v>
      </c>
      <c r="D8" s="254">
        <v>40691037.418351941</v>
      </c>
      <c r="E8" s="254">
        <f>IFERROR(VLOOKUP($B8-1,CDM!$L$7:$T$18,2,FALSE)/12,0)+IFERROR(VLOOKUP($B8,CDM!$L$36:$T$46,2,FALSE)/24,0)+IFERROR(VLOOKUP($B8,CDM!$L$36:$T$46,2,FALSE)/2*$C8/78,0)</f>
        <v>151083.95192307694</v>
      </c>
      <c r="F8" s="254">
        <f t="shared" si="2"/>
        <v>40842121.370275021</v>
      </c>
      <c r="G8" s="255">
        <v>48825</v>
      </c>
      <c r="H8" s="254">
        <v>11271375.237420972</v>
      </c>
      <c r="I8" s="254">
        <f>IFERROR(VLOOKUP($B8-1,CDM!$L$7:$T$18,3,FALSE)/12,0)+IFERROR(VLOOKUP($B8,CDM!$L$36:$T$46,3,FALSE)/24,0)+IFERROR(VLOOKUP($B8,CDM!$L$36:$T$46,3,FALSE)/2*$C8/78,0)</f>
        <v>44578.351730769231</v>
      </c>
      <c r="J8" s="254">
        <f t="shared" si="6"/>
        <v>11315953.589151742</v>
      </c>
      <c r="K8" s="256">
        <v>4021</v>
      </c>
      <c r="L8" s="4">
        <v>27365984.298372012</v>
      </c>
      <c r="M8" s="257">
        <f>IFERROR(VLOOKUP($B8-1,CDM!$L$7:$T$18,4,FALSE)/12,0)+IFERROR(VLOOKUP($B8,CDM!$L$36:$T$46,4,FALSE)/24,0)+IFERROR(VLOOKUP($B8,CDM!$L$36:$T$46,4,FALSE)/2*$C8/78,0)</f>
        <v>62175.069519230776</v>
      </c>
      <c r="N8" s="254">
        <f t="shared" si="3"/>
        <v>27428159.367891241</v>
      </c>
      <c r="O8" s="4">
        <v>68949</v>
      </c>
      <c r="P8" s="256">
        <v>508</v>
      </c>
      <c r="Q8" s="256">
        <v>7524538.3260400956</v>
      </c>
      <c r="R8" s="256">
        <f>IFERROR(VLOOKUP($B8-1,CDM!$L$7:$T$18,5,FALSE)/12,0)+IFERROR(VLOOKUP($B8,CDM!$L$36:$T$46,5,FALSE)/24,0)+IFERROR(VLOOKUP($B8,CDM!$L$36:$T$46,5,FALSE)/2*$C8/78,0)</f>
        <v>417584.28548076923</v>
      </c>
      <c r="S8" s="256">
        <f t="shared" si="7"/>
        <v>7942122.611520865</v>
      </c>
      <c r="T8" s="256">
        <v>18198</v>
      </c>
      <c r="U8" s="256">
        <v>13</v>
      </c>
      <c r="V8" s="256">
        <v>3903331.7192142233</v>
      </c>
      <c r="W8" s="256">
        <f>IFERROR(VLOOKUP($B8-1,CDM!$L$7:$T$18,6,FALSE)/12,0)+IFERROR(VLOOKUP($B8,CDM!$L$36:$T$46,6,FALSE)/24,0)+IFERROR(VLOOKUP($B8,CDM!$L$36:$T$46,6,FALSE)/2*$C8/78,0)</f>
        <v>0</v>
      </c>
      <c r="X8" s="256">
        <f t="shared" si="8"/>
        <v>3903331.7192142233</v>
      </c>
      <c r="Y8" s="256">
        <v>8576</v>
      </c>
      <c r="Z8" s="256">
        <v>1</v>
      </c>
      <c r="AA8" s="4">
        <v>606458.64554047957</v>
      </c>
      <c r="AB8" s="4">
        <v>2176</v>
      </c>
      <c r="AC8" s="256">
        <v>12647</v>
      </c>
      <c r="AD8" s="256">
        <v>2304.2723631508679</v>
      </c>
      <c r="AE8" s="256">
        <v>0</v>
      </c>
      <c r="AF8" s="256">
        <v>25</v>
      </c>
      <c r="AG8" s="4">
        <v>208358</v>
      </c>
      <c r="AH8" s="4">
        <v>257</v>
      </c>
      <c r="AI8" s="28">
        <f>Economic!H10</f>
        <v>727609.6</v>
      </c>
      <c r="AJ8" s="28">
        <f>Economic!I10</f>
        <v>557474</v>
      </c>
      <c r="AK8" s="28">
        <f>Economic!J10</f>
        <v>49299.3</v>
      </c>
      <c r="AL8" s="28">
        <f>Economic!K10</f>
        <v>730341</v>
      </c>
      <c r="AM8" s="28">
        <f>Economic!L10</f>
        <v>558510</v>
      </c>
      <c r="AN8" s="28">
        <f>Economic!M10</f>
        <v>29147</v>
      </c>
      <c r="AO8" s="28">
        <f>Economic!D10</f>
        <v>6891.7</v>
      </c>
      <c r="AP8" s="28">
        <f>Economic!E10</f>
        <v>6986.1</v>
      </c>
      <c r="AQ8" s="28">
        <f>Economic!F10</f>
        <v>185.9</v>
      </c>
      <c r="AR8" s="28">
        <f>Economic!G10</f>
        <v>188.5</v>
      </c>
      <c r="AS8" s="28">
        <f>Economic!N10</f>
        <v>0</v>
      </c>
      <c r="AT8" s="28">
        <f>Economic!O10</f>
        <v>0</v>
      </c>
      <c r="AU8" s="28">
        <f>Economic!P10</f>
        <v>0</v>
      </c>
      <c r="AV8" s="28">
        <f>Economic!Q10</f>
        <v>0</v>
      </c>
      <c r="AW8" s="28">
        <f>Economic!R10</f>
        <v>0</v>
      </c>
      <c r="AX8" s="28">
        <f>Economic!S10</f>
        <v>6615</v>
      </c>
      <c r="AY8" s="7">
        <f>Weather!D8</f>
        <v>20.63024193548387</v>
      </c>
      <c r="AZ8" s="7">
        <f>Weather!E8</f>
        <v>25.987500000000004</v>
      </c>
      <c r="BA8" s="7">
        <f>Weather!F8</f>
        <v>45.524999999999991</v>
      </c>
      <c r="BB8" s="7">
        <f>Weather!G8</f>
        <v>6.0874999999999986</v>
      </c>
      <c r="BC8" s="7">
        <f>Weather!H8</f>
        <v>87.624999999999986</v>
      </c>
      <c r="BD8" s="7">
        <f>Weather!I8</f>
        <v>0</v>
      </c>
      <c r="BE8" s="7">
        <f>Weather!J8</f>
        <v>143.53749999999999</v>
      </c>
      <c r="BF8" s="7">
        <f>Weather!K8</f>
        <v>0</v>
      </c>
      <c r="BG8" s="7">
        <f>Weather!L8</f>
        <v>205.53749999999997</v>
      </c>
      <c r="BH8" s="7">
        <f>Weather!M8</f>
        <v>0</v>
      </c>
      <c r="BI8" s="7">
        <f>Weather!N8</f>
        <v>267.53749999999997</v>
      </c>
      <c r="BJ8" s="7">
        <f>Weather!O8</f>
        <v>0</v>
      </c>
      <c r="BK8" s="7">
        <f>Weather!P8</f>
        <v>329.53750000000002</v>
      </c>
      <c r="BL8" s="7">
        <f>Weather!Q8</f>
        <v>0</v>
      </c>
      <c r="BM8" s="7">
        <f>Weather!R8</f>
        <v>391.53750000000014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f t="shared" si="9"/>
        <v>7</v>
      </c>
      <c r="CD8" s="1">
        <v>31</v>
      </c>
      <c r="CE8" s="1">
        <v>22</v>
      </c>
      <c r="CF8" s="1">
        <v>0</v>
      </c>
      <c r="CG8" s="1">
        <v>0</v>
      </c>
      <c r="CH8" s="1">
        <v>0</v>
      </c>
      <c r="CI8" s="1">
        <v>0</v>
      </c>
      <c r="CJ8" s="1">
        <f t="shared" si="4"/>
        <v>0</v>
      </c>
      <c r="CK8" s="1">
        <f t="shared" si="4"/>
        <v>0</v>
      </c>
      <c r="CL8" s="1">
        <f t="shared" si="4"/>
        <v>0</v>
      </c>
      <c r="CM8" s="1">
        <f t="shared" ref="CM8:CW31" si="10">$CG8*BC8</f>
        <v>0</v>
      </c>
      <c r="CN8" s="1">
        <f t="shared" si="10"/>
        <v>0</v>
      </c>
      <c r="CO8" s="1">
        <f t="shared" si="10"/>
        <v>0</v>
      </c>
      <c r="CP8" s="1">
        <f t="shared" si="10"/>
        <v>0</v>
      </c>
      <c r="CQ8" s="1">
        <f t="shared" si="10"/>
        <v>0</v>
      </c>
      <c r="CR8" s="1">
        <f t="shared" si="10"/>
        <v>0</v>
      </c>
      <c r="CS8" s="1">
        <f t="shared" si="10"/>
        <v>0</v>
      </c>
      <c r="CT8" s="1">
        <f t="shared" si="10"/>
        <v>0</v>
      </c>
      <c r="CU8" s="1">
        <f t="shared" si="10"/>
        <v>0</v>
      </c>
      <c r="CV8" s="1">
        <f t="shared" si="10"/>
        <v>0</v>
      </c>
      <c r="CW8" s="1">
        <f t="shared" si="10"/>
        <v>0</v>
      </c>
      <c r="CX8" s="1">
        <f t="shared" si="5"/>
        <v>0</v>
      </c>
      <c r="CY8" s="1">
        <f t="shared" si="5"/>
        <v>0</v>
      </c>
      <c r="CZ8" s="1">
        <f t="shared" si="5"/>
        <v>0</v>
      </c>
      <c r="DA8" s="1">
        <f t="shared" ref="DA8:DK31" si="11">$CH8*BC8</f>
        <v>0</v>
      </c>
      <c r="DB8" s="1">
        <f t="shared" si="11"/>
        <v>0</v>
      </c>
      <c r="DC8" s="1">
        <f t="shared" si="11"/>
        <v>0</v>
      </c>
      <c r="DD8" s="1">
        <f t="shared" si="11"/>
        <v>0</v>
      </c>
      <c r="DE8" s="1">
        <f t="shared" si="11"/>
        <v>0</v>
      </c>
      <c r="DF8" s="1">
        <f t="shared" si="11"/>
        <v>0</v>
      </c>
      <c r="DG8" s="1">
        <f t="shared" si="11"/>
        <v>0</v>
      </c>
      <c r="DH8" s="1">
        <f t="shared" si="11"/>
        <v>0</v>
      </c>
      <c r="DI8" s="1">
        <f t="shared" si="11"/>
        <v>0</v>
      </c>
      <c r="DJ8" s="1">
        <f t="shared" si="11"/>
        <v>0</v>
      </c>
      <c r="DK8" s="1">
        <f t="shared" si="11"/>
        <v>0</v>
      </c>
      <c r="DL8" s="25">
        <v>0</v>
      </c>
      <c r="DM8" s="25">
        <v>0</v>
      </c>
      <c r="DN8" s="24"/>
      <c r="DO8" s="25"/>
      <c r="DP8" s="25"/>
      <c r="DQ8" s="25"/>
      <c r="DR8" s="25"/>
      <c r="DS8" s="25"/>
      <c r="DT8" s="25"/>
      <c r="DU8" s="25"/>
      <c r="DV8" s="25"/>
    </row>
    <row r="9" spans="1:126" x14ac:dyDescent="0.25">
      <c r="A9" s="252">
        <v>42217</v>
      </c>
      <c r="B9" s="253">
        <f t="shared" si="0"/>
        <v>2015</v>
      </c>
      <c r="C9" s="253">
        <f t="shared" si="1"/>
        <v>8</v>
      </c>
      <c r="D9" s="254">
        <v>45223433.122218989</v>
      </c>
      <c r="E9" s="254">
        <f>IFERROR(VLOOKUP($B9-1,CDM!$L$7:$T$18,2,FALSE)/12,0)+IFERROR(VLOOKUP($B9,CDM!$L$36:$T$46,2,FALSE)/24,0)+IFERROR(VLOOKUP($B9,CDM!$L$36:$T$46,2,FALSE)/2*$C9/78,0)</f>
        <v>162275.35576923075</v>
      </c>
      <c r="F9" s="254">
        <f t="shared" si="2"/>
        <v>45385708.477988221</v>
      </c>
      <c r="G9" s="255">
        <v>49372</v>
      </c>
      <c r="H9" s="254">
        <v>10983697.419811985</v>
      </c>
      <c r="I9" s="254">
        <f>IFERROR(VLOOKUP($B9-1,CDM!$L$7:$T$18,3,FALSE)/12,0)+IFERROR(VLOOKUP($B9,CDM!$L$36:$T$46,3,FALSE)/24,0)+IFERROR(VLOOKUP($B9,CDM!$L$36:$T$46,3,FALSE)/2*$C9/78,0)</f>
        <v>47880.45185897436</v>
      </c>
      <c r="J9" s="254">
        <f t="shared" si="6"/>
        <v>11031577.87167096</v>
      </c>
      <c r="K9" s="256">
        <v>4021</v>
      </c>
      <c r="L9" s="4">
        <v>26611117.538222358</v>
      </c>
      <c r="M9" s="257">
        <f>IFERROR(VLOOKUP($B9-1,CDM!$L$7:$T$18,4,FALSE)/12,0)+IFERROR(VLOOKUP($B9,CDM!$L$36:$T$46,4,FALSE)/24,0)+IFERROR(VLOOKUP($B9,CDM!$L$36:$T$46,4,FALSE)/2*$C9/78,0)</f>
        <v>66780.630224358989</v>
      </c>
      <c r="N9" s="254">
        <f t="shared" si="3"/>
        <v>26677898.168446716</v>
      </c>
      <c r="O9" s="4">
        <v>69183</v>
      </c>
      <c r="P9" s="256">
        <v>512</v>
      </c>
      <c r="Q9" s="256">
        <v>7573223.6327610556</v>
      </c>
      <c r="R9" s="256">
        <f>IFERROR(VLOOKUP($B9-1,CDM!$L$7:$T$18,5,FALSE)/12,0)+IFERROR(VLOOKUP($B9,CDM!$L$36:$T$46,5,FALSE)/24,0)+IFERROR(VLOOKUP($B9,CDM!$L$36:$T$46,5,FALSE)/2*$C9/78,0)</f>
        <v>448516.45477564109</v>
      </c>
      <c r="S9" s="256">
        <f t="shared" si="7"/>
        <v>8021740.0875366963</v>
      </c>
      <c r="T9" s="256">
        <v>17371</v>
      </c>
      <c r="U9" s="256">
        <v>13</v>
      </c>
      <c r="V9" s="256">
        <v>3934483.9152747728</v>
      </c>
      <c r="W9" s="256">
        <f>IFERROR(VLOOKUP($B9-1,CDM!$L$7:$T$18,6,FALSE)/12,0)+IFERROR(VLOOKUP($B9,CDM!$L$36:$T$46,6,FALSE)/24,0)+IFERROR(VLOOKUP($B9,CDM!$L$36:$T$46,6,FALSE)/2*$C9/78,0)</f>
        <v>0</v>
      </c>
      <c r="X9" s="256">
        <f t="shared" si="8"/>
        <v>3934483.9152747728</v>
      </c>
      <c r="Y9" s="256">
        <v>8360</v>
      </c>
      <c r="Z9" s="256">
        <v>1</v>
      </c>
      <c r="AA9" s="4">
        <v>623170.68789841386</v>
      </c>
      <c r="AB9" s="4">
        <v>2176</v>
      </c>
      <c r="AC9" s="256">
        <v>12670</v>
      </c>
      <c r="AD9" s="256">
        <v>2328.9910356666032</v>
      </c>
      <c r="AE9" s="256">
        <v>0</v>
      </c>
      <c r="AF9" s="256">
        <v>25</v>
      </c>
      <c r="AG9" s="4">
        <v>206997</v>
      </c>
      <c r="AH9" s="4">
        <v>259</v>
      </c>
      <c r="AI9" s="28">
        <f>Economic!H11</f>
        <v>727609.6</v>
      </c>
      <c r="AJ9" s="28">
        <f>Economic!I11</f>
        <v>557474</v>
      </c>
      <c r="AK9" s="28">
        <f>Economic!J11</f>
        <v>49299.3</v>
      </c>
      <c r="AL9" s="28">
        <f>Economic!K11</f>
        <v>730341</v>
      </c>
      <c r="AM9" s="28">
        <f>Economic!L11</f>
        <v>558510</v>
      </c>
      <c r="AN9" s="28">
        <f>Economic!M11</f>
        <v>29147</v>
      </c>
      <c r="AO9" s="28">
        <f>Economic!D11</f>
        <v>6896.8</v>
      </c>
      <c r="AP9" s="28">
        <f>Economic!E11</f>
        <v>7000.2</v>
      </c>
      <c r="AQ9" s="28">
        <f>Economic!F11</f>
        <v>183</v>
      </c>
      <c r="AR9" s="28">
        <f>Economic!G11</f>
        <v>185.8</v>
      </c>
      <c r="AS9" s="28">
        <f>Economic!N11</f>
        <v>0</v>
      </c>
      <c r="AT9" s="28">
        <f>Economic!O11</f>
        <v>0</v>
      </c>
      <c r="AU9" s="28">
        <f>Economic!P11</f>
        <v>0</v>
      </c>
      <c r="AV9" s="28">
        <f>Economic!Q11</f>
        <v>0</v>
      </c>
      <c r="AW9" s="28">
        <f>Economic!R11</f>
        <v>0</v>
      </c>
      <c r="AX9" s="28">
        <f>Economic!S11</f>
        <v>6615</v>
      </c>
      <c r="AY9" s="7">
        <f>Weather!D9</f>
        <v>19.41747311827957</v>
      </c>
      <c r="AZ9" s="7">
        <f>Weather!E9</f>
        <v>40.1875</v>
      </c>
      <c r="BA9" s="7">
        <f>Weather!F9</f>
        <v>22.12916666666667</v>
      </c>
      <c r="BB9" s="7">
        <f>Weather!G9</f>
        <v>9.4166666666666572</v>
      </c>
      <c r="BC9" s="7">
        <f>Weather!H9</f>
        <v>53.358333333333334</v>
      </c>
      <c r="BD9" s="7">
        <f>Weather!I9</f>
        <v>0.49166666666666714</v>
      </c>
      <c r="BE9" s="7">
        <f>Weather!J9</f>
        <v>106.43333333333335</v>
      </c>
      <c r="BF9" s="7">
        <f>Weather!K9</f>
        <v>0</v>
      </c>
      <c r="BG9" s="7">
        <f>Weather!L9</f>
        <v>167.94166666666666</v>
      </c>
      <c r="BH9" s="7">
        <f>Weather!M9</f>
        <v>0</v>
      </c>
      <c r="BI9" s="7">
        <f>Weather!N9</f>
        <v>229.94166666666666</v>
      </c>
      <c r="BJ9" s="7">
        <f>Weather!O9</f>
        <v>0</v>
      </c>
      <c r="BK9" s="7">
        <f>Weather!P9</f>
        <v>291.94166666666666</v>
      </c>
      <c r="BL9" s="7">
        <f>Weather!Q9</f>
        <v>0</v>
      </c>
      <c r="BM9" s="7">
        <f>Weather!R9</f>
        <v>353.94166666666678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f t="shared" si="9"/>
        <v>8</v>
      </c>
      <c r="CD9" s="1">
        <v>31</v>
      </c>
      <c r="CE9" s="1">
        <v>20</v>
      </c>
      <c r="CF9" s="1">
        <v>0</v>
      </c>
      <c r="CG9" s="1">
        <v>0</v>
      </c>
      <c r="CH9" s="1">
        <v>0</v>
      </c>
      <c r="CI9" s="1">
        <v>0</v>
      </c>
      <c r="CJ9" s="1">
        <f t="shared" ref="CJ9:CQ65" si="12">$CG9*AZ9</f>
        <v>0</v>
      </c>
      <c r="CK9" s="1">
        <f t="shared" si="12"/>
        <v>0</v>
      </c>
      <c r="CL9" s="1">
        <f t="shared" si="12"/>
        <v>0</v>
      </c>
      <c r="CM9" s="1">
        <f t="shared" si="10"/>
        <v>0</v>
      </c>
      <c r="CN9" s="1">
        <f t="shared" si="10"/>
        <v>0</v>
      </c>
      <c r="CO9" s="1">
        <f t="shared" si="10"/>
        <v>0</v>
      </c>
      <c r="CP9" s="1">
        <f t="shared" si="10"/>
        <v>0</v>
      </c>
      <c r="CQ9" s="1">
        <f t="shared" si="10"/>
        <v>0</v>
      </c>
      <c r="CR9" s="1">
        <f t="shared" si="10"/>
        <v>0</v>
      </c>
      <c r="CS9" s="1">
        <f t="shared" si="10"/>
        <v>0</v>
      </c>
      <c r="CT9" s="1">
        <f t="shared" si="10"/>
        <v>0</v>
      </c>
      <c r="CU9" s="1">
        <f t="shared" si="10"/>
        <v>0</v>
      </c>
      <c r="CV9" s="1">
        <f t="shared" si="10"/>
        <v>0</v>
      </c>
      <c r="CW9" s="1">
        <f t="shared" si="10"/>
        <v>0</v>
      </c>
      <c r="CX9" s="1">
        <f t="shared" ref="CX9:DE65" si="13">$CH9*AZ9</f>
        <v>0</v>
      </c>
      <c r="CY9" s="1">
        <f t="shared" si="13"/>
        <v>0</v>
      </c>
      <c r="CZ9" s="1">
        <f t="shared" si="13"/>
        <v>0</v>
      </c>
      <c r="DA9" s="1">
        <f t="shared" si="11"/>
        <v>0</v>
      </c>
      <c r="DB9" s="1">
        <f t="shared" si="11"/>
        <v>0</v>
      </c>
      <c r="DC9" s="1">
        <f t="shared" si="11"/>
        <v>0</v>
      </c>
      <c r="DD9" s="1">
        <f t="shared" si="11"/>
        <v>0</v>
      </c>
      <c r="DE9" s="1">
        <f t="shared" si="11"/>
        <v>0</v>
      </c>
      <c r="DF9" s="1">
        <f t="shared" si="11"/>
        <v>0</v>
      </c>
      <c r="DG9" s="1">
        <f t="shared" si="11"/>
        <v>0</v>
      </c>
      <c r="DH9" s="1">
        <f t="shared" si="11"/>
        <v>0</v>
      </c>
      <c r="DI9" s="1">
        <f t="shared" si="11"/>
        <v>0</v>
      </c>
      <c r="DJ9" s="1">
        <f t="shared" si="11"/>
        <v>0</v>
      </c>
      <c r="DK9" s="1">
        <f t="shared" si="11"/>
        <v>0</v>
      </c>
      <c r="DL9" s="25">
        <v>0</v>
      </c>
      <c r="DM9" s="25">
        <v>0</v>
      </c>
      <c r="DN9" s="24"/>
      <c r="DO9" s="25"/>
      <c r="DP9" s="25"/>
      <c r="DQ9" s="25"/>
      <c r="DR9" s="25"/>
      <c r="DS9" s="25"/>
      <c r="DT9" s="25"/>
      <c r="DU9" s="25"/>
      <c r="DV9" s="25"/>
    </row>
    <row r="10" spans="1:126" x14ac:dyDescent="0.25">
      <c r="A10" s="252">
        <v>42248</v>
      </c>
      <c r="B10" s="253">
        <f t="shared" si="0"/>
        <v>2015</v>
      </c>
      <c r="C10" s="253">
        <f t="shared" si="1"/>
        <v>9</v>
      </c>
      <c r="D10" s="254">
        <v>40459156.288654119</v>
      </c>
      <c r="E10" s="254">
        <f>IFERROR(VLOOKUP($B10-1,CDM!$L$7:$T$18,2,FALSE)/12,0)+IFERROR(VLOOKUP($B10,CDM!$L$36:$T$46,2,FALSE)/24,0)+IFERROR(VLOOKUP($B10,CDM!$L$36:$T$46,2,FALSE)/2*$C10/78,0)</f>
        <v>173466.75961538462</v>
      </c>
      <c r="F10" s="254">
        <f t="shared" si="2"/>
        <v>40632623.048269503</v>
      </c>
      <c r="G10" s="255">
        <v>49938</v>
      </c>
      <c r="H10" s="254">
        <v>10747166.189587737</v>
      </c>
      <c r="I10" s="254">
        <f>IFERROR(VLOOKUP($B10-1,CDM!$L$7:$T$18,3,FALSE)/12,0)+IFERROR(VLOOKUP($B10,CDM!$L$36:$T$46,3,FALSE)/24,0)+IFERROR(VLOOKUP($B10,CDM!$L$36:$T$46,3,FALSE)/2*$C10/78,0)</f>
        <v>51182.551987179482</v>
      </c>
      <c r="J10" s="254">
        <f t="shared" si="6"/>
        <v>10798348.741574915</v>
      </c>
      <c r="K10" s="256">
        <v>4033</v>
      </c>
      <c r="L10" s="4">
        <v>25297035.991907977</v>
      </c>
      <c r="M10" s="257">
        <f>IFERROR(VLOOKUP($B10-1,CDM!$L$7:$T$18,4,FALSE)/12,0)+IFERROR(VLOOKUP($B10,CDM!$L$36:$T$46,4,FALSE)/24,0)+IFERROR(VLOOKUP($B10,CDM!$L$36:$T$46,4,FALSE)/2*$C10/78,0)</f>
        <v>71386.190929487188</v>
      </c>
      <c r="N10" s="254">
        <f t="shared" si="3"/>
        <v>25368422.182837464</v>
      </c>
      <c r="O10" s="4">
        <v>70164</v>
      </c>
      <c r="P10" s="256">
        <v>513</v>
      </c>
      <c r="Q10" s="256">
        <v>7598843.0390862823</v>
      </c>
      <c r="R10" s="256">
        <f>IFERROR(VLOOKUP($B10-1,CDM!$L$7:$T$18,5,FALSE)/12,0)+IFERROR(VLOOKUP($B10,CDM!$L$36:$T$46,5,FALSE)/24,0)+IFERROR(VLOOKUP($B10,CDM!$L$36:$T$46,5,FALSE)/2*$C10/78,0)</f>
        <v>479448.62407051283</v>
      </c>
      <c r="S10" s="256">
        <f t="shared" si="7"/>
        <v>8078291.6631567953</v>
      </c>
      <c r="T10" s="256">
        <v>17314</v>
      </c>
      <c r="U10" s="256">
        <v>13</v>
      </c>
      <c r="V10" s="256">
        <v>3833490.6826414838</v>
      </c>
      <c r="W10" s="256">
        <f>IFERROR(VLOOKUP($B10-1,CDM!$L$7:$T$18,6,FALSE)/12,0)+IFERROR(VLOOKUP($B10,CDM!$L$36:$T$46,6,FALSE)/24,0)+IFERROR(VLOOKUP($B10,CDM!$L$36:$T$46,6,FALSE)/2*$C10/78,0)</f>
        <v>0</v>
      </c>
      <c r="X10" s="256">
        <f t="shared" si="8"/>
        <v>3833490.6826414838</v>
      </c>
      <c r="Y10" s="256">
        <v>9188</v>
      </c>
      <c r="Z10" s="256">
        <v>1</v>
      </c>
      <c r="AA10" s="4">
        <v>620596.04214160226</v>
      </c>
      <c r="AB10" s="4">
        <v>2180</v>
      </c>
      <c r="AC10" s="256">
        <v>12670</v>
      </c>
      <c r="AD10" s="256">
        <v>2278.5809650963192</v>
      </c>
      <c r="AE10" s="256">
        <v>0</v>
      </c>
      <c r="AF10" s="256">
        <v>25</v>
      </c>
      <c r="AG10" s="4">
        <v>209088</v>
      </c>
      <c r="AH10" s="4">
        <v>262</v>
      </c>
      <c r="AI10" s="28">
        <f>Economic!H12</f>
        <v>727609.6</v>
      </c>
      <c r="AJ10" s="28">
        <f>Economic!I12</f>
        <v>557474</v>
      </c>
      <c r="AK10" s="28">
        <f>Economic!J12</f>
        <v>49299.3</v>
      </c>
      <c r="AL10" s="28">
        <f>Economic!K12</f>
        <v>730341</v>
      </c>
      <c r="AM10" s="28">
        <f>Economic!L12</f>
        <v>558510</v>
      </c>
      <c r="AN10" s="28">
        <f>Economic!M12</f>
        <v>29147</v>
      </c>
      <c r="AO10" s="28">
        <f>Economic!D12</f>
        <v>6893.1</v>
      </c>
      <c r="AP10" s="28">
        <f>Economic!E12</f>
        <v>6953.7</v>
      </c>
      <c r="AQ10" s="28">
        <f>Economic!F12</f>
        <v>181.7</v>
      </c>
      <c r="AR10" s="28">
        <f>Economic!G12</f>
        <v>183</v>
      </c>
      <c r="AS10" s="28">
        <f>Economic!N12</f>
        <v>0</v>
      </c>
      <c r="AT10" s="28">
        <f>Economic!O12</f>
        <v>0</v>
      </c>
      <c r="AU10" s="28">
        <f>Economic!P12</f>
        <v>0</v>
      </c>
      <c r="AV10" s="28">
        <f>Economic!Q12</f>
        <v>0</v>
      </c>
      <c r="AW10" s="28">
        <f>Economic!R12</f>
        <v>0</v>
      </c>
      <c r="AX10" s="28">
        <f>Economic!S12</f>
        <v>6615</v>
      </c>
      <c r="AY10" s="7">
        <f>Weather!D10</f>
        <v>18.297420634920634</v>
      </c>
      <c r="AZ10" s="7">
        <f>Weather!E10</f>
        <v>78.99404761904762</v>
      </c>
      <c r="BA10" s="7">
        <f>Weather!F10</f>
        <v>27.916666666666675</v>
      </c>
      <c r="BB10" s="7">
        <f>Weather!G10</f>
        <v>42.631547619047623</v>
      </c>
      <c r="BC10" s="7">
        <f>Weather!H10</f>
        <v>51.55416666666666</v>
      </c>
      <c r="BD10" s="7">
        <f>Weather!I10</f>
        <v>18.695833333333333</v>
      </c>
      <c r="BE10" s="7">
        <f>Weather!J10</f>
        <v>87.618452380952391</v>
      </c>
      <c r="BF10" s="7">
        <f>Weather!K10</f>
        <v>6.0041666666666682</v>
      </c>
      <c r="BG10" s="7">
        <f>Weather!L10</f>
        <v>134.9267857142857</v>
      </c>
      <c r="BH10" s="7">
        <f>Weather!M10</f>
        <v>3.7500000000001421E-2</v>
      </c>
      <c r="BI10" s="7">
        <f>Weather!N10</f>
        <v>188.96011904761906</v>
      </c>
      <c r="BJ10" s="7">
        <f>Weather!O10</f>
        <v>0</v>
      </c>
      <c r="BK10" s="7">
        <f>Weather!P10</f>
        <v>248.92261904761907</v>
      </c>
      <c r="BL10" s="7">
        <f>Weather!Q10</f>
        <v>0</v>
      </c>
      <c r="BM10" s="7">
        <f>Weather!R10</f>
        <v>308.92261904761898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1</v>
      </c>
      <c r="CB10" s="1">
        <v>1</v>
      </c>
      <c r="CC10" s="1">
        <f t="shared" si="9"/>
        <v>9</v>
      </c>
      <c r="CD10" s="1">
        <v>30</v>
      </c>
      <c r="CE10" s="1">
        <v>21</v>
      </c>
      <c r="CF10" s="1">
        <v>0</v>
      </c>
      <c r="CG10" s="1">
        <v>0</v>
      </c>
      <c r="CH10" s="1">
        <v>0</v>
      </c>
      <c r="CI10" s="1">
        <v>0</v>
      </c>
      <c r="CJ10" s="1">
        <f t="shared" si="12"/>
        <v>0</v>
      </c>
      <c r="CK10" s="1">
        <f t="shared" si="12"/>
        <v>0</v>
      </c>
      <c r="CL10" s="1">
        <f t="shared" si="12"/>
        <v>0</v>
      </c>
      <c r="CM10" s="1">
        <f t="shared" si="10"/>
        <v>0</v>
      </c>
      <c r="CN10" s="1">
        <f t="shared" si="10"/>
        <v>0</v>
      </c>
      <c r="CO10" s="1">
        <f t="shared" si="10"/>
        <v>0</v>
      </c>
      <c r="CP10" s="1">
        <f t="shared" si="10"/>
        <v>0</v>
      </c>
      <c r="CQ10" s="1">
        <f t="shared" si="10"/>
        <v>0</v>
      </c>
      <c r="CR10" s="1">
        <f t="shared" si="10"/>
        <v>0</v>
      </c>
      <c r="CS10" s="1">
        <f t="shared" si="10"/>
        <v>0</v>
      </c>
      <c r="CT10" s="1">
        <f t="shared" si="10"/>
        <v>0</v>
      </c>
      <c r="CU10" s="1">
        <f t="shared" si="10"/>
        <v>0</v>
      </c>
      <c r="CV10" s="1">
        <f t="shared" si="10"/>
        <v>0</v>
      </c>
      <c r="CW10" s="1">
        <f t="shared" si="10"/>
        <v>0</v>
      </c>
      <c r="CX10" s="1">
        <f t="shared" si="13"/>
        <v>0</v>
      </c>
      <c r="CY10" s="1">
        <f t="shared" si="13"/>
        <v>0</v>
      </c>
      <c r="CZ10" s="1">
        <f t="shared" si="13"/>
        <v>0</v>
      </c>
      <c r="DA10" s="1">
        <f t="shared" si="11"/>
        <v>0</v>
      </c>
      <c r="DB10" s="1">
        <f t="shared" si="11"/>
        <v>0</v>
      </c>
      <c r="DC10" s="1">
        <f t="shared" si="11"/>
        <v>0</v>
      </c>
      <c r="DD10" s="1">
        <f t="shared" si="11"/>
        <v>0</v>
      </c>
      <c r="DE10" s="1">
        <f t="shared" si="11"/>
        <v>0</v>
      </c>
      <c r="DF10" s="1">
        <f t="shared" si="11"/>
        <v>0</v>
      </c>
      <c r="DG10" s="1">
        <f t="shared" si="11"/>
        <v>0</v>
      </c>
      <c r="DH10" s="1">
        <f t="shared" si="11"/>
        <v>0</v>
      </c>
      <c r="DI10" s="1">
        <f t="shared" si="11"/>
        <v>0</v>
      </c>
      <c r="DJ10" s="1">
        <f t="shared" si="11"/>
        <v>0</v>
      </c>
      <c r="DK10" s="1">
        <f t="shared" si="11"/>
        <v>0</v>
      </c>
      <c r="DL10" s="25">
        <v>0</v>
      </c>
      <c r="DM10" s="25">
        <v>0</v>
      </c>
      <c r="DN10" s="24"/>
      <c r="DO10" s="25"/>
      <c r="DP10" s="25"/>
      <c r="DQ10" s="25"/>
      <c r="DR10" s="25"/>
      <c r="DS10" s="25"/>
      <c r="DT10" s="25"/>
      <c r="DU10" s="25"/>
      <c r="DV10" s="25"/>
    </row>
    <row r="11" spans="1:126" x14ac:dyDescent="0.25">
      <c r="A11" s="252">
        <v>42278</v>
      </c>
      <c r="B11" s="253">
        <f t="shared" si="0"/>
        <v>2015</v>
      </c>
      <c r="C11" s="253">
        <f t="shared" si="1"/>
        <v>10</v>
      </c>
      <c r="D11" s="254">
        <v>32448440.676600091</v>
      </c>
      <c r="E11" s="254">
        <f>IFERROR(VLOOKUP($B11-1,CDM!$L$7:$T$18,2,FALSE)/12,0)+IFERROR(VLOOKUP($B11,CDM!$L$36:$T$46,2,FALSE)/24,0)+IFERROR(VLOOKUP($B11,CDM!$L$36:$T$46,2,FALSE)/2*$C11/78,0)</f>
        <v>184658.16346153847</v>
      </c>
      <c r="F11" s="254">
        <f t="shared" si="2"/>
        <v>32633098.840061631</v>
      </c>
      <c r="G11" s="255">
        <v>50485</v>
      </c>
      <c r="H11" s="254">
        <v>9951966.7651797645</v>
      </c>
      <c r="I11" s="254">
        <f>IFERROR(VLOOKUP($B11-1,CDM!$L$7:$T$18,3,FALSE)/12,0)+IFERROR(VLOOKUP($B11,CDM!$L$36:$T$46,3,FALSE)/24,0)+IFERROR(VLOOKUP($B11,CDM!$L$36:$T$46,3,FALSE)/2*$C11/78,0)</f>
        <v>54484.652115384619</v>
      </c>
      <c r="J11" s="254">
        <f t="shared" si="6"/>
        <v>10006451.417295149</v>
      </c>
      <c r="K11" s="256">
        <v>4052</v>
      </c>
      <c r="L11" s="4">
        <v>25608623.963184752</v>
      </c>
      <c r="M11" s="257">
        <f>IFERROR(VLOOKUP($B11-1,CDM!$L$7:$T$18,4,FALSE)/12,0)+IFERROR(VLOOKUP($B11,CDM!$L$36:$T$46,4,FALSE)/24,0)+IFERROR(VLOOKUP($B11,CDM!$L$36:$T$46,4,FALSE)/2*$C11/78,0)</f>
        <v>75991.751634615401</v>
      </c>
      <c r="N11" s="254">
        <f t="shared" si="3"/>
        <v>25684615.714819368</v>
      </c>
      <c r="O11" s="4">
        <v>66056</v>
      </c>
      <c r="P11" s="256">
        <v>516</v>
      </c>
      <c r="Q11" s="256">
        <v>6772716.0920320945</v>
      </c>
      <c r="R11" s="256">
        <f>IFERROR(VLOOKUP($B11-1,CDM!$L$7:$T$18,5,FALSE)/12,0)+IFERROR(VLOOKUP($B11,CDM!$L$36:$T$46,5,FALSE)/24,0)+IFERROR(VLOOKUP($B11,CDM!$L$36:$T$46,5,FALSE)/2*$C11/78,0)</f>
        <v>510380.79336538468</v>
      </c>
      <c r="S11" s="256">
        <f t="shared" si="7"/>
        <v>7283096.8853974789</v>
      </c>
      <c r="T11" s="256">
        <v>15670</v>
      </c>
      <c r="U11" s="256">
        <v>13</v>
      </c>
      <c r="V11" s="256">
        <v>3429806.3555595707</v>
      </c>
      <c r="W11" s="256">
        <f>IFERROR(VLOOKUP($B11-1,CDM!$L$7:$T$18,6,FALSE)/12,0)+IFERROR(VLOOKUP($B11,CDM!$L$36:$T$46,6,FALSE)/24,0)+IFERROR(VLOOKUP($B11,CDM!$L$36:$T$46,6,FALSE)/2*$C11/78,0)</f>
        <v>0</v>
      </c>
      <c r="X11" s="256">
        <f t="shared" si="8"/>
        <v>3429806.3555595707</v>
      </c>
      <c r="Y11" s="256">
        <v>8100</v>
      </c>
      <c r="Z11" s="256">
        <v>1</v>
      </c>
      <c r="AA11" s="4">
        <v>883716.36472062371</v>
      </c>
      <c r="AB11" s="4">
        <v>2205</v>
      </c>
      <c r="AC11" s="256">
        <v>12884</v>
      </c>
      <c r="AD11" s="256">
        <v>2239.3858477970625</v>
      </c>
      <c r="AE11" s="256">
        <v>0</v>
      </c>
      <c r="AF11" s="256">
        <v>25</v>
      </c>
      <c r="AG11" s="4">
        <v>210167</v>
      </c>
      <c r="AH11" s="4">
        <v>244</v>
      </c>
      <c r="AI11" s="28">
        <f>Economic!H13</f>
        <v>727609.6</v>
      </c>
      <c r="AJ11" s="28">
        <f>Economic!I13</f>
        <v>557474</v>
      </c>
      <c r="AK11" s="28">
        <f>Economic!J13</f>
        <v>49299.3</v>
      </c>
      <c r="AL11" s="28">
        <f>Economic!K13</f>
        <v>737784</v>
      </c>
      <c r="AM11" s="28">
        <f>Economic!L13</f>
        <v>564056</v>
      </c>
      <c r="AN11" s="28">
        <f>Economic!M13</f>
        <v>29355</v>
      </c>
      <c r="AO11" s="28">
        <f>Economic!D13</f>
        <v>6892.9</v>
      </c>
      <c r="AP11" s="28">
        <f>Economic!E13</f>
        <v>6932.8</v>
      </c>
      <c r="AQ11" s="28">
        <f>Economic!F13</f>
        <v>187.1</v>
      </c>
      <c r="AR11" s="28">
        <f>Economic!G13</f>
        <v>187.5</v>
      </c>
      <c r="AS11" s="28">
        <f>Economic!N13</f>
        <v>0</v>
      </c>
      <c r="AT11" s="28">
        <f>Economic!O13</f>
        <v>0</v>
      </c>
      <c r="AU11" s="28">
        <f>Economic!P13</f>
        <v>0</v>
      </c>
      <c r="AV11" s="28">
        <f>Economic!Q13</f>
        <v>0</v>
      </c>
      <c r="AW11" s="28">
        <f>Economic!R13</f>
        <v>0</v>
      </c>
      <c r="AX11" s="28">
        <f>Economic!S13</f>
        <v>7443</v>
      </c>
      <c r="AY11" s="7">
        <f>Weather!D11</f>
        <v>9.0649193548387093</v>
      </c>
      <c r="AZ11" s="7">
        <f>Weather!E11</f>
        <v>338.98750000000007</v>
      </c>
      <c r="BA11" s="7">
        <f>Weather!F11</f>
        <v>0</v>
      </c>
      <c r="BB11" s="7">
        <f>Weather!G11</f>
        <v>276.98750000000001</v>
      </c>
      <c r="BC11" s="7">
        <f>Weather!H11</f>
        <v>0</v>
      </c>
      <c r="BD11" s="7">
        <f>Weather!I11</f>
        <v>215.98749999999998</v>
      </c>
      <c r="BE11" s="7">
        <f>Weather!J11</f>
        <v>1</v>
      </c>
      <c r="BF11" s="7">
        <f>Weather!K11</f>
        <v>157.34583333333333</v>
      </c>
      <c r="BG11" s="7">
        <f>Weather!L11</f>
        <v>4.3583333333333325</v>
      </c>
      <c r="BH11" s="7">
        <f>Weather!M11</f>
        <v>104.88333333333331</v>
      </c>
      <c r="BI11" s="7">
        <f>Weather!N11</f>
        <v>13.895833333333337</v>
      </c>
      <c r="BJ11" s="7">
        <f>Weather!O11</f>
        <v>61.262500000000003</v>
      </c>
      <c r="BK11" s="7">
        <f>Weather!P11</f>
        <v>32.275000000000006</v>
      </c>
      <c r="BL11" s="7">
        <f>Weather!Q11</f>
        <v>33.92916666666666</v>
      </c>
      <c r="BM11" s="7">
        <f>Weather!R11</f>
        <v>66.941666666666677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</v>
      </c>
      <c r="BX11" s="1">
        <v>0</v>
      </c>
      <c r="BY11" s="1">
        <v>0</v>
      </c>
      <c r="BZ11" s="1">
        <v>0</v>
      </c>
      <c r="CA11" s="1">
        <v>1</v>
      </c>
      <c r="CB11" s="1">
        <v>1</v>
      </c>
      <c r="CC11" s="1">
        <f t="shared" si="9"/>
        <v>10</v>
      </c>
      <c r="CD11" s="1">
        <v>31</v>
      </c>
      <c r="CE11" s="1">
        <v>21</v>
      </c>
      <c r="CF11" s="1">
        <v>0</v>
      </c>
      <c r="CG11" s="1">
        <v>0</v>
      </c>
      <c r="CH11" s="1">
        <v>0</v>
      </c>
      <c r="CI11" s="1">
        <v>0</v>
      </c>
      <c r="CJ11" s="1">
        <f t="shared" si="12"/>
        <v>0</v>
      </c>
      <c r="CK11" s="1">
        <f t="shared" si="12"/>
        <v>0</v>
      </c>
      <c r="CL11" s="1">
        <f t="shared" si="12"/>
        <v>0</v>
      </c>
      <c r="CM11" s="1">
        <f t="shared" si="10"/>
        <v>0</v>
      </c>
      <c r="CN11" s="1">
        <f t="shared" si="10"/>
        <v>0</v>
      </c>
      <c r="CO11" s="1">
        <f t="shared" si="10"/>
        <v>0</v>
      </c>
      <c r="CP11" s="1">
        <f t="shared" si="10"/>
        <v>0</v>
      </c>
      <c r="CQ11" s="1">
        <f t="shared" si="10"/>
        <v>0</v>
      </c>
      <c r="CR11" s="1">
        <f t="shared" si="10"/>
        <v>0</v>
      </c>
      <c r="CS11" s="1">
        <f t="shared" si="10"/>
        <v>0</v>
      </c>
      <c r="CT11" s="1">
        <f t="shared" si="10"/>
        <v>0</v>
      </c>
      <c r="CU11" s="1">
        <f t="shared" si="10"/>
        <v>0</v>
      </c>
      <c r="CV11" s="1">
        <f t="shared" si="10"/>
        <v>0</v>
      </c>
      <c r="CW11" s="1">
        <f t="shared" si="10"/>
        <v>0</v>
      </c>
      <c r="CX11" s="1">
        <f t="shared" si="13"/>
        <v>0</v>
      </c>
      <c r="CY11" s="1">
        <f t="shared" si="13"/>
        <v>0</v>
      </c>
      <c r="CZ11" s="1">
        <f t="shared" si="13"/>
        <v>0</v>
      </c>
      <c r="DA11" s="1">
        <f t="shared" si="11"/>
        <v>0</v>
      </c>
      <c r="DB11" s="1">
        <f t="shared" si="11"/>
        <v>0</v>
      </c>
      <c r="DC11" s="1">
        <f t="shared" si="11"/>
        <v>0</v>
      </c>
      <c r="DD11" s="1">
        <f t="shared" si="11"/>
        <v>0</v>
      </c>
      <c r="DE11" s="1">
        <f t="shared" si="11"/>
        <v>0</v>
      </c>
      <c r="DF11" s="1">
        <f t="shared" si="11"/>
        <v>0</v>
      </c>
      <c r="DG11" s="1">
        <f t="shared" si="11"/>
        <v>0</v>
      </c>
      <c r="DH11" s="1">
        <f t="shared" si="11"/>
        <v>0</v>
      </c>
      <c r="DI11" s="1">
        <f t="shared" si="11"/>
        <v>0</v>
      </c>
      <c r="DJ11" s="1">
        <f t="shared" si="11"/>
        <v>0</v>
      </c>
      <c r="DK11" s="1">
        <f t="shared" si="11"/>
        <v>0</v>
      </c>
      <c r="DL11" s="25">
        <v>0</v>
      </c>
      <c r="DM11" s="25">
        <v>0</v>
      </c>
      <c r="DN11" s="24"/>
      <c r="DO11" s="25"/>
      <c r="DP11" s="25"/>
      <c r="DQ11" s="25"/>
      <c r="DR11" s="25"/>
      <c r="DS11" s="25"/>
      <c r="DT11" s="25"/>
      <c r="DU11" s="25"/>
      <c r="DV11" s="25"/>
    </row>
    <row r="12" spans="1:126" x14ac:dyDescent="0.25">
      <c r="A12" s="252">
        <v>42309</v>
      </c>
      <c r="B12" s="253">
        <f t="shared" si="0"/>
        <v>2015</v>
      </c>
      <c r="C12" s="253">
        <f t="shared" si="1"/>
        <v>11</v>
      </c>
      <c r="D12" s="254">
        <v>35832898.961962841</v>
      </c>
      <c r="E12" s="254">
        <f>IFERROR(VLOOKUP($B12-1,CDM!$L$7:$T$18,2,FALSE)/12,0)+IFERROR(VLOOKUP($B12,CDM!$L$36:$T$46,2,FALSE)/24,0)+IFERROR(VLOOKUP($B12,CDM!$L$36:$T$46,2,FALSE)/2*$C12/78,0)</f>
        <v>195849.56730769231</v>
      </c>
      <c r="F12" s="254">
        <f t="shared" si="2"/>
        <v>36028748.529270537</v>
      </c>
      <c r="G12" s="255">
        <v>50997</v>
      </c>
      <c r="H12" s="254">
        <v>10589887.518140785</v>
      </c>
      <c r="I12" s="254">
        <f>IFERROR(VLOOKUP($B12-1,CDM!$L$7:$T$18,3,FALSE)/12,0)+IFERROR(VLOOKUP($B12,CDM!$L$36:$T$46,3,FALSE)/24,0)+IFERROR(VLOOKUP($B12,CDM!$L$36:$T$46,3,FALSE)/2*$C12/78,0)</f>
        <v>57786.752243589748</v>
      </c>
      <c r="J12" s="254">
        <f t="shared" si="6"/>
        <v>10647674.270384375</v>
      </c>
      <c r="K12" s="256">
        <v>4065</v>
      </c>
      <c r="L12" s="4">
        <v>27017081.803365063</v>
      </c>
      <c r="M12" s="257">
        <f>IFERROR(VLOOKUP($B12-1,CDM!$L$7:$T$18,4,FALSE)/12,0)+IFERROR(VLOOKUP($B12,CDM!$L$36:$T$46,4,FALSE)/24,0)+IFERROR(VLOOKUP($B12,CDM!$L$36:$T$46,4,FALSE)/2*$C12/78,0)</f>
        <v>80597.312339743599</v>
      </c>
      <c r="N12" s="254">
        <f t="shared" si="3"/>
        <v>27097679.115704805</v>
      </c>
      <c r="O12" s="4">
        <v>67615</v>
      </c>
      <c r="P12" s="256">
        <v>513</v>
      </c>
      <c r="Q12" s="256">
        <v>6520800.63230542</v>
      </c>
      <c r="R12" s="256">
        <f>IFERROR(VLOOKUP($B12-1,CDM!$L$7:$T$18,5,FALSE)/12,0)+IFERROR(VLOOKUP($B12,CDM!$L$36:$T$46,5,FALSE)/24,0)+IFERROR(VLOOKUP($B12,CDM!$L$36:$T$46,5,FALSE)/2*$C12/78,0)</f>
        <v>541312.96266025642</v>
      </c>
      <c r="S12" s="256">
        <f t="shared" si="7"/>
        <v>7062113.5949656768</v>
      </c>
      <c r="T12" s="256">
        <v>15370</v>
      </c>
      <c r="U12" s="256">
        <v>13</v>
      </c>
      <c r="V12" s="256">
        <v>3420382.304454477</v>
      </c>
      <c r="W12" s="256">
        <f>IFERROR(VLOOKUP($B12-1,CDM!$L$7:$T$18,6,FALSE)/12,0)+IFERROR(VLOOKUP($B12,CDM!$L$36:$T$46,6,FALSE)/24,0)+IFERROR(VLOOKUP($B12,CDM!$L$36:$T$46,6,FALSE)/2*$C12/78,0)</f>
        <v>0</v>
      </c>
      <c r="X12" s="256">
        <f t="shared" si="8"/>
        <v>3420382.304454477</v>
      </c>
      <c r="Y12" s="256">
        <v>8314</v>
      </c>
      <c r="Z12" s="256">
        <v>1</v>
      </c>
      <c r="AA12" s="4">
        <v>944430.90620128845</v>
      </c>
      <c r="AB12" s="4">
        <v>2223</v>
      </c>
      <c r="AC12" s="256">
        <v>12884</v>
      </c>
      <c r="AD12" s="256">
        <v>2134.3887087545299</v>
      </c>
      <c r="AE12" s="256">
        <v>0</v>
      </c>
      <c r="AF12" s="256">
        <v>25</v>
      </c>
      <c r="AG12" s="4">
        <v>208593</v>
      </c>
      <c r="AH12" s="4">
        <v>244</v>
      </c>
      <c r="AI12" s="28">
        <f>Economic!H14</f>
        <v>727609.6</v>
      </c>
      <c r="AJ12" s="28">
        <f>Economic!I14</f>
        <v>557474</v>
      </c>
      <c r="AK12" s="28">
        <f>Economic!J14</f>
        <v>49299.3</v>
      </c>
      <c r="AL12" s="28">
        <f>Economic!K14</f>
        <v>737784</v>
      </c>
      <c r="AM12" s="28">
        <f>Economic!L14</f>
        <v>564056</v>
      </c>
      <c r="AN12" s="28">
        <f>Economic!M14</f>
        <v>29355</v>
      </c>
      <c r="AO12" s="28">
        <f>Economic!D14</f>
        <v>6886.2</v>
      </c>
      <c r="AP12" s="28">
        <f>Economic!E14</f>
        <v>6898.2</v>
      </c>
      <c r="AQ12" s="28">
        <f>Economic!F14</f>
        <v>192.5</v>
      </c>
      <c r="AR12" s="28">
        <f>Economic!G14</f>
        <v>192.1</v>
      </c>
      <c r="AS12" s="28">
        <f>Economic!N14</f>
        <v>0</v>
      </c>
      <c r="AT12" s="28">
        <f>Economic!O14</f>
        <v>0</v>
      </c>
      <c r="AU12" s="28">
        <f>Economic!P14</f>
        <v>0</v>
      </c>
      <c r="AV12" s="28">
        <f>Economic!Q14</f>
        <v>0</v>
      </c>
      <c r="AW12" s="28">
        <f>Economic!R14</f>
        <v>0</v>
      </c>
      <c r="AX12" s="28">
        <f>Economic!S14</f>
        <v>7443</v>
      </c>
      <c r="AY12" s="7">
        <f>Weather!D12</f>
        <v>5.6076388888888893</v>
      </c>
      <c r="AZ12" s="7">
        <f>Weather!E12</f>
        <v>431.77083333333331</v>
      </c>
      <c r="BA12" s="7">
        <f>Weather!F12</f>
        <v>0</v>
      </c>
      <c r="BB12" s="7">
        <f>Weather!G12</f>
        <v>371.77083333333326</v>
      </c>
      <c r="BC12" s="7">
        <f>Weather!H12</f>
        <v>0</v>
      </c>
      <c r="BD12" s="7">
        <f>Weather!I12</f>
        <v>311.77083333333331</v>
      </c>
      <c r="BE12" s="7">
        <f>Weather!J12</f>
        <v>0</v>
      </c>
      <c r="BF12" s="7">
        <f>Weather!K12</f>
        <v>252.04166666666663</v>
      </c>
      <c r="BG12" s="7">
        <f>Weather!L12</f>
        <v>0.27083333333333393</v>
      </c>
      <c r="BH12" s="7">
        <f>Weather!M12</f>
        <v>195.30833333333331</v>
      </c>
      <c r="BI12" s="7">
        <f>Weather!N12</f>
        <v>3.5374999999999979</v>
      </c>
      <c r="BJ12" s="7">
        <f>Weather!O12</f>
        <v>143.67916666666665</v>
      </c>
      <c r="BK12" s="7">
        <f>Weather!P12</f>
        <v>11.908333333333333</v>
      </c>
      <c r="BL12" s="7">
        <f>Weather!Q12</f>
        <v>99.970833333333317</v>
      </c>
      <c r="BM12" s="7">
        <f>Weather!R12</f>
        <v>28.199999999999996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1</v>
      </c>
      <c r="CB12" s="1">
        <v>1</v>
      </c>
      <c r="CC12" s="1">
        <f t="shared" si="9"/>
        <v>11</v>
      </c>
      <c r="CD12" s="1">
        <v>30</v>
      </c>
      <c r="CE12" s="1">
        <v>21</v>
      </c>
      <c r="CF12" s="1">
        <v>0</v>
      </c>
      <c r="CG12" s="1">
        <v>0</v>
      </c>
      <c r="CH12" s="1">
        <v>0</v>
      </c>
      <c r="CI12" s="1">
        <v>0</v>
      </c>
      <c r="CJ12" s="1">
        <f t="shared" si="12"/>
        <v>0</v>
      </c>
      <c r="CK12" s="1">
        <f t="shared" si="12"/>
        <v>0</v>
      </c>
      <c r="CL12" s="1">
        <f t="shared" si="12"/>
        <v>0</v>
      </c>
      <c r="CM12" s="1">
        <f t="shared" si="10"/>
        <v>0</v>
      </c>
      <c r="CN12" s="1">
        <f t="shared" si="10"/>
        <v>0</v>
      </c>
      <c r="CO12" s="1">
        <f t="shared" si="10"/>
        <v>0</v>
      </c>
      <c r="CP12" s="1">
        <f t="shared" si="10"/>
        <v>0</v>
      </c>
      <c r="CQ12" s="1">
        <f t="shared" si="10"/>
        <v>0</v>
      </c>
      <c r="CR12" s="1">
        <f t="shared" si="10"/>
        <v>0</v>
      </c>
      <c r="CS12" s="1">
        <f t="shared" si="10"/>
        <v>0</v>
      </c>
      <c r="CT12" s="1">
        <f t="shared" si="10"/>
        <v>0</v>
      </c>
      <c r="CU12" s="1">
        <f t="shared" si="10"/>
        <v>0</v>
      </c>
      <c r="CV12" s="1">
        <f t="shared" si="10"/>
        <v>0</v>
      </c>
      <c r="CW12" s="1">
        <f t="shared" si="10"/>
        <v>0</v>
      </c>
      <c r="CX12" s="1">
        <f t="shared" si="13"/>
        <v>0</v>
      </c>
      <c r="CY12" s="1">
        <f t="shared" si="13"/>
        <v>0</v>
      </c>
      <c r="CZ12" s="1">
        <f t="shared" si="13"/>
        <v>0</v>
      </c>
      <c r="DA12" s="1">
        <f t="shared" si="11"/>
        <v>0</v>
      </c>
      <c r="DB12" s="1">
        <f t="shared" si="11"/>
        <v>0</v>
      </c>
      <c r="DC12" s="1">
        <f t="shared" si="11"/>
        <v>0</v>
      </c>
      <c r="DD12" s="1">
        <f t="shared" si="11"/>
        <v>0</v>
      </c>
      <c r="DE12" s="1">
        <f t="shared" si="11"/>
        <v>0</v>
      </c>
      <c r="DF12" s="1">
        <f t="shared" si="11"/>
        <v>0</v>
      </c>
      <c r="DG12" s="1">
        <f t="shared" si="11"/>
        <v>0</v>
      </c>
      <c r="DH12" s="1">
        <f t="shared" si="11"/>
        <v>0</v>
      </c>
      <c r="DI12" s="1">
        <f t="shared" si="11"/>
        <v>0</v>
      </c>
      <c r="DJ12" s="1">
        <f t="shared" si="11"/>
        <v>0</v>
      </c>
      <c r="DK12" s="1">
        <f t="shared" si="11"/>
        <v>0</v>
      </c>
      <c r="DL12" s="25">
        <v>0</v>
      </c>
      <c r="DM12" s="25">
        <v>0</v>
      </c>
      <c r="DN12" s="24"/>
      <c r="DO12" s="25"/>
      <c r="DP12" s="25"/>
      <c r="DQ12" s="25"/>
      <c r="DR12" s="25"/>
      <c r="DS12" s="25"/>
      <c r="DT12" s="25"/>
      <c r="DU12" s="25"/>
      <c r="DV12" s="25"/>
    </row>
    <row r="13" spans="1:126" x14ac:dyDescent="0.25">
      <c r="A13" s="252">
        <v>42339</v>
      </c>
      <c r="B13" s="253">
        <f t="shared" si="0"/>
        <v>2015</v>
      </c>
      <c r="C13" s="253">
        <f t="shared" si="1"/>
        <v>12</v>
      </c>
      <c r="D13" s="254">
        <v>39899646.775450043</v>
      </c>
      <c r="E13" s="254">
        <f>IFERROR(VLOOKUP($B13-1,CDM!$L$7:$T$18,2,FALSE)/12,0)+IFERROR(VLOOKUP($B13,CDM!$L$36:$T$46,2,FALSE)/24,0)+IFERROR(VLOOKUP($B13,CDM!$L$36:$T$46,2,FALSE)/2*$C13/78,0)</f>
        <v>207040.97115384616</v>
      </c>
      <c r="F13" s="254">
        <f t="shared" si="2"/>
        <v>40106687.746603891</v>
      </c>
      <c r="G13" s="255">
        <v>51467</v>
      </c>
      <c r="H13" s="254">
        <v>11119415.598300742</v>
      </c>
      <c r="I13" s="254">
        <f>IFERROR(VLOOKUP($B13-1,CDM!$L$7:$T$18,3,FALSE)/12,0)+IFERROR(VLOOKUP($B13,CDM!$L$36:$T$46,3,FALSE)/24,0)+IFERROR(VLOOKUP($B13,CDM!$L$36:$T$46,3,FALSE)/2*$C13/78,0)</f>
        <v>61088.85237179487</v>
      </c>
      <c r="J13" s="254">
        <f t="shared" si="6"/>
        <v>11180504.450672537</v>
      </c>
      <c r="K13" s="256">
        <v>4074</v>
      </c>
      <c r="L13" s="4">
        <v>28870990.368448723</v>
      </c>
      <c r="M13" s="257">
        <f>IFERROR(VLOOKUP($B13-1,CDM!$L$7:$T$18,4,FALSE)/12,0)+IFERROR(VLOOKUP($B13,CDM!$L$36:$T$46,4,FALSE)/24,0)+IFERROR(VLOOKUP($B13,CDM!$L$36:$T$46,4,FALSE)/2*$C13/78,0)</f>
        <v>85202.873044871798</v>
      </c>
      <c r="N13" s="254">
        <f t="shared" si="3"/>
        <v>28956193.241493594</v>
      </c>
      <c r="O13" s="4">
        <v>69486</v>
      </c>
      <c r="P13" s="256">
        <v>512</v>
      </c>
      <c r="Q13" s="256">
        <v>5861685.8259207951</v>
      </c>
      <c r="R13" s="256">
        <f>IFERROR(VLOOKUP($B13-1,CDM!$L$7:$T$18,5,FALSE)/12,0)+IFERROR(VLOOKUP($B13,CDM!$L$36:$T$46,5,FALSE)/24,0)+IFERROR(VLOOKUP($B13,CDM!$L$36:$T$46,5,FALSE)/2*$C13/78,0)</f>
        <v>572245.13195512828</v>
      </c>
      <c r="S13" s="256">
        <f t="shared" si="7"/>
        <v>6433930.9578759233</v>
      </c>
      <c r="T13" s="256">
        <v>13737</v>
      </c>
      <c r="U13" s="256">
        <v>13</v>
      </c>
      <c r="V13" s="256">
        <v>2994161.9424792021</v>
      </c>
      <c r="W13" s="256">
        <f>IFERROR(VLOOKUP($B13-1,CDM!$L$7:$T$18,6,FALSE)/12,0)+IFERROR(VLOOKUP($B13,CDM!$L$36:$T$46,6,FALSE)/24,0)+IFERROR(VLOOKUP($B13,CDM!$L$36:$T$46,6,FALSE)/2*$C13/78,0)</f>
        <v>0</v>
      </c>
      <c r="X13" s="256">
        <f t="shared" si="8"/>
        <v>2994161.9424792021</v>
      </c>
      <c r="Y13" s="256">
        <v>6784</v>
      </c>
      <c r="Z13" s="256">
        <v>1</v>
      </c>
      <c r="AA13" s="4">
        <v>1026564.3720836263</v>
      </c>
      <c r="AB13" s="4">
        <v>2223</v>
      </c>
      <c r="AC13" s="256">
        <v>12884</v>
      </c>
      <c r="AD13" s="256">
        <v>2217.7570093457939</v>
      </c>
      <c r="AE13" s="256">
        <v>100</v>
      </c>
      <c r="AF13" s="256">
        <v>25</v>
      </c>
      <c r="AG13" s="4">
        <v>208007</v>
      </c>
      <c r="AH13" s="4">
        <v>245</v>
      </c>
      <c r="AI13" s="28">
        <f>Economic!H15</f>
        <v>727609.6</v>
      </c>
      <c r="AJ13" s="28">
        <f>Economic!I15</f>
        <v>557474</v>
      </c>
      <c r="AK13" s="28">
        <f>Economic!J15</f>
        <v>49299.3</v>
      </c>
      <c r="AL13" s="28">
        <f>Economic!K15</f>
        <v>737784</v>
      </c>
      <c r="AM13" s="28">
        <f>Economic!L15</f>
        <v>564056</v>
      </c>
      <c r="AN13" s="28">
        <f>Economic!M15</f>
        <v>29355</v>
      </c>
      <c r="AO13" s="28">
        <f>Economic!D15</f>
        <v>6895.6</v>
      </c>
      <c r="AP13" s="28">
        <f>Economic!E15</f>
        <v>6902.3</v>
      </c>
      <c r="AQ13" s="28">
        <f>Economic!F15</f>
        <v>199.4</v>
      </c>
      <c r="AR13" s="28">
        <f>Economic!G15</f>
        <v>199.5</v>
      </c>
      <c r="AS13" s="28">
        <f>Economic!N15</f>
        <v>0</v>
      </c>
      <c r="AT13" s="28">
        <f>Economic!O15</f>
        <v>0</v>
      </c>
      <c r="AU13" s="28">
        <f>Economic!P15</f>
        <v>0</v>
      </c>
      <c r="AV13" s="28">
        <f>Economic!Q15</f>
        <v>0</v>
      </c>
      <c r="AW13" s="28">
        <f>Economic!R15</f>
        <v>0</v>
      </c>
      <c r="AX13" s="28">
        <f>Economic!S15</f>
        <v>7443</v>
      </c>
      <c r="AY13" s="7">
        <f>Weather!D13</f>
        <v>3.8830352968676944</v>
      </c>
      <c r="AZ13" s="7">
        <f>Weather!E13</f>
        <v>499.62590579710155</v>
      </c>
      <c r="BA13" s="7">
        <f>Weather!F13</f>
        <v>0</v>
      </c>
      <c r="BB13" s="7">
        <f>Weather!G13</f>
        <v>437.62590579710155</v>
      </c>
      <c r="BC13" s="7">
        <f>Weather!H13</f>
        <v>0</v>
      </c>
      <c r="BD13" s="7">
        <f>Weather!I13</f>
        <v>375.6259057971015</v>
      </c>
      <c r="BE13" s="7">
        <f>Weather!J13</f>
        <v>0</v>
      </c>
      <c r="BF13" s="7">
        <f>Weather!K13</f>
        <v>313.62590579710144</v>
      </c>
      <c r="BG13" s="7">
        <f>Weather!L13</f>
        <v>0</v>
      </c>
      <c r="BH13" s="7">
        <f>Weather!M13</f>
        <v>251.62590579710138</v>
      </c>
      <c r="BI13" s="7">
        <f>Weather!N13</f>
        <v>0</v>
      </c>
      <c r="BJ13" s="7">
        <f>Weather!O13</f>
        <v>190.49257246376811</v>
      </c>
      <c r="BK13" s="7">
        <f>Weather!P13</f>
        <v>0.86666666666666714</v>
      </c>
      <c r="BL13" s="7">
        <f>Weather!Q13</f>
        <v>134.45072463768119</v>
      </c>
      <c r="BM13" s="7">
        <f>Weather!R13</f>
        <v>6.8248188405797094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f t="shared" si="9"/>
        <v>12</v>
      </c>
      <c r="CD13" s="1">
        <v>31</v>
      </c>
      <c r="CE13" s="1">
        <v>21</v>
      </c>
      <c r="CF13" s="1">
        <v>0</v>
      </c>
      <c r="CG13" s="1">
        <v>0</v>
      </c>
      <c r="CH13" s="1">
        <v>0</v>
      </c>
      <c r="CI13" s="1">
        <v>0</v>
      </c>
      <c r="CJ13" s="1">
        <f t="shared" si="12"/>
        <v>0</v>
      </c>
      <c r="CK13" s="1">
        <f t="shared" si="12"/>
        <v>0</v>
      </c>
      <c r="CL13" s="1">
        <f t="shared" si="12"/>
        <v>0</v>
      </c>
      <c r="CM13" s="1">
        <f t="shared" si="10"/>
        <v>0</v>
      </c>
      <c r="CN13" s="1">
        <f t="shared" si="10"/>
        <v>0</v>
      </c>
      <c r="CO13" s="1">
        <f t="shared" si="10"/>
        <v>0</v>
      </c>
      <c r="CP13" s="1">
        <f t="shared" si="10"/>
        <v>0</v>
      </c>
      <c r="CQ13" s="1">
        <f t="shared" si="10"/>
        <v>0</v>
      </c>
      <c r="CR13" s="1">
        <f t="shared" si="10"/>
        <v>0</v>
      </c>
      <c r="CS13" s="1">
        <f t="shared" si="10"/>
        <v>0</v>
      </c>
      <c r="CT13" s="1">
        <f t="shared" si="10"/>
        <v>0</v>
      </c>
      <c r="CU13" s="1">
        <f t="shared" si="10"/>
        <v>0</v>
      </c>
      <c r="CV13" s="1">
        <f t="shared" si="10"/>
        <v>0</v>
      </c>
      <c r="CW13" s="1">
        <f t="shared" si="10"/>
        <v>0</v>
      </c>
      <c r="CX13" s="1">
        <f t="shared" si="13"/>
        <v>0</v>
      </c>
      <c r="CY13" s="1">
        <f t="shared" si="13"/>
        <v>0</v>
      </c>
      <c r="CZ13" s="1">
        <f t="shared" si="13"/>
        <v>0</v>
      </c>
      <c r="DA13" s="1">
        <f t="shared" si="11"/>
        <v>0</v>
      </c>
      <c r="DB13" s="1">
        <f t="shared" si="11"/>
        <v>0</v>
      </c>
      <c r="DC13" s="1">
        <f t="shared" si="11"/>
        <v>0</v>
      </c>
      <c r="DD13" s="1">
        <f t="shared" si="11"/>
        <v>0</v>
      </c>
      <c r="DE13" s="1">
        <f t="shared" si="11"/>
        <v>0</v>
      </c>
      <c r="DF13" s="1">
        <f t="shared" si="11"/>
        <v>0</v>
      </c>
      <c r="DG13" s="1">
        <f t="shared" si="11"/>
        <v>0</v>
      </c>
      <c r="DH13" s="1">
        <f t="shared" si="11"/>
        <v>0</v>
      </c>
      <c r="DI13" s="1">
        <f t="shared" si="11"/>
        <v>0</v>
      </c>
      <c r="DJ13" s="1">
        <f t="shared" si="11"/>
        <v>0</v>
      </c>
      <c r="DK13" s="1">
        <f t="shared" si="11"/>
        <v>0</v>
      </c>
      <c r="DL13" s="25">
        <v>0</v>
      </c>
      <c r="DM13" s="25">
        <v>0</v>
      </c>
      <c r="DN13" s="24"/>
      <c r="DO13" s="25"/>
      <c r="DP13" s="25"/>
      <c r="DQ13" s="25"/>
      <c r="DR13" s="25"/>
      <c r="DS13" s="25"/>
      <c r="DT13" s="25"/>
      <c r="DU13" s="25"/>
      <c r="DV13" s="25"/>
    </row>
    <row r="14" spans="1:126" x14ac:dyDescent="0.25">
      <c r="A14" s="252">
        <v>42370</v>
      </c>
      <c r="B14" s="253">
        <f t="shared" si="0"/>
        <v>2016</v>
      </c>
      <c r="C14" s="253">
        <f t="shared" si="1"/>
        <v>1</v>
      </c>
      <c r="D14" s="254">
        <v>44386362.312679194</v>
      </c>
      <c r="E14" s="254">
        <f>IFERROR(VLOOKUP($B14-1,CDM!$L$7:$T$18,2,FALSE)/12,0)+IFERROR(VLOOKUP($B14,CDM!$L$36:$T$46,2,FALSE)/24,0)+IFERROR(VLOOKUP($B14,CDM!$L$36:$T$46,2,FALSE)/2*$C14/78,0)</f>
        <v>452394.28365384619</v>
      </c>
      <c r="F14" s="254">
        <f t="shared" si="2"/>
        <v>44838756.596333042</v>
      </c>
      <c r="G14" s="255">
        <v>46218</v>
      </c>
      <c r="H14" s="254">
        <v>12455288.334168252</v>
      </c>
      <c r="I14" s="254">
        <f>IFERROR(VLOOKUP($B14-1,CDM!$L$7:$T$18,3,FALSE)/12,0)+IFERROR(VLOOKUP($B14,CDM!$L$36:$T$46,3,FALSE)/24,0)+IFERROR(VLOOKUP($B14,CDM!$L$36:$T$46,3,FALSE)/2*$C14/78,0)</f>
        <v>125963.04902243589</v>
      </c>
      <c r="J14" s="254">
        <f t="shared" si="6"/>
        <v>12581251.383190688</v>
      </c>
      <c r="K14" s="256">
        <v>4082</v>
      </c>
      <c r="L14" s="4">
        <v>32291321.907704063</v>
      </c>
      <c r="M14" s="257">
        <f>IFERROR(VLOOKUP($B14-1,CDM!$L$7:$T$18,4,FALSE)/12,0)+IFERROR(VLOOKUP($B14,CDM!$L$36:$T$46,4,FALSE)/24,0)+IFERROR(VLOOKUP($B14,CDM!$L$36:$T$46,4,FALSE)/2*$C14/78,0)</f>
        <v>133358.48435897438</v>
      </c>
      <c r="N14" s="254">
        <f t="shared" si="3"/>
        <v>32424680.392063037</v>
      </c>
      <c r="O14" s="4">
        <v>74516</v>
      </c>
      <c r="P14" s="256">
        <v>514</v>
      </c>
      <c r="Q14" s="256">
        <v>6656224.6018330352</v>
      </c>
      <c r="R14" s="256">
        <f>IFERROR(VLOOKUP($B14-1,CDM!$L$7:$T$18,5,FALSE)/12,0)+IFERROR(VLOOKUP($B14,CDM!$L$36:$T$46,5,FALSE)/24,0)+IFERROR(VLOOKUP($B14,CDM!$L$36:$T$46,5,FALSE)/2*$C14/78,0)</f>
        <v>648883.22943910258</v>
      </c>
      <c r="S14" s="256">
        <f t="shared" si="7"/>
        <v>7305107.8312721383</v>
      </c>
      <c r="T14" s="256">
        <v>15906</v>
      </c>
      <c r="U14" s="256">
        <v>13</v>
      </c>
      <c r="V14" s="256">
        <v>3215727.4106118553</v>
      </c>
      <c r="W14" s="256">
        <f>IFERROR(VLOOKUP($B14-1,CDM!$L$7:$T$18,6,FALSE)/12,0)+IFERROR(VLOOKUP($B14,CDM!$L$36:$T$46,6,FALSE)/24,0)+IFERROR(VLOOKUP($B14,CDM!$L$36:$T$46,6,FALSE)/2*$C14/78,0)</f>
        <v>0</v>
      </c>
      <c r="X14" s="256">
        <f t="shared" si="8"/>
        <v>3215727.4106118553</v>
      </c>
      <c r="Y14" s="256">
        <v>7182</v>
      </c>
      <c r="Z14" s="256">
        <v>1</v>
      </c>
      <c r="AA14" s="4">
        <v>1016805.2922737511</v>
      </c>
      <c r="AB14" s="4">
        <v>2223</v>
      </c>
      <c r="AC14" s="256">
        <v>12884</v>
      </c>
      <c r="AD14" s="256">
        <v>2179.9923707800876</v>
      </c>
      <c r="AE14" s="256">
        <v>0</v>
      </c>
      <c r="AF14" s="256">
        <v>23</v>
      </c>
      <c r="AG14" s="4">
        <v>208430</v>
      </c>
      <c r="AH14" s="4">
        <v>246</v>
      </c>
      <c r="AI14" s="28">
        <f>Economic!H16</f>
        <v>743976.2</v>
      </c>
      <c r="AJ14" s="28">
        <f>Economic!I16</f>
        <v>571846.40000000002</v>
      </c>
      <c r="AK14" s="28">
        <f>Economic!J16</f>
        <v>51922</v>
      </c>
      <c r="AL14" s="28">
        <f>Economic!K16</f>
        <v>743287</v>
      </c>
      <c r="AM14" s="28">
        <f>Economic!L16</f>
        <v>568664</v>
      </c>
      <c r="AN14" s="28">
        <f>Economic!M16</f>
        <v>29546</v>
      </c>
      <c r="AO14" s="28">
        <f>Economic!D16</f>
        <v>6908.4</v>
      </c>
      <c r="AP14" s="28">
        <f>Economic!E16</f>
        <v>6871.2</v>
      </c>
      <c r="AQ14" s="28">
        <f>Economic!F16</f>
        <v>204.2</v>
      </c>
      <c r="AR14" s="28">
        <f>Economic!G16</f>
        <v>203.8</v>
      </c>
      <c r="AS14" s="28">
        <f>Economic!N16</f>
        <v>57.299999999999272</v>
      </c>
      <c r="AT14" s="28">
        <f>Economic!O16</f>
        <v>61.5</v>
      </c>
      <c r="AU14" s="28">
        <f>Economic!P16</f>
        <v>2.2999999999999829</v>
      </c>
      <c r="AV14" s="28">
        <f>Economic!Q16</f>
        <v>2.2000000000000171</v>
      </c>
      <c r="AW14" s="28">
        <f>Economic!R16</f>
        <v>16366.599999999977</v>
      </c>
      <c r="AX14" s="28">
        <f>Economic!S16</f>
        <v>5503</v>
      </c>
      <c r="AY14" s="7">
        <f>Weather!D14</f>
        <v>-3.8025537634408595</v>
      </c>
      <c r="AZ14" s="7">
        <f>Weather!E14</f>
        <v>737.87916666666683</v>
      </c>
      <c r="BA14" s="7">
        <f>Weather!F14</f>
        <v>0</v>
      </c>
      <c r="BB14" s="7">
        <f>Weather!G14</f>
        <v>675.87916666666683</v>
      </c>
      <c r="BC14" s="7">
        <f>Weather!H14</f>
        <v>0</v>
      </c>
      <c r="BD14" s="7">
        <f>Weather!I14</f>
        <v>613.87916666666683</v>
      </c>
      <c r="BE14" s="7">
        <f>Weather!J14</f>
        <v>0</v>
      </c>
      <c r="BF14" s="7">
        <f>Weather!K14</f>
        <v>551.87916666666672</v>
      </c>
      <c r="BG14" s="7">
        <f>Weather!L14</f>
        <v>0</v>
      </c>
      <c r="BH14" s="7">
        <f>Weather!M14</f>
        <v>489.87916666666672</v>
      </c>
      <c r="BI14" s="7">
        <f>Weather!N14</f>
        <v>0</v>
      </c>
      <c r="BJ14" s="7">
        <f>Weather!O14</f>
        <v>427.87916666666672</v>
      </c>
      <c r="BK14" s="7">
        <f>Weather!P14</f>
        <v>0</v>
      </c>
      <c r="BL14" s="7">
        <f>Weather!Q14</f>
        <v>365.87916666666672</v>
      </c>
      <c r="BM14" s="7">
        <f>Weather!R14</f>
        <v>0</v>
      </c>
      <c r="BN14" s="1">
        <v>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f t="shared" si="9"/>
        <v>13</v>
      </c>
      <c r="CD14" s="1">
        <v>31</v>
      </c>
      <c r="CE14" s="1">
        <v>20</v>
      </c>
      <c r="CF14" s="1">
        <v>0</v>
      </c>
      <c r="CG14" s="1">
        <v>0</v>
      </c>
      <c r="CH14" s="1">
        <v>0</v>
      </c>
      <c r="CI14" s="1">
        <v>0</v>
      </c>
      <c r="CJ14" s="1">
        <f t="shared" si="12"/>
        <v>0</v>
      </c>
      <c r="CK14" s="1">
        <f t="shared" si="12"/>
        <v>0</v>
      </c>
      <c r="CL14" s="1">
        <f t="shared" si="12"/>
        <v>0</v>
      </c>
      <c r="CM14" s="1">
        <f t="shared" si="10"/>
        <v>0</v>
      </c>
      <c r="CN14" s="1">
        <f t="shared" si="10"/>
        <v>0</v>
      </c>
      <c r="CO14" s="1">
        <f t="shared" si="10"/>
        <v>0</v>
      </c>
      <c r="CP14" s="1">
        <f t="shared" si="10"/>
        <v>0</v>
      </c>
      <c r="CQ14" s="1">
        <f t="shared" si="10"/>
        <v>0</v>
      </c>
      <c r="CR14" s="1">
        <f t="shared" si="10"/>
        <v>0</v>
      </c>
      <c r="CS14" s="1">
        <f t="shared" si="10"/>
        <v>0</v>
      </c>
      <c r="CT14" s="1">
        <f t="shared" si="10"/>
        <v>0</v>
      </c>
      <c r="CU14" s="1">
        <f t="shared" si="10"/>
        <v>0</v>
      </c>
      <c r="CV14" s="1">
        <f t="shared" si="10"/>
        <v>0</v>
      </c>
      <c r="CW14" s="1">
        <f t="shared" si="10"/>
        <v>0</v>
      </c>
      <c r="CX14" s="1">
        <f t="shared" si="13"/>
        <v>0</v>
      </c>
      <c r="CY14" s="1">
        <f t="shared" si="13"/>
        <v>0</v>
      </c>
      <c r="CZ14" s="1">
        <f t="shared" si="13"/>
        <v>0</v>
      </c>
      <c r="DA14" s="1">
        <f t="shared" si="11"/>
        <v>0</v>
      </c>
      <c r="DB14" s="1">
        <f t="shared" si="11"/>
        <v>0</v>
      </c>
      <c r="DC14" s="1">
        <f t="shared" si="11"/>
        <v>0</v>
      </c>
      <c r="DD14" s="1">
        <f t="shared" si="11"/>
        <v>0</v>
      </c>
      <c r="DE14" s="1">
        <f t="shared" si="11"/>
        <v>0</v>
      </c>
      <c r="DF14" s="1">
        <f t="shared" si="11"/>
        <v>0</v>
      </c>
      <c r="DG14" s="1">
        <f t="shared" si="11"/>
        <v>0</v>
      </c>
      <c r="DH14" s="1">
        <f t="shared" si="11"/>
        <v>0</v>
      </c>
      <c r="DI14" s="1">
        <f t="shared" si="11"/>
        <v>0</v>
      </c>
      <c r="DJ14" s="1">
        <f t="shared" si="11"/>
        <v>0</v>
      </c>
      <c r="DK14" s="1">
        <f t="shared" si="11"/>
        <v>0</v>
      </c>
      <c r="DL14" s="25">
        <v>0</v>
      </c>
      <c r="DM14" s="25">
        <v>0</v>
      </c>
      <c r="DN14" s="24"/>
      <c r="DO14" s="25"/>
      <c r="DP14" s="25"/>
      <c r="DQ14" s="25"/>
      <c r="DR14" s="25"/>
      <c r="DS14" s="25"/>
      <c r="DT14" s="25"/>
      <c r="DU14" s="25"/>
      <c r="DV14" s="25"/>
    </row>
    <row r="15" spans="1:126" x14ac:dyDescent="0.25">
      <c r="A15" s="252">
        <v>42401</v>
      </c>
      <c r="B15" s="253">
        <f t="shared" si="0"/>
        <v>2016</v>
      </c>
      <c r="C15" s="253">
        <f t="shared" si="1"/>
        <v>2</v>
      </c>
      <c r="D15" s="254">
        <v>43734320.256438553</v>
      </c>
      <c r="E15" s="254">
        <f>IFERROR(VLOOKUP($B15-1,CDM!$L$7:$T$18,2,FALSE)/12,0)+IFERROR(VLOOKUP($B15,CDM!$L$36:$T$46,2,FALSE)/24,0)+IFERROR(VLOOKUP($B15,CDM!$L$36:$T$46,2,FALSE)/2*$C15/78,0)</f>
        <v>493315.08814102563</v>
      </c>
      <c r="F15" s="254">
        <f t="shared" si="2"/>
        <v>44227635.344579577</v>
      </c>
      <c r="G15" s="255">
        <v>46626</v>
      </c>
      <c r="H15" s="254">
        <v>11452894.789756672</v>
      </c>
      <c r="I15" s="254">
        <f>IFERROR(VLOOKUP($B15-1,CDM!$L$7:$T$18,3,FALSE)/12,0)+IFERROR(VLOOKUP($B15,CDM!$L$36:$T$46,3,FALSE)/24,0)+IFERROR(VLOOKUP($B15,CDM!$L$36:$T$46,3,FALSE)/2*$C15/78,0)</f>
        <v>137034.48200320514</v>
      </c>
      <c r="J15" s="254">
        <f t="shared" si="6"/>
        <v>11589929.271759877</v>
      </c>
      <c r="K15" s="256">
        <v>4129</v>
      </c>
      <c r="L15" s="4">
        <v>28739257.995051395</v>
      </c>
      <c r="M15" s="257">
        <f>IFERROR(VLOOKUP($B15-1,CDM!$L$7:$T$18,4,FALSE)/12,0)+IFERROR(VLOOKUP($B15,CDM!$L$36:$T$46,4,FALSE)/24,0)+IFERROR(VLOOKUP($B15,CDM!$L$36:$T$46,4,FALSE)/2*$C15/78,0)</f>
        <v>143156.64371794873</v>
      </c>
      <c r="N15" s="254">
        <f t="shared" si="3"/>
        <v>28882414.638769343</v>
      </c>
      <c r="O15" s="4">
        <v>73841</v>
      </c>
      <c r="P15" s="256">
        <v>513</v>
      </c>
      <c r="Q15" s="256">
        <v>6433452.6449275995</v>
      </c>
      <c r="R15" s="256">
        <f>IFERROR(VLOOKUP($B15-1,CDM!$L$7:$T$18,5,FALSE)/12,0)+IFERROR(VLOOKUP($B15,CDM!$L$36:$T$46,5,FALSE)/24,0)+IFERROR(VLOOKUP($B15,CDM!$L$36:$T$46,5,FALSE)/2*$C15/78,0)</f>
        <v>681785.23325320508</v>
      </c>
      <c r="S15" s="256">
        <f t="shared" si="7"/>
        <v>7115237.8781808047</v>
      </c>
      <c r="T15" s="256">
        <v>15204</v>
      </c>
      <c r="U15" s="256">
        <v>13</v>
      </c>
      <c r="V15" s="256">
        <v>3430298.1465842407</v>
      </c>
      <c r="W15" s="256">
        <f>IFERROR(VLOOKUP($B15-1,CDM!$L$7:$T$18,6,FALSE)/12,0)+IFERROR(VLOOKUP($B15,CDM!$L$36:$T$46,6,FALSE)/24,0)+IFERROR(VLOOKUP($B15,CDM!$L$36:$T$46,6,FALSE)/2*$C15/78,0)</f>
        <v>0</v>
      </c>
      <c r="X15" s="256">
        <f t="shared" si="8"/>
        <v>3430298.1465842407</v>
      </c>
      <c r="Y15" s="256">
        <v>8379</v>
      </c>
      <c r="Z15" s="256">
        <v>1</v>
      </c>
      <c r="AA15" s="4">
        <v>871555.61494234425</v>
      </c>
      <c r="AB15" s="4">
        <v>2223</v>
      </c>
      <c r="AC15" s="256">
        <v>12885</v>
      </c>
      <c r="AD15" s="256">
        <v>2088.7850467289718</v>
      </c>
      <c r="AE15" s="256">
        <v>0</v>
      </c>
      <c r="AF15" s="256">
        <v>23</v>
      </c>
      <c r="AG15" s="4">
        <v>209113</v>
      </c>
      <c r="AH15" s="4">
        <v>246</v>
      </c>
      <c r="AI15" s="28">
        <f>Economic!H17</f>
        <v>743976.2</v>
      </c>
      <c r="AJ15" s="28">
        <f>Economic!I17</f>
        <v>571846.40000000002</v>
      </c>
      <c r="AK15" s="28">
        <f>Economic!J17</f>
        <v>51922</v>
      </c>
      <c r="AL15" s="28">
        <f>Economic!K17</f>
        <v>743287</v>
      </c>
      <c r="AM15" s="28">
        <f>Economic!L17</f>
        <v>568664</v>
      </c>
      <c r="AN15" s="28">
        <f>Economic!M17</f>
        <v>29546</v>
      </c>
      <c r="AO15" s="28">
        <f>Economic!D17</f>
        <v>6922.3</v>
      </c>
      <c r="AP15" s="28">
        <f>Economic!E17</f>
        <v>6850.4</v>
      </c>
      <c r="AQ15" s="28">
        <f>Economic!F17</f>
        <v>205.6</v>
      </c>
      <c r="AR15" s="28">
        <f>Economic!G17</f>
        <v>204.2</v>
      </c>
      <c r="AS15" s="28">
        <f>Economic!N17</f>
        <v>63.100000000000364</v>
      </c>
      <c r="AT15" s="28">
        <f>Economic!O17</f>
        <v>67.699999999999818</v>
      </c>
      <c r="AU15" s="28">
        <f>Economic!P17</f>
        <v>5.4000000000000057</v>
      </c>
      <c r="AV15" s="28">
        <f>Economic!Q17</f>
        <v>5.3999999999999773</v>
      </c>
      <c r="AW15" s="28">
        <f>Economic!R17</f>
        <v>16366.599999999977</v>
      </c>
      <c r="AX15" s="28">
        <f>Economic!S17</f>
        <v>5503</v>
      </c>
      <c r="AY15" s="7">
        <f>Weather!D15</f>
        <v>-2.8175287356321834</v>
      </c>
      <c r="AZ15" s="7">
        <f>Weather!E15</f>
        <v>661.70833333333326</v>
      </c>
      <c r="BA15" s="7">
        <f>Weather!F15</f>
        <v>0</v>
      </c>
      <c r="BB15" s="7">
        <f>Weather!G15</f>
        <v>603.70833333333337</v>
      </c>
      <c r="BC15" s="7">
        <f>Weather!H15</f>
        <v>0</v>
      </c>
      <c r="BD15" s="7">
        <f>Weather!I15</f>
        <v>545.70833333333337</v>
      </c>
      <c r="BE15" s="7">
        <f>Weather!J15</f>
        <v>0</v>
      </c>
      <c r="BF15" s="7">
        <f>Weather!K15</f>
        <v>487.70833333333337</v>
      </c>
      <c r="BG15" s="7">
        <f>Weather!L15</f>
        <v>0</v>
      </c>
      <c r="BH15" s="7">
        <f>Weather!M15</f>
        <v>429.70833333333337</v>
      </c>
      <c r="BI15" s="7">
        <f>Weather!N15</f>
        <v>0</v>
      </c>
      <c r="BJ15" s="7">
        <f>Weather!O15</f>
        <v>371.70833333333337</v>
      </c>
      <c r="BK15" s="7">
        <f>Weather!P15</f>
        <v>0</v>
      </c>
      <c r="BL15" s="7">
        <f>Weather!Q15</f>
        <v>313.70833333333326</v>
      </c>
      <c r="BM15" s="7">
        <f>Weather!R15</f>
        <v>0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f t="shared" si="9"/>
        <v>14</v>
      </c>
      <c r="CD15" s="1">
        <v>29</v>
      </c>
      <c r="CE15" s="1">
        <v>20</v>
      </c>
      <c r="CF15" s="1">
        <v>0</v>
      </c>
      <c r="CG15" s="1">
        <v>0</v>
      </c>
      <c r="CH15" s="1">
        <v>0</v>
      </c>
      <c r="CI15" s="1">
        <v>0</v>
      </c>
      <c r="CJ15" s="1">
        <f t="shared" si="12"/>
        <v>0</v>
      </c>
      <c r="CK15" s="1">
        <f t="shared" si="12"/>
        <v>0</v>
      </c>
      <c r="CL15" s="1">
        <f t="shared" si="12"/>
        <v>0</v>
      </c>
      <c r="CM15" s="1">
        <f t="shared" si="10"/>
        <v>0</v>
      </c>
      <c r="CN15" s="1">
        <f t="shared" si="10"/>
        <v>0</v>
      </c>
      <c r="CO15" s="1">
        <f t="shared" si="10"/>
        <v>0</v>
      </c>
      <c r="CP15" s="1">
        <f t="shared" si="10"/>
        <v>0</v>
      </c>
      <c r="CQ15" s="1">
        <f t="shared" si="10"/>
        <v>0</v>
      </c>
      <c r="CR15" s="1">
        <f t="shared" si="10"/>
        <v>0</v>
      </c>
      <c r="CS15" s="1">
        <f t="shared" si="10"/>
        <v>0</v>
      </c>
      <c r="CT15" s="1">
        <f t="shared" si="10"/>
        <v>0</v>
      </c>
      <c r="CU15" s="1">
        <f t="shared" si="10"/>
        <v>0</v>
      </c>
      <c r="CV15" s="1">
        <f t="shared" si="10"/>
        <v>0</v>
      </c>
      <c r="CW15" s="1">
        <f t="shared" si="10"/>
        <v>0</v>
      </c>
      <c r="CX15" s="1">
        <f t="shared" si="13"/>
        <v>0</v>
      </c>
      <c r="CY15" s="1">
        <f t="shared" si="13"/>
        <v>0</v>
      </c>
      <c r="CZ15" s="1">
        <f t="shared" si="13"/>
        <v>0</v>
      </c>
      <c r="DA15" s="1">
        <f t="shared" si="11"/>
        <v>0</v>
      </c>
      <c r="DB15" s="1">
        <f t="shared" si="11"/>
        <v>0</v>
      </c>
      <c r="DC15" s="1">
        <f t="shared" si="11"/>
        <v>0</v>
      </c>
      <c r="DD15" s="1">
        <f t="shared" si="11"/>
        <v>0</v>
      </c>
      <c r="DE15" s="1">
        <f t="shared" si="11"/>
        <v>0</v>
      </c>
      <c r="DF15" s="1">
        <f t="shared" si="11"/>
        <v>0</v>
      </c>
      <c r="DG15" s="1">
        <f t="shared" si="11"/>
        <v>0</v>
      </c>
      <c r="DH15" s="1">
        <f t="shared" si="11"/>
        <v>0</v>
      </c>
      <c r="DI15" s="1">
        <f t="shared" si="11"/>
        <v>0</v>
      </c>
      <c r="DJ15" s="1">
        <f t="shared" si="11"/>
        <v>0</v>
      </c>
      <c r="DK15" s="1">
        <f t="shared" si="11"/>
        <v>0</v>
      </c>
      <c r="DL15" s="25">
        <v>0</v>
      </c>
      <c r="DM15" s="25">
        <v>0</v>
      </c>
      <c r="DN15" s="24"/>
      <c r="DO15" s="25"/>
      <c r="DP15" s="25"/>
      <c r="DQ15" s="25"/>
      <c r="DR15" s="25"/>
      <c r="DS15" s="25"/>
      <c r="DT15" s="25"/>
      <c r="DU15" s="25"/>
      <c r="DV15" s="25"/>
    </row>
    <row r="16" spans="1:126" x14ac:dyDescent="0.25">
      <c r="A16" s="252">
        <v>42430</v>
      </c>
      <c r="B16" s="253">
        <f t="shared" si="0"/>
        <v>2016</v>
      </c>
      <c r="C16" s="253">
        <f t="shared" si="1"/>
        <v>3</v>
      </c>
      <c r="D16" s="254">
        <v>37798147.748684831</v>
      </c>
      <c r="E16" s="254">
        <f>IFERROR(VLOOKUP($B16-1,CDM!$L$7:$T$18,2,FALSE)/12,0)+IFERROR(VLOOKUP($B16,CDM!$L$36:$T$46,2,FALSE)/24,0)+IFERROR(VLOOKUP($B16,CDM!$L$36:$T$46,2,FALSE)/2*$C16/78,0)</f>
        <v>534235.89262820513</v>
      </c>
      <c r="F16" s="254">
        <f t="shared" si="2"/>
        <v>38332383.641313039</v>
      </c>
      <c r="G16" s="255">
        <v>46976</v>
      </c>
      <c r="H16" s="254">
        <v>11531136.627395095</v>
      </c>
      <c r="I16" s="254">
        <f>IFERROR(VLOOKUP($B16-1,CDM!$L$7:$T$18,3,FALSE)/12,0)+IFERROR(VLOOKUP($B16,CDM!$L$36:$T$46,3,FALSE)/24,0)+IFERROR(VLOOKUP($B16,CDM!$L$36:$T$46,3,FALSE)/2*$C16/78,0)</f>
        <v>148105.91498397436</v>
      </c>
      <c r="J16" s="254">
        <f t="shared" si="6"/>
        <v>11679242.54237907</v>
      </c>
      <c r="K16" s="256">
        <v>4147</v>
      </c>
      <c r="L16" s="4">
        <v>30918084.507295061</v>
      </c>
      <c r="M16" s="257">
        <f>IFERROR(VLOOKUP($B16-1,CDM!$L$7:$T$18,4,FALSE)/12,0)+IFERROR(VLOOKUP($B16,CDM!$L$36:$T$46,4,FALSE)/24,0)+IFERROR(VLOOKUP($B16,CDM!$L$36:$T$46,4,FALSE)/2*$C16/78,0)</f>
        <v>152954.8030769231</v>
      </c>
      <c r="N16" s="254">
        <f t="shared" si="3"/>
        <v>31071039.310371984</v>
      </c>
      <c r="O16" s="4">
        <v>71764</v>
      </c>
      <c r="P16" s="256">
        <v>515</v>
      </c>
      <c r="Q16" s="256">
        <v>6536789.6001154371</v>
      </c>
      <c r="R16" s="256">
        <f>IFERROR(VLOOKUP($B16-1,CDM!$L$7:$T$18,5,FALSE)/12,0)+IFERROR(VLOOKUP($B16,CDM!$L$36:$T$46,5,FALSE)/24,0)+IFERROR(VLOOKUP($B16,CDM!$L$36:$T$46,5,FALSE)/2*$C16/78,0)</f>
        <v>714687.23706730758</v>
      </c>
      <c r="S16" s="256">
        <f t="shared" si="7"/>
        <v>7251476.8371827444</v>
      </c>
      <c r="T16" s="256">
        <v>15707</v>
      </c>
      <c r="U16" s="256">
        <v>13</v>
      </c>
      <c r="V16" s="256">
        <v>3622320.7069886015</v>
      </c>
      <c r="W16" s="256">
        <f>IFERROR(VLOOKUP($B16-1,CDM!$L$7:$T$18,6,FALSE)/12,0)+IFERROR(VLOOKUP($B16,CDM!$L$36:$T$46,6,FALSE)/24,0)+IFERROR(VLOOKUP($B16,CDM!$L$36:$T$46,6,FALSE)/2*$C16/78,0)</f>
        <v>0</v>
      </c>
      <c r="X16" s="256">
        <f t="shared" si="8"/>
        <v>3622320.7069886015</v>
      </c>
      <c r="Y16" s="256">
        <v>7514</v>
      </c>
      <c r="Z16" s="256">
        <v>1</v>
      </c>
      <c r="AA16" s="4">
        <v>845643.79407631233</v>
      </c>
      <c r="AB16" s="4">
        <v>2223</v>
      </c>
      <c r="AC16" s="256">
        <v>12890</v>
      </c>
      <c r="AD16" s="256">
        <v>2130.555025748617</v>
      </c>
      <c r="AE16" s="256">
        <v>0</v>
      </c>
      <c r="AF16" s="256">
        <v>23</v>
      </c>
      <c r="AG16" s="4">
        <v>208700</v>
      </c>
      <c r="AH16" s="4">
        <v>246</v>
      </c>
      <c r="AI16" s="28">
        <f>Economic!H18</f>
        <v>743976.2</v>
      </c>
      <c r="AJ16" s="28">
        <f>Economic!I18</f>
        <v>571846.40000000002</v>
      </c>
      <c r="AK16" s="28">
        <f>Economic!J18</f>
        <v>51922</v>
      </c>
      <c r="AL16" s="28">
        <f>Economic!K18</f>
        <v>743287</v>
      </c>
      <c r="AM16" s="28">
        <f>Economic!L18</f>
        <v>568664</v>
      </c>
      <c r="AN16" s="28">
        <f>Economic!M18</f>
        <v>29546</v>
      </c>
      <c r="AO16" s="28">
        <f>Economic!D18</f>
        <v>6930.2</v>
      </c>
      <c r="AP16" s="28">
        <f>Economic!E18</f>
        <v>6827.3</v>
      </c>
      <c r="AQ16" s="28">
        <f>Economic!F18</f>
        <v>206.5</v>
      </c>
      <c r="AR16" s="28">
        <f>Economic!G18</f>
        <v>204.2</v>
      </c>
      <c r="AS16" s="28">
        <f>Economic!N18</f>
        <v>60.199999999999818</v>
      </c>
      <c r="AT16" s="28">
        <f>Economic!O18</f>
        <v>65.5</v>
      </c>
      <c r="AU16" s="28">
        <f>Economic!P18</f>
        <v>8.0999999999999943</v>
      </c>
      <c r="AV16" s="28">
        <f>Economic!Q18</f>
        <v>8.1999999999999886</v>
      </c>
      <c r="AW16" s="28">
        <f>Economic!R18</f>
        <v>16366.599999999977</v>
      </c>
      <c r="AX16" s="28">
        <f>Economic!S18</f>
        <v>5503</v>
      </c>
      <c r="AY16" s="7">
        <f>Weather!D16</f>
        <v>1.3845371669004212</v>
      </c>
      <c r="AZ16" s="7">
        <f>Weather!E16</f>
        <v>577.07934782608709</v>
      </c>
      <c r="BA16" s="7">
        <f>Weather!F16</f>
        <v>0</v>
      </c>
      <c r="BB16" s="7">
        <f>Weather!G16</f>
        <v>515.07934782608686</v>
      </c>
      <c r="BC16" s="7">
        <f>Weather!H16</f>
        <v>0</v>
      </c>
      <c r="BD16" s="7">
        <f>Weather!I16</f>
        <v>453.07934782608692</v>
      </c>
      <c r="BE16" s="7">
        <f>Weather!J16</f>
        <v>0</v>
      </c>
      <c r="BF16" s="7">
        <f>Weather!K16</f>
        <v>391.07934782608697</v>
      </c>
      <c r="BG16" s="7">
        <f>Weather!L16</f>
        <v>0</v>
      </c>
      <c r="BH16" s="7">
        <f>Weather!M16</f>
        <v>329.07934782608692</v>
      </c>
      <c r="BI16" s="7">
        <f>Weather!N16</f>
        <v>0</v>
      </c>
      <c r="BJ16" s="7">
        <f>Weather!O16</f>
        <v>267.07934782608692</v>
      </c>
      <c r="BK16" s="7">
        <f>Weather!P16</f>
        <v>0</v>
      </c>
      <c r="BL16" s="7">
        <f>Weather!Q16</f>
        <v>207.6751811594203</v>
      </c>
      <c r="BM16" s="7">
        <f>Weather!R16</f>
        <v>2.595833333333335</v>
      </c>
      <c r="BN16" s="1">
        <v>0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0</v>
      </c>
      <c r="CB16" s="1">
        <v>1</v>
      </c>
      <c r="CC16" s="1">
        <f t="shared" si="9"/>
        <v>15</v>
      </c>
      <c r="CD16" s="1">
        <v>31</v>
      </c>
      <c r="CE16" s="1">
        <v>21</v>
      </c>
      <c r="CF16" s="1">
        <v>0</v>
      </c>
      <c r="CG16" s="1">
        <v>0</v>
      </c>
      <c r="CH16" s="1">
        <v>0</v>
      </c>
      <c r="CI16" s="1">
        <v>0</v>
      </c>
      <c r="CJ16" s="1">
        <f t="shared" si="12"/>
        <v>0</v>
      </c>
      <c r="CK16" s="1">
        <f t="shared" si="12"/>
        <v>0</v>
      </c>
      <c r="CL16" s="1">
        <f t="shared" si="12"/>
        <v>0</v>
      </c>
      <c r="CM16" s="1">
        <f t="shared" si="10"/>
        <v>0</v>
      </c>
      <c r="CN16" s="1">
        <f t="shared" si="10"/>
        <v>0</v>
      </c>
      <c r="CO16" s="1">
        <f t="shared" si="10"/>
        <v>0</v>
      </c>
      <c r="CP16" s="1">
        <f t="shared" si="10"/>
        <v>0</v>
      </c>
      <c r="CQ16" s="1">
        <f t="shared" si="10"/>
        <v>0</v>
      </c>
      <c r="CR16" s="1">
        <f t="shared" si="10"/>
        <v>0</v>
      </c>
      <c r="CS16" s="1">
        <f t="shared" si="10"/>
        <v>0</v>
      </c>
      <c r="CT16" s="1">
        <f t="shared" si="10"/>
        <v>0</v>
      </c>
      <c r="CU16" s="1">
        <f t="shared" si="10"/>
        <v>0</v>
      </c>
      <c r="CV16" s="1">
        <f t="shared" si="10"/>
        <v>0</v>
      </c>
      <c r="CW16" s="1">
        <f t="shared" si="10"/>
        <v>0</v>
      </c>
      <c r="CX16" s="1">
        <f t="shared" si="13"/>
        <v>0</v>
      </c>
      <c r="CY16" s="1">
        <f t="shared" si="13"/>
        <v>0</v>
      </c>
      <c r="CZ16" s="1">
        <f t="shared" si="13"/>
        <v>0</v>
      </c>
      <c r="DA16" s="1">
        <f t="shared" si="11"/>
        <v>0</v>
      </c>
      <c r="DB16" s="1">
        <f t="shared" si="11"/>
        <v>0</v>
      </c>
      <c r="DC16" s="1">
        <f t="shared" si="11"/>
        <v>0</v>
      </c>
      <c r="DD16" s="1">
        <f t="shared" si="11"/>
        <v>0</v>
      </c>
      <c r="DE16" s="1">
        <f t="shared" si="11"/>
        <v>0</v>
      </c>
      <c r="DF16" s="1">
        <f t="shared" si="11"/>
        <v>0</v>
      </c>
      <c r="DG16" s="1">
        <f t="shared" si="11"/>
        <v>0</v>
      </c>
      <c r="DH16" s="1">
        <f t="shared" si="11"/>
        <v>0</v>
      </c>
      <c r="DI16" s="1">
        <f t="shared" si="11"/>
        <v>0</v>
      </c>
      <c r="DJ16" s="1">
        <f t="shared" si="11"/>
        <v>0</v>
      </c>
      <c r="DK16" s="1">
        <f t="shared" si="11"/>
        <v>0</v>
      </c>
      <c r="DL16" s="25">
        <v>0</v>
      </c>
      <c r="DM16" s="25">
        <v>0</v>
      </c>
      <c r="DN16" s="24"/>
      <c r="DO16" s="25"/>
      <c r="DP16" s="25"/>
      <c r="DQ16" s="25"/>
      <c r="DR16" s="25"/>
      <c r="DS16" s="25"/>
      <c r="DT16" s="25"/>
      <c r="DU16" s="25"/>
      <c r="DV16" s="25"/>
    </row>
    <row r="17" spans="1:126" x14ac:dyDescent="0.25">
      <c r="A17" s="252">
        <v>42461</v>
      </c>
      <c r="B17" s="253">
        <f t="shared" si="0"/>
        <v>2016</v>
      </c>
      <c r="C17" s="253">
        <f t="shared" si="1"/>
        <v>4</v>
      </c>
      <c r="D17" s="254">
        <v>35948964.146231629</v>
      </c>
      <c r="E17" s="254">
        <f>IFERROR(VLOOKUP($B17-1,CDM!$L$7:$T$18,2,FALSE)/12,0)+IFERROR(VLOOKUP($B17,CDM!$L$36:$T$46,2,FALSE)/24,0)+IFERROR(VLOOKUP($B17,CDM!$L$36:$T$46,2,FALSE)/2*$C17/78,0)</f>
        <v>575156.69711538462</v>
      </c>
      <c r="F17" s="254">
        <f t="shared" si="2"/>
        <v>36524120.843347013</v>
      </c>
      <c r="G17" s="255">
        <v>47525</v>
      </c>
      <c r="H17" s="254">
        <v>10252243.769619863</v>
      </c>
      <c r="I17" s="254">
        <f>IFERROR(VLOOKUP($B17-1,CDM!$L$7:$T$18,3,FALSE)/12,0)+IFERROR(VLOOKUP($B17,CDM!$L$36:$T$46,3,FALSE)/24,0)+IFERROR(VLOOKUP($B17,CDM!$L$36:$T$46,3,FALSE)/2*$C17/78,0)</f>
        <v>159177.34796474359</v>
      </c>
      <c r="J17" s="254">
        <f t="shared" si="6"/>
        <v>10411421.117584607</v>
      </c>
      <c r="K17" s="256">
        <v>4159</v>
      </c>
      <c r="L17" s="4">
        <v>25531039.226069208</v>
      </c>
      <c r="M17" s="257">
        <f>IFERROR(VLOOKUP($B17-1,CDM!$L$7:$T$18,4,FALSE)/12,0)+IFERROR(VLOOKUP($B17,CDM!$L$36:$T$46,4,FALSE)/24,0)+IFERROR(VLOOKUP($B17,CDM!$L$36:$T$46,4,FALSE)/2*$C17/78,0)</f>
        <v>162752.96243589744</v>
      </c>
      <c r="N17" s="254">
        <f t="shared" si="3"/>
        <v>25693792.188505106</v>
      </c>
      <c r="O17" s="4">
        <v>68235</v>
      </c>
      <c r="P17" s="256">
        <v>516</v>
      </c>
      <c r="Q17" s="256">
        <v>6415995.1674028551</v>
      </c>
      <c r="R17" s="256">
        <f>IFERROR(VLOOKUP($B17-1,CDM!$L$7:$T$18,5,FALSE)/12,0)+IFERROR(VLOOKUP($B17,CDM!$L$36:$T$46,5,FALSE)/24,0)+IFERROR(VLOOKUP($B17,CDM!$L$36:$T$46,5,FALSE)/2*$C17/78,0)</f>
        <v>747589.24088141019</v>
      </c>
      <c r="S17" s="256">
        <f t="shared" si="7"/>
        <v>7163584.4082842655</v>
      </c>
      <c r="T17" s="256">
        <v>16024</v>
      </c>
      <c r="U17" s="256">
        <v>13</v>
      </c>
      <c r="V17" s="256">
        <v>3453242.8504224992</v>
      </c>
      <c r="W17" s="256">
        <f>IFERROR(VLOOKUP($B17-1,CDM!$L$7:$T$18,6,FALSE)/12,0)+IFERROR(VLOOKUP($B17,CDM!$L$36:$T$46,6,FALSE)/24,0)+IFERROR(VLOOKUP($B17,CDM!$L$36:$T$46,6,FALSE)/2*$C17/78,0)</f>
        <v>0</v>
      </c>
      <c r="X17" s="256">
        <f t="shared" si="8"/>
        <v>3453242.8504224992</v>
      </c>
      <c r="Y17" s="256">
        <v>8155</v>
      </c>
      <c r="Z17" s="256">
        <v>1</v>
      </c>
      <c r="AA17" s="4">
        <v>719750.09015509486</v>
      </c>
      <c r="AB17" s="4">
        <v>2224</v>
      </c>
      <c r="AC17" s="256">
        <v>12890</v>
      </c>
      <c r="AD17" s="256">
        <v>2134.3887087545299</v>
      </c>
      <c r="AE17" s="256">
        <v>0</v>
      </c>
      <c r="AF17" s="256">
        <v>23</v>
      </c>
      <c r="AG17" s="4">
        <v>212650.8524590164</v>
      </c>
      <c r="AH17" s="4">
        <v>246</v>
      </c>
      <c r="AI17" s="28">
        <f>Economic!H19</f>
        <v>743976.2</v>
      </c>
      <c r="AJ17" s="28">
        <f>Economic!I19</f>
        <v>571846.40000000002</v>
      </c>
      <c r="AK17" s="28">
        <f>Economic!J19</f>
        <v>51922</v>
      </c>
      <c r="AL17" s="28">
        <f>Economic!K19</f>
        <v>740632</v>
      </c>
      <c r="AM17" s="28">
        <f>Economic!L19</f>
        <v>569815</v>
      </c>
      <c r="AN17" s="28">
        <f>Economic!M19</f>
        <v>29474</v>
      </c>
      <c r="AO17" s="28">
        <f>Economic!D19</f>
        <v>6931.9</v>
      </c>
      <c r="AP17" s="28">
        <f>Economic!E19</f>
        <v>6843.7</v>
      </c>
      <c r="AQ17" s="28">
        <f>Economic!F19</f>
        <v>205.8</v>
      </c>
      <c r="AR17" s="28">
        <f>Economic!G19</f>
        <v>204</v>
      </c>
      <c r="AS17" s="28">
        <f>Economic!N19</f>
        <v>55.099999999999454</v>
      </c>
      <c r="AT17" s="28">
        <f>Economic!O19</f>
        <v>57.300000000000182</v>
      </c>
      <c r="AU17" s="28">
        <f>Economic!P19</f>
        <v>10.300000000000011</v>
      </c>
      <c r="AV17" s="28">
        <f>Economic!Q19</f>
        <v>10.800000000000011</v>
      </c>
      <c r="AW17" s="28">
        <f>Economic!R19</f>
        <v>16366.599999999977</v>
      </c>
      <c r="AX17" s="28">
        <f>Economic!S19</f>
        <v>-2655</v>
      </c>
      <c r="AY17" s="7">
        <f>Weather!D17</f>
        <v>4.4672222222222224</v>
      </c>
      <c r="AZ17" s="7">
        <f>Weather!E17</f>
        <v>465.98333333333341</v>
      </c>
      <c r="BA17" s="7">
        <f>Weather!F17</f>
        <v>0</v>
      </c>
      <c r="BB17" s="7">
        <f>Weather!G17</f>
        <v>405.98333333333341</v>
      </c>
      <c r="BC17" s="7">
        <f>Weather!H17</f>
        <v>0</v>
      </c>
      <c r="BD17" s="7">
        <f>Weather!I17</f>
        <v>345.98333333333335</v>
      </c>
      <c r="BE17" s="7">
        <f>Weather!J17</f>
        <v>0</v>
      </c>
      <c r="BF17" s="7">
        <f>Weather!K17</f>
        <v>286.81666666666661</v>
      </c>
      <c r="BG17" s="7">
        <f>Weather!L17</f>
        <v>0.83333333333333393</v>
      </c>
      <c r="BH17" s="7">
        <f>Weather!M17</f>
        <v>229.20416666666662</v>
      </c>
      <c r="BI17" s="7">
        <f>Weather!N17</f>
        <v>3.2208333333333368</v>
      </c>
      <c r="BJ17" s="7">
        <f>Weather!O17</f>
        <v>175.33749999999998</v>
      </c>
      <c r="BK17" s="7">
        <f>Weather!P17</f>
        <v>9.3541666666666732</v>
      </c>
      <c r="BL17" s="7">
        <f>Weather!Q17</f>
        <v>127.94999999999997</v>
      </c>
      <c r="BM17" s="7">
        <f>Weather!R17</f>
        <v>21.966666666666676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0</v>
      </c>
      <c r="CB17" s="1">
        <v>1</v>
      </c>
      <c r="CC17" s="1">
        <f t="shared" si="9"/>
        <v>16</v>
      </c>
      <c r="CD17" s="1">
        <v>30</v>
      </c>
      <c r="CE17" s="1">
        <v>21</v>
      </c>
      <c r="CF17" s="1">
        <v>0</v>
      </c>
      <c r="CG17" s="1">
        <v>0</v>
      </c>
      <c r="CH17" s="1">
        <v>0</v>
      </c>
      <c r="CI17" s="1">
        <v>0</v>
      </c>
      <c r="CJ17" s="1">
        <f t="shared" si="12"/>
        <v>0</v>
      </c>
      <c r="CK17" s="1">
        <f t="shared" si="12"/>
        <v>0</v>
      </c>
      <c r="CL17" s="1">
        <f t="shared" si="12"/>
        <v>0</v>
      </c>
      <c r="CM17" s="1">
        <f t="shared" si="10"/>
        <v>0</v>
      </c>
      <c r="CN17" s="1">
        <f t="shared" si="10"/>
        <v>0</v>
      </c>
      <c r="CO17" s="1">
        <f t="shared" si="10"/>
        <v>0</v>
      </c>
      <c r="CP17" s="1">
        <f t="shared" si="10"/>
        <v>0</v>
      </c>
      <c r="CQ17" s="1">
        <f t="shared" si="10"/>
        <v>0</v>
      </c>
      <c r="CR17" s="1">
        <f t="shared" si="10"/>
        <v>0</v>
      </c>
      <c r="CS17" s="1">
        <f t="shared" si="10"/>
        <v>0</v>
      </c>
      <c r="CT17" s="1">
        <f t="shared" si="10"/>
        <v>0</v>
      </c>
      <c r="CU17" s="1">
        <f t="shared" si="10"/>
        <v>0</v>
      </c>
      <c r="CV17" s="1">
        <f t="shared" si="10"/>
        <v>0</v>
      </c>
      <c r="CW17" s="1">
        <f t="shared" si="10"/>
        <v>0</v>
      </c>
      <c r="CX17" s="1">
        <f t="shared" si="13"/>
        <v>0</v>
      </c>
      <c r="CY17" s="1">
        <f t="shared" si="13"/>
        <v>0</v>
      </c>
      <c r="CZ17" s="1">
        <f t="shared" si="13"/>
        <v>0</v>
      </c>
      <c r="DA17" s="1">
        <f t="shared" si="11"/>
        <v>0</v>
      </c>
      <c r="DB17" s="1">
        <f t="shared" si="11"/>
        <v>0</v>
      </c>
      <c r="DC17" s="1">
        <f t="shared" si="11"/>
        <v>0</v>
      </c>
      <c r="DD17" s="1">
        <f t="shared" si="11"/>
        <v>0</v>
      </c>
      <c r="DE17" s="1">
        <f t="shared" si="11"/>
        <v>0</v>
      </c>
      <c r="DF17" s="1">
        <f t="shared" si="11"/>
        <v>0</v>
      </c>
      <c r="DG17" s="1">
        <f t="shared" si="11"/>
        <v>0</v>
      </c>
      <c r="DH17" s="1">
        <f t="shared" si="11"/>
        <v>0</v>
      </c>
      <c r="DI17" s="1">
        <f t="shared" si="11"/>
        <v>0</v>
      </c>
      <c r="DJ17" s="1">
        <f t="shared" si="11"/>
        <v>0</v>
      </c>
      <c r="DK17" s="1">
        <f t="shared" si="11"/>
        <v>0</v>
      </c>
      <c r="DL17" s="25">
        <v>0</v>
      </c>
      <c r="DM17" s="25">
        <v>0</v>
      </c>
      <c r="DN17" s="24"/>
      <c r="DO17" s="25"/>
      <c r="DP17" s="25"/>
      <c r="DQ17" s="25"/>
      <c r="DR17" s="25"/>
      <c r="DS17" s="25"/>
      <c r="DT17" s="25"/>
      <c r="DU17" s="25"/>
      <c r="DV17" s="25"/>
    </row>
    <row r="18" spans="1:126" x14ac:dyDescent="0.25">
      <c r="A18" s="252">
        <v>42491</v>
      </c>
      <c r="B18" s="253">
        <f t="shared" si="0"/>
        <v>2016</v>
      </c>
      <c r="C18" s="253">
        <f t="shared" si="1"/>
        <v>5</v>
      </c>
      <c r="D18" s="254">
        <v>31337302.647169124</v>
      </c>
      <c r="E18" s="254">
        <f>IFERROR(VLOOKUP($B18-1,CDM!$L$7:$T$18,2,FALSE)/12,0)+IFERROR(VLOOKUP($B18,CDM!$L$36:$T$46,2,FALSE)/24,0)+IFERROR(VLOOKUP($B18,CDM!$L$36:$T$46,2,FALSE)/2*$C18/78,0)</f>
        <v>616077.50160256412</v>
      </c>
      <c r="F18" s="254">
        <f t="shared" si="2"/>
        <v>31953380.148771688</v>
      </c>
      <c r="G18" s="255">
        <v>47973</v>
      </c>
      <c r="H18" s="254">
        <v>10058228.077991202</v>
      </c>
      <c r="I18" s="254">
        <f>IFERROR(VLOOKUP($B18-1,CDM!$L$7:$T$18,3,FALSE)/12,0)+IFERROR(VLOOKUP($B18,CDM!$L$36:$T$46,3,FALSE)/24,0)+IFERROR(VLOOKUP($B18,CDM!$L$36:$T$46,3,FALSE)/2*$C18/78,0)</f>
        <v>170248.78094551282</v>
      </c>
      <c r="J18" s="254">
        <f t="shared" si="6"/>
        <v>10228476.858936716</v>
      </c>
      <c r="K18" s="256">
        <v>4156</v>
      </c>
      <c r="L18" s="4">
        <v>25391074.392379064</v>
      </c>
      <c r="M18" s="257">
        <f>IFERROR(VLOOKUP($B18-1,CDM!$L$7:$T$18,4,FALSE)/12,0)+IFERROR(VLOOKUP($B18,CDM!$L$36:$T$46,4,FALSE)/24,0)+IFERROR(VLOOKUP($B18,CDM!$L$36:$T$46,4,FALSE)/2*$C18/78,0)</f>
        <v>172551.12179487181</v>
      </c>
      <c r="N18" s="254">
        <f t="shared" si="3"/>
        <v>25563625.514173936</v>
      </c>
      <c r="O18" s="4">
        <v>69383</v>
      </c>
      <c r="P18" s="256">
        <v>514</v>
      </c>
      <c r="Q18" s="256">
        <v>6807170.9312204076</v>
      </c>
      <c r="R18" s="256">
        <f>IFERROR(VLOOKUP($B18-1,CDM!$L$7:$T$18,5,FALSE)/12,0)+IFERROR(VLOOKUP($B18,CDM!$L$36:$T$46,5,FALSE)/24,0)+IFERROR(VLOOKUP($B18,CDM!$L$36:$T$46,5,FALSE)/2*$C18/78,0)</f>
        <v>780491.24469551281</v>
      </c>
      <c r="S18" s="256">
        <f t="shared" si="7"/>
        <v>7587662.1759159202</v>
      </c>
      <c r="T18" s="256">
        <v>18081</v>
      </c>
      <c r="U18" s="256">
        <v>13</v>
      </c>
      <c r="V18" s="256">
        <v>3397618.0244841203</v>
      </c>
      <c r="W18" s="256">
        <f>IFERROR(VLOOKUP($B18-1,CDM!$L$7:$T$18,6,FALSE)/12,0)+IFERROR(VLOOKUP($B18,CDM!$L$36:$T$46,6,FALSE)/24,0)+IFERROR(VLOOKUP($B18,CDM!$L$36:$T$46,6,FALSE)/2*$C18/78,0)</f>
        <v>0</v>
      </c>
      <c r="X18" s="256">
        <f t="shared" si="8"/>
        <v>3397618.0244841203</v>
      </c>
      <c r="Y18" s="256">
        <v>8864</v>
      </c>
      <c r="Z18" s="256">
        <v>1</v>
      </c>
      <c r="AA18" s="4">
        <v>657682.37862824975</v>
      </c>
      <c r="AB18" s="4">
        <v>2224</v>
      </c>
      <c r="AC18" s="256">
        <v>12892</v>
      </c>
      <c r="AD18" s="256">
        <v>2155.2736982643528</v>
      </c>
      <c r="AE18" s="256">
        <v>0</v>
      </c>
      <c r="AF18" s="256">
        <v>23</v>
      </c>
      <c r="AG18" s="4">
        <v>205791.1475409836</v>
      </c>
      <c r="AH18" s="4">
        <v>246</v>
      </c>
      <c r="AI18" s="28">
        <f>Economic!H20</f>
        <v>743976.2</v>
      </c>
      <c r="AJ18" s="28">
        <f>Economic!I20</f>
        <v>571846.40000000002</v>
      </c>
      <c r="AK18" s="28">
        <f>Economic!J20</f>
        <v>51922</v>
      </c>
      <c r="AL18" s="28">
        <f>Economic!K20</f>
        <v>740632</v>
      </c>
      <c r="AM18" s="28">
        <f>Economic!L20</f>
        <v>569815</v>
      </c>
      <c r="AN18" s="28">
        <f>Economic!M20</f>
        <v>29474</v>
      </c>
      <c r="AO18" s="28">
        <f>Economic!D20</f>
        <v>6944.7</v>
      </c>
      <c r="AP18" s="28">
        <f>Economic!E20</f>
        <v>6913.7</v>
      </c>
      <c r="AQ18" s="28">
        <f>Economic!F20</f>
        <v>206.1</v>
      </c>
      <c r="AR18" s="28">
        <f>Economic!G20</f>
        <v>206.1</v>
      </c>
      <c r="AS18" s="28">
        <f>Economic!N20</f>
        <v>61.399999999999636</v>
      </c>
      <c r="AT18" s="28">
        <f>Economic!O20</f>
        <v>65.599999999999454</v>
      </c>
      <c r="AU18" s="28">
        <f>Economic!P20</f>
        <v>12.799999999999983</v>
      </c>
      <c r="AV18" s="28">
        <f>Economic!Q20</f>
        <v>13.5</v>
      </c>
      <c r="AW18" s="28">
        <f>Economic!R20</f>
        <v>16366.599999999977</v>
      </c>
      <c r="AX18" s="28">
        <f>Economic!S20</f>
        <v>-2655</v>
      </c>
      <c r="AY18" s="7">
        <f>Weather!D18</f>
        <v>13.718055555555555</v>
      </c>
      <c r="AZ18" s="7">
        <f>Weather!E18</f>
        <v>203.72361111111115</v>
      </c>
      <c r="BA18" s="7">
        <f>Weather!F18</f>
        <v>8.9833333333333307</v>
      </c>
      <c r="BB18" s="7">
        <f>Weather!G18</f>
        <v>154.58611111111114</v>
      </c>
      <c r="BC18" s="7">
        <f>Weather!H18</f>
        <v>21.845833333333335</v>
      </c>
      <c r="BD18" s="7">
        <f>Weather!I18</f>
        <v>111.69444444444443</v>
      </c>
      <c r="BE18" s="7">
        <f>Weather!J18</f>
        <v>40.95416666666668</v>
      </c>
      <c r="BF18" s="7">
        <f>Weather!K18</f>
        <v>75.344444444444463</v>
      </c>
      <c r="BG18" s="7">
        <f>Weather!L18</f>
        <v>66.604166666666671</v>
      </c>
      <c r="BH18" s="7">
        <f>Weather!M18</f>
        <v>45.036111111111126</v>
      </c>
      <c r="BI18" s="7">
        <f>Weather!N18</f>
        <v>98.295833333333348</v>
      </c>
      <c r="BJ18" s="7">
        <f>Weather!O18</f>
        <v>18.829166666666676</v>
      </c>
      <c r="BK18" s="7">
        <f>Weather!P18</f>
        <v>134.0888888888889</v>
      </c>
      <c r="BL18" s="7">
        <f>Weather!Q18</f>
        <v>4.2083333333333348</v>
      </c>
      <c r="BM18" s="7">
        <f>Weather!R18</f>
        <v>181.46805555555554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f t="shared" si="9"/>
        <v>17</v>
      </c>
      <c r="CD18" s="1">
        <v>31</v>
      </c>
      <c r="CE18" s="1">
        <v>21</v>
      </c>
      <c r="CF18" s="1">
        <v>0</v>
      </c>
      <c r="CG18" s="1">
        <v>0</v>
      </c>
      <c r="CH18" s="1">
        <v>0</v>
      </c>
      <c r="CI18" s="1">
        <v>0</v>
      </c>
      <c r="CJ18" s="1">
        <f t="shared" si="12"/>
        <v>0</v>
      </c>
      <c r="CK18" s="1">
        <f t="shared" si="12"/>
        <v>0</v>
      </c>
      <c r="CL18" s="1">
        <f t="shared" si="12"/>
        <v>0</v>
      </c>
      <c r="CM18" s="1">
        <f t="shared" si="10"/>
        <v>0</v>
      </c>
      <c r="CN18" s="1">
        <f t="shared" si="10"/>
        <v>0</v>
      </c>
      <c r="CO18" s="1">
        <f t="shared" si="10"/>
        <v>0</v>
      </c>
      <c r="CP18" s="1">
        <f t="shared" si="10"/>
        <v>0</v>
      </c>
      <c r="CQ18" s="1">
        <f t="shared" si="10"/>
        <v>0</v>
      </c>
      <c r="CR18" s="1">
        <f t="shared" si="10"/>
        <v>0</v>
      </c>
      <c r="CS18" s="1">
        <f t="shared" si="10"/>
        <v>0</v>
      </c>
      <c r="CT18" s="1">
        <f t="shared" si="10"/>
        <v>0</v>
      </c>
      <c r="CU18" s="1">
        <f t="shared" si="10"/>
        <v>0</v>
      </c>
      <c r="CV18" s="1">
        <f t="shared" si="10"/>
        <v>0</v>
      </c>
      <c r="CW18" s="1">
        <f t="shared" si="10"/>
        <v>0</v>
      </c>
      <c r="CX18" s="1">
        <f t="shared" si="13"/>
        <v>0</v>
      </c>
      <c r="CY18" s="1">
        <f t="shared" si="13"/>
        <v>0</v>
      </c>
      <c r="CZ18" s="1">
        <f t="shared" si="13"/>
        <v>0</v>
      </c>
      <c r="DA18" s="1">
        <f t="shared" si="11"/>
        <v>0</v>
      </c>
      <c r="DB18" s="1">
        <f t="shared" si="11"/>
        <v>0</v>
      </c>
      <c r="DC18" s="1">
        <f t="shared" si="11"/>
        <v>0</v>
      </c>
      <c r="DD18" s="1">
        <f t="shared" si="11"/>
        <v>0</v>
      </c>
      <c r="DE18" s="1">
        <f t="shared" si="11"/>
        <v>0</v>
      </c>
      <c r="DF18" s="1">
        <f t="shared" si="11"/>
        <v>0</v>
      </c>
      <c r="DG18" s="1">
        <f t="shared" si="11"/>
        <v>0</v>
      </c>
      <c r="DH18" s="1">
        <f t="shared" si="11"/>
        <v>0</v>
      </c>
      <c r="DI18" s="1">
        <f t="shared" si="11"/>
        <v>0</v>
      </c>
      <c r="DJ18" s="1">
        <f t="shared" si="11"/>
        <v>0</v>
      </c>
      <c r="DK18" s="1">
        <f t="shared" si="11"/>
        <v>0</v>
      </c>
      <c r="DL18" s="25">
        <v>0</v>
      </c>
      <c r="DM18" s="25">
        <v>0</v>
      </c>
      <c r="DN18" s="24"/>
      <c r="DO18" s="25"/>
      <c r="DP18" s="25"/>
      <c r="DQ18" s="25"/>
      <c r="DR18" s="25"/>
      <c r="DS18" s="25"/>
      <c r="DT18" s="25"/>
      <c r="DU18" s="25"/>
      <c r="DV18" s="25"/>
    </row>
    <row r="19" spans="1:126" x14ac:dyDescent="0.25">
      <c r="A19" s="252">
        <v>42522</v>
      </c>
      <c r="B19" s="253">
        <f t="shared" si="0"/>
        <v>2016</v>
      </c>
      <c r="C19" s="253">
        <f t="shared" si="1"/>
        <v>6</v>
      </c>
      <c r="D19" s="254">
        <v>38119342.773256138</v>
      </c>
      <c r="E19" s="254">
        <f>IFERROR(VLOOKUP($B19-1,CDM!$L$7:$T$18,2,FALSE)/12,0)+IFERROR(VLOOKUP($B19,CDM!$L$36:$T$46,2,FALSE)/24,0)+IFERROR(VLOOKUP($B19,CDM!$L$36:$T$46,2,FALSE)/2*$C19/78,0)</f>
        <v>656998.30608974362</v>
      </c>
      <c r="F19" s="254">
        <f t="shared" si="2"/>
        <v>38776341.079345882</v>
      </c>
      <c r="G19" s="255">
        <v>48836</v>
      </c>
      <c r="H19" s="254">
        <v>10283887.55973768</v>
      </c>
      <c r="I19" s="254">
        <f>IFERROR(VLOOKUP($B19-1,CDM!$L$7:$T$18,3,FALSE)/12,0)+IFERROR(VLOOKUP($B19,CDM!$L$36:$T$46,3,FALSE)/24,0)+IFERROR(VLOOKUP($B19,CDM!$L$36:$T$46,3,FALSE)/2*$C19/78,0)</f>
        <v>181320.21392628207</v>
      </c>
      <c r="J19" s="254">
        <f t="shared" si="6"/>
        <v>10465207.773663962</v>
      </c>
      <c r="K19" s="256">
        <v>4153</v>
      </c>
      <c r="L19" s="4">
        <v>24806117.093112268</v>
      </c>
      <c r="M19" s="257">
        <f>IFERROR(VLOOKUP($B19-1,CDM!$L$7:$T$18,4,FALSE)/12,0)+IFERROR(VLOOKUP($B19,CDM!$L$36:$T$46,4,FALSE)/24,0)+IFERROR(VLOOKUP($B19,CDM!$L$36:$T$46,4,FALSE)/2*$C19/78,0)</f>
        <v>182349.28115384618</v>
      </c>
      <c r="N19" s="254">
        <f t="shared" si="3"/>
        <v>24988466.374266114</v>
      </c>
      <c r="O19" s="4">
        <v>67307</v>
      </c>
      <c r="P19" s="256">
        <v>518</v>
      </c>
      <c r="Q19" s="256">
        <v>7453408.6729988549</v>
      </c>
      <c r="R19" s="256">
        <f>IFERROR(VLOOKUP($B19-1,CDM!$L$7:$T$18,5,FALSE)/12,0)+IFERROR(VLOOKUP($B19,CDM!$L$36:$T$46,5,FALSE)/24,0)+IFERROR(VLOOKUP($B19,CDM!$L$36:$T$46,5,FALSE)/2*$C19/78,0)</f>
        <v>813393.24850961531</v>
      </c>
      <c r="S19" s="256">
        <f t="shared" si="7"/>
        <v>8266801.9215084706</v>
      </c>
      <c r="T19" s="256">
        <v>18433</v>
      </c>
      <c r="U19" s="256">
        <v>13</v>
      </c>
      <c r="V19" s="256">
        <v>3372600.7862359551</v>
      </c>
      <c r="W19" s="256">
        <f>IFERROR(VLOOKUP($B19-1,CDM!$L$7:$T$18,6,FALSE)/12,0)+IFERROR(VLOOKUP($B19,CDM!$L$36:$T$46,6,FALSE)/24,0)+IFERROR(VLOOKUP($B19,CDM!$L$36:$T$46,6,FALSE)/2*$C19/78,0)</f>
        <v>0</v>
      </c>
      <c r="X19" s="256">
        <f t="shared" si="8"/>
        <v>3372600.7862359551</v>
      </c>
      <c r="Y19" s="256">
        <v>8276</v>
      </c>
      <c r="Z19" s="256">
        <v>1</v>
      </c>
      <c r="AA19" s="4">
        <v>584124.3214772701</v>
      </c>
      <c r="AB19" s="4">
        <v>2232</v>
      </c>
      <c r="AC19" s="256">
        <v>12963</v>
      </c>
      <c r="AD19" s="256">
        <v>2134.3887087545299</v>
      </c>
      <c r="AE19" s="256">
        <v>0</v>
      </c>
      <c r="AF19" s="256">
        <v>23</v>
      </c>
      <c r="AG19" s="4">
        <v>208073</v>
      </c>
      <c r="AH19" s="4">
        <v>246</v>
      </c>
      <c r="AI19" s="28">
        <f>Economic!H21</f>
        <v>743976.2</v>
      </c>
      <c r="AJ19" s="28">
        <f>Economic!I21</f>
        <v>571846.40000000002</v>
      </c>
      <c r="AK19" s="28">
        <f>Economic!J21</f>
        <v>51922</v>
      </c>
      <c r="AL19" s="28">
        <f>Economic!K21</f>
        <v>740632</v>
      </c>
      <c r="AM19" s="28">
        <f>Economic!L21</f>
        <v>569815</v>
      </c>
      <c r="AN19" s="28">
        <f>Economic!M21</f>
        <v>29474</v>
      </c>
      <c r="AO19" s="28">
        <f>Economic!D21</f>
        <v>6955.5</v>
      </c>
      <c r="AP19" s="28">
        <f>Economic!E21</f>
        <v>7000.2</v>
      </c>
      <c r="AQ19" s="28">
        <f>Economic!F21</f>
        <v>204.7</v>
      </c>
      <c r="AR19" s="28">
        <f>Economic!G21</f>
        <v>206.7</v>
      </c>
      <c r="AS19" s="28">
        <f>Economic!N21</f>
        <v>71.899999999999636</v>
      </c>
      <c r="AT19" s="28">
        <f>Economic!O21</f>
        <v>70.099999999999454</v>
      </c>
      <c r="AU19" s="28">
        <f>Economic!P21</f>
        <v>13.899999999999977</v>
      </c>
      <c r="AV19" s="28">
        <f>Economic!Q21</f>
        <v>14.799999999999983</v>
      </c>
      <c r="AW19" s="28">
        <f>Economic!R21</f>
        <v>16366.599999999977</v>
      </c>
      <c r="AX19" s="28">
        <f>Economic!S21</f>
        <v>-2655</v>
      </c>
      <c r="AY19" s="7">
        <f>Weather!D19</f>
        <v>18.773472222222221</v>
      </c>
      <c r="AZ19" s="7">
        <f>Weather!E19</f>
        <v>56.883333333333326</v>
      </c>
      <c r="BA19" s="7">
        <f>Weather!F19</f>
        <v>20.087500000000002</v>
      </c>
      <c r="BB19" s="7">
        <f>Weather!G19</f>
        <v>30.204166666666669</v>
      </c>
      <c r="BC19" s="7">
        <f>Weather!H19</f>
        <v>53.40833333333336</v>
      </c>
      <c r="BD19" s="7">
        <f>Weather!I19</f>
        <v>14.133333333333335</v>
      </c>
      <c r="BE19" s="7">
        <f>Weather!J19</f>
        <v>97.33750000000002</v>
      </c>
      <c r="BF19" s="7">
        <f>Weather!K19</f>
        <v>3.9749999999999996</v>
      </c>
      <c r="BG19" s="7">
        <f>Weather!L19</f>
        <v>147.17916666666667</v>
      </c>
      <c r="BH19" s="7">
        <f>Weather!M19</f>
        <v>0.65000000000000036</v>
      </c>
      <c r="BI19" s="7">
        <f>Weather!N19</f>
        <v>203.85416666666669</v>
      </c>
      <c r="BJ19" s="7">
        <f>Weather!O19</f>
        <v>0</v>
      </c>
      <c r="BK19" s="7">
        <f>Weather!P19</f>
        <v>263.20416666666671</v>
      </c>
      <c r="BL19" s="7">
        <f>Weather!Q19</f>
        <v>0</v>
      </c>
      <c r="BM19" s="7">
        <f>Weather!R19</f>
        <v>323.20416666666671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f t="shared" si="9"/>
        <v>18</v>
      </c>
      <c r="CD19" s="1">
        <v>30</v>
      </c>
      <c r="CE19" s="1">
        <v>22</v>
      </c>
      <c r="CF19" s="1">
        <v>0</v>
      </c>
      <c r="CG19" s="1">
        <v>0</v>
      </c>
      <c r="CH19" s="1">
        <v>0</v>
      </c>
      <c r="CI19" s="1">
        <v>0</v>
      </c>
      <c r="CJ19" s="1">
        <f t="shared" si="12"/>
        <v>0</v>
      </c>
      <c r="CK19" s="1">
        <f t="shared" si="12"/>
        <v>0</v>
      </c>
      <c r="CL19" s="1">
        <f t="shared" si="12"/>
        <v>0</v>
      </c>
      <c r="CM19" s="1">
        <f t="shared" si="10"/>
        <v>0</v>
      </c>
      <c r="CN19" s="1">
        <f t="shared" si="10"/>
        <v>0</v>
      </c>
      <c r="CO19" s="1">
        <f t="shared" si="10"/>
        <v>0</v>
      </c>
      <c r="CP19" s="1">
        <f t="shared" si="10"/>
        <v>0</v>
      </c>
      <c r="CQ19" s="1">
        <f t="shared" si="10"/>
        <v>0</v>
      </c>
      <c r="CR19" s="1">
        <f t="shared" si="10"/>
        <v>0</v>
      </c>
      <c r="CS19" s="1">
        <f t="shared" si="10"/>
        <v>0</v>
      </c>
      <c r="CT19" s="1">
        <f t="shared" si="10"/>
        <v>0</v>
      </c>
      <c r="CU19" s="1">
        <f t="shared" si="10"/>
        <v>0</v>
      </c>
      <c r="CV19" s="1">
        <f t="shared" si="10"/>
        <v>0</v>
      </c>
      <c r="CW19" s="1">
        <f t="shared" si="10"/>
        <v>0</v>
      </c>
      <c r="CX19" s="1">
        <f t="shared" si="13"/>
        <v>0</v>
      </c>
      <c r="CY19" s="1">
        <f t="shared" si="13"/>
        <v>0</v>
      </c>
      <c r="CZ19" s="1">
        <f t="shared" si="13"/>
        <v>0</v>
      </c>
      <c r="DA19" s="1">
        <f t="shared" si="11"/>
        <v>0</v>
      </c>
      <c r="DB19" s="1">
        <f t="shared" si="11"/>
        <v>0</v>
      </c>
      <c r="DC19" s="1">
        <f t="shared" si="11"/>
        <v>0</v>
      </c>
      <c r="DD19" s="1">
        <f t="shared" si="11"/>
        <v>0</v>
      </c>
      <c r="DE19" s="1">
        <f t="shared" si="11"/>
        <v>0</v>
      </c>
      <c r="DF19" s="1">
        <f t="shared" si="11"/>
        <v>0</v>
      </c>
      <c r="DG19" s="1">
        <f t="shared" si="11"/>
        <v>0</v>
      </c>
      <c r="DH19" s="1">
        <f t="shared" si="11"/>
        <v>0</v>
      </c>
      <c r="DI19" s="1">
        <f t="shared" si="11"/>
        <v>0</v>
      </c>
      <c r="DJ19" s="1">
        <f t="shared" si="11"/>
        <v>0</v>
      </c>
      <c r="DK19" s="1">
        <f t="shared" si="11"/>
        <v>0</v>
      </c>
      <c r="DL19" s="25">
        <v>0</v>
      </c>
      <c r="DM19" s="25">
        <v>0</v>
      </c>
      <c r="DN19" s="24"/>
      <c r="DO19" s="25"/>
      <c r="DP19" s="25"/>
      <c r="DQ19" s="25"/>
      <c r="DR19" s="25"/>
      <c r="DS19" s="25"/>
      <c r="DT19" s="25"/>
      <c r="DU19" s="25"/>
      <c r="DV19" s="25"/>
    </row>
    <row r="20" spans="1:126" x14ac:dyDescent="0.25">
      <c r="A20" s="252">
        <v>42552</v>
      </c>
      <c r="B20" s="253">
        <f t="shared" si="0"/>
        <v>2016</v>
      </c>
      <c r="C20" s="253">
        <f t="shared" si="1"/>
        <v>7</v>
      </c>
      <c r="D20" s="254">
        <v>46520646.45482669</v>
      </c>
      <c r="E20" s="254">
        <f>IFERROR(VLOOKUP($B20-1,CDM!$L$7:$T$18,2,FALSE)/12,0)+IFERROR(VLOOKUP($B20,CDM!$L$36:$T$46,2,FALSE)/24,0)+IFERROR(VLOOKUP($B20,CDM!$L$36:$T$46,2,FALSE)/2*$C20/78,0)</f>
        <v>697919.11057692312</v>
      </c>
      <c r="F20" s="254">
        <f t="shared" si="2"/>
        <v>47218565.56540361</v>
      </c>
      <c r="G20" s="255">
        <v>49384</v>
      </c>
      <c r="H20" s="254">
        <v>11667033.214412689</v>
      </c>
      <c r="I20" s="254">
        <f>IFERROR(VLOOKUP($B20-1,CDM!$L$7:$T$18,3,FALSE)/12,0)+IFERROR(VLOOKUP($B20,CDM!$L$36:$T$46,3,FALSE)/24,0)+IFERROR(VLOOKUP($B20,CDM!$L$36:$T$46,3,FALSE)/2*$C20/78,0)</f>
        <v>192391.64690705127</v>
      </c>
      <c r="J20" s="254">
        <f t="shared" si="6"/>
        <v>11859424.861319741</v>
      </c>
      <c r="K20" s="256">
        <v>4177</v>
      </c>
      <c r="L20" s="4">
        <v>29985766.329370011</v>
      </c>
      <c r="M20" s="257">
        <f>IFERROR(VLOOKUP($B20-1,CDM!$L$7:$T$18,4,FALSE)/12,0)+IFERROR(VLOOKUP($B20,CDM!$L$36:$T$46,4,FALSE)/24,0)+IFERROR(VLOOKUP($B20,CDM!$L$36:$T$46,4,FALSE)/2*$C20/78,0)</f>
        <v>192147.44051282053</v>
      </c>
      <c r="N20" s="254">
        <f t="shared" si="3"/>
        <v>30177913.769882832</v>
      </c>
      <c r="O20" s="4">
        <v>73780</v>
      </c>
      <c r="P20" s="256">
        <v>518</v>
      </c>
      <c r="Q20" s="256">
        <v>8411365.1539013814</v>
      </c>
      <c r="R20" s="256">
        <f>IFERROR(VLOOKUP($B20-1,CDM!$L$7:$T$18,5,FALSE)/12,0)+IFERROR(VLOOKUP($B20,CDM!$L$36:$T$46,5,FALSE)/24,0)+IFERROR(VLOOKUP($B20,CDM!$L$36:$T$46,5,FALSE)/2*$C20/78,0)</f>
        <v>846295.25232371781</v>
      </c>
      <c r="S20" s="256">
        <f t="shared" si="7"/>
        <v>9257660.4062251002</v>
      </c>
      <c r="T20" s="256">
        <v>19281</v>
      </c>
      <c r="U20" s="256">
        <v>13</v>
      </c>
      <c r="V20" s="256">
        <v>3721310.9432763467</v>
      </c>
      <c r="W20" s="256">
        <f>IFERROR(VLOOKUP($B20-1,CDM!$L$7:$T$18,6,FALSE)/12,0)+IFERROR(VLOOKUP($B20,CDM!$L$36:$T$46,6,FALSE)/24,0)+IFERROR(VLOOKUP($B20,CDM!$L$36:$T$46,6,FALSE)/2*$C20/78,0)</f>
        <v>0</v>
      </c>
      <c r="X20" s="256">
        <f t="shared" si="8"/>
        <v>3721310.9432763467</v>
      </c>
      <c r="Y20" s="256">
        <v>9310</v>
      </c>
      <c r="Z20" s="256">
        <v>1</v>
      </c>
      <c r="AA20" s="4">
        <v>608473.33626748074</v>
      </c>
      <c r="AB20" s="4">
        <v>2232</v>
      </c>
      <c r="AC20" s="256">
        <v>12993</v>
      </c>
      <c r="AD20" s="256">
        <v>2155.2736982643523</v>
      </c>
      <c r="AE20" s="256">
        <v>0</v>
      </c>
      <c r="AF20" s="256">
        <v>23</v>
      </c>
      <c r="AG20" s="4">
        <v>207379</v>
      </c>
      <c r="AH20" s="4">
        <v>246</v>
      </c>
      <c r="AI20" s="28">
        <f>Economic!H22</f>
        <v>743976.2</v>
      </c>
      <c r="AJ20" s="28">
        <f>Economic!I22</f>
        <v>571846.40000000002</v>
      </c>
      <c r="AK20" s="28">
        <f>Economic!J22</f>
        <v>51922</v>
      </c>
      <c r="AL20" s="28">
        <f>Economic!K22</f>
        <v>746606</v>
      </c>
      <c r="AM20" s="28">
        <f>Economic!L22</f>
        <v>574136</v>
      </c>
      <c r="AN20" s="28">
        <f>Economic!M22</f>
        <v>30035</v>
      </c>
      <c r="AO20" s="28">
        <f>Economic!D22</f>
        <v>6956.3</v>
      </c>
      <c r="AP20" s="28">
        <f>Economic!E22</f>
        <v>7049.5</v>
      </c>
      <c r="AQ20" s="28">
        <f>Economic!F22</f>
        <v>206.5</v>
      </c>
      <c r="AR20" s="28">
        <f>Economic!G22</f>
        <v>209.2</v>
      </c>
      <c r="AS20" s="28">
        <f>Economic!N22</f>
        <v>64.600000000000364</v>
      </c>
      <c r="AT20" s="28">
        <f>Economic!O22</f>
        <v>63.399999999999636</v>
      </c>
      <c r="AU20" s="28">
        <f>Economic!P22</f>
        <v>20.599999999999994</v>
      </c>
      <c r="AV20" s="28">
        <f>Economic!Q22</f>
        <v>20.699999999999989</v>
      </c>
      <c r="AW20" s="28">
        <f>Economic!R22</f>
        <v>16366.599999999977</v>
      </c>
      <c r="AX20" s="28">
        <f>Economic!S22</f>
        <v>5974</v>
      </c>
      <c r="AY20" s="7">
        <f>Weather!D20</f>
        <v>22.104166666666661</v>
      </c>
      <c r="AZ20" s="7">
        <f>Weather!E20</f>
        <v>8.75416666666667</v>
      </c>
      <c r="BA20" s="7">
        <f>Weather!F20</f>
        <v>73.983333333333334</v>
      </c>
      <c r="BB20" s="7">
        <f>Weather!G20</f>
        <v>1.6583333333333314</v>
      </c>
      <c r="BC20" s="7">
        <f>Weather!H20</f>
        <v>128.88749999999999</v>
      </c>
      <c r="BD20" s="7">
        <f>Weather!I20</f>
        <v>0</v>
      </c>
      <c r="BE20" s="7">
        <f>Weather!J20</f>
        <v>189.22916666666666</v>
      </c>
      <c r="BF20" s="7">
        <f>Weather!K20</f>
        <v>0</v>
      </c>
      <c r="BG20" s="7">
        <f>Weather!L20</f>
        <v>251.2291666666666</v>
      </c>
      <c r="BH20" s="7">
        <f>Weather!M20</f>
        <v>0</v>
      </c>
      <c r="BI20" s="7">
        <f>Weather!N20</f>
        <v>313.22916666666657</v>
      </c>
      <c r="BJ20" s="7">
        <f>Weather!O20</f>
        <v>0</v>
      </c>
      <c r="BK20" s="7">
        <f>Weather!P20</f>
        <v>375.22916666666669</v>
      </c>
      <c r="BL20" s="7">
        <f>Weather!Q20</f>
        <v>0</v>
      </c>
      <c r="BM20" s="7">
        <f>Weather!R20</f>
        <v>437.22916666666669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f t="shared" si="9"/>
        <v>19</v>
      </c>
      <c r="CD20" s="1">
        <v>31</v>
      </c>
      <c r="CE20" s="1">
        <v>20</v>
      </c>
      <c r="CF20" s="1">
        <v>0</v>
      </c>
      <c r="CG20" s="1">
        <v>0</v>
      </c>
      <c r="CH20" s="1">
        <v>0</v>
      </c>
      <c r="CI20" s="1">
        <v>0</v>
      </c>
      <c r="CJ20" s="1">
        <f t="shared" si="12"/>
        <v>0</v>
      </c>
      <c r="CK20" s="1">
        <f t="shared" si="12"/>
        <v>0</v>
      </c>
      <c r="CL20" s="1">
        <f t="shared" si="12"/>
        <v>0</v>
      </c>
      <c r="CM20" s="1">
        <f t="shared" si="10"/>
        <v>0</v>
      </c>
      <c r="CN20" s="1">
        <f t="shared" si="10"/>
        <v>0</v>
      </c>
      <c r="CO20" s="1">
        <f t="shared" si="10"/>
        <v>0</v>
      </c>
      <c r="CP20" s="1">
        <f t="shared" si="10"/>
        <v>0</v>
      </c>
      <c r="CQ20" s="1">
        <f t="shared" si="10"/>
        <v>0</v>
      </c>
      <c r="CR20" s="1">
        <f t="shared" si="10"/>
        <v>0</v>
      </c>
      <c r="CS20" s="1">
        <f t="shared" si="10"/>
        <v>0</v>
      </c>
      <c r="CT20" s="1">
        <f t="shared" si="10"/>
        <v>0</v>
      </c>
      <c r="CU20" s="1">
        <f t="shared" si="10"/>
        <v>0</v>
      </c>
      <c r="CV20" s="1">
        <f t="shared" si="10"/>
        <v>0</v>
      </c>
      <c r="CW20" s="1">
        <f t="shared" si="10"/>
        <v>0</v>
      </c>
      <c r="CX20" s="1">
        <f t="shared" si="13"/>
        <v>0</v>
      </c>
      <c r="CY20" s="1">
        <f t="shared" si="13"/>
        <v>0</v>
      </c>
      <c r="CZ20" s="1">
        <f t="shared" si="13"/>
        <v>0</v>
      </c>
      <c r="DA20" s="1">
        <f t="shared" si="11"/>
        <v>0</v>
      </c>
      <c r="DB20" s="1">
        <f t="shared" si="11"/>
        <v>0</v>
      </c>
      <c r="DC20" s="1">
        <f t="shared" si="11"/>
        <v>0</v>
      </c>
      <c r="DD20" s="1">
        <f t="shared" si="11"/>
        <v>0</v>
      </c>
      <c r="DE20" s="1">
        <f t="shared" si="11"/>
        <v>0</v>
      </c>
      <c r="DF20" s="1">
        <f t="shared" si="11"/>
        <v>0</v>
      </c>
      <c r="DG20" s="1">
        <f t="shared" si="11"/>
        <v>0</v>
      </c>
      <c r="DH20" s="1">
        <f t="shared" si="11"/>
        <v>0</v>
      </c>
      <c r="DI20" s="1">
        <f t="shared" si="11"/>
        <v>0</v>
      </c>
      <c r="DJ20" s="1">
        <f t="shared" si="11"/>
        <v>0</v>
      </c>
      <c r="DK20" s="1">
        <f t="shared" si="11"/>
        <v>0</v>
      </c>
      <c r="DL20" s="25">
        <v>0</v>
      </c>
      <c r="DM20" s="25">
        <v>0</v>
      </c>
      <c r="DN20" s="24"/>
      <c r="DO20" s="25"/>
      <c r="DP20" s="25"/>
      <c r="DQ20" s="25"/>
      <c r="DR20" s="25"/>
      <c r="DS20" s="25"/>
      <c r="DT20" s="25"/>
      <c r="DU20" s="25"/>
      <c r="DV20" s="25"/>
    </row>
    <row r="21" spans="1:126" x14ac:dyDescent="0.25">
      <c r="A21" s="252">
        <v>42583</v>
      </c>
      <c r="B21" s="253">
        <f t="shared" si="0"/>
        <v>2016</v>
      </c>
      <c r="C21" s="253">
        <f t="shared" si="1"/>
        <v>8</v>
      </c>
      <c r="D21" s="254">
        <v>51457074.698908903</v>
      </c>
      <c r="E21" s="254">
        <f>IFERROR(VLOOKUP($B21-1,CDM!$L$7:$T$18,2,FALSE)/12,0)+IFERROR(VLOOKUP($B21,CDM!$L$36:$T$46,2,FALSE)/24,0)+IFERROR(VLOOKUP($B21,CDM!$L$36:$T$46,2,FALSE)/2*$C21/78,0)</f>
        <v>738839.9150641025</v>
      </c>
      <c r="F21" s="254">
        <f t="shared" si="2"/>
        <v>52195914.613973007</v>
      </c>
      <c r="G21" s="255">
        <v>50200</v>
      </c>
      <c r="H21" s="254">
        <v>12103469.592723427</v>
      </c>
      <c r="I21" s="254">
        <f>IFERROR(VLOOKUP($B21-1,CDM!$L$7:$T$18,3,FALSE)/12,0)+IFERROR(VLOOKUP($B21,CDM!$L$36:$T$46,3,FALSE)/24,0)+IFERROR(VLOOKUP($B21,CDM!$L$36:$T$46,3,FALSE)/2*$C21/78,0)</f>
        <v>203463.07988782052</v>
      </c>
      <c r="J21" s="254">
        <f t="shared" si="6"/>
        <v>12306932.672611248</v>
      </c>
      <c r="K21" s="256">
        <v>4165</v>
      </c>
      <c r="L21" s="4">
        <v>29901858.329643179</v>
      </c>
      <c r="M21" s="257">
        <f>IFERROR(VLOOKUP($B21-1,CDM!$L$7:$T$18,4,FALSE)/12,0)+IFERROR(VLOOKUP($B21,CDM!$L$36:$T$46,4,FALSE)/24,0)+IFERROR(VLOOKUP($B21,CDM!$L$36:$T$46,4,FALSE)/2*$C21/78,0)</f>
        <v>201945.59987179487</v>
      </c>
      <c r="N21" s="254">
        <f t="shared" si="3"/>
        <v>30103803.929514974</v>
      </c>
      <c r="O21" s="4">
        <v>73658</v>
      </c>
      <c r="P21" s="256">
        <v>520</v>
      </c>
      <c r="Q21" s="256">
        <v>8702300.5564617217</v>
      </c>
      <c r="R21" s="256">
        <f>IFERROR(VLOOKUP($B21-1,CDM!$L$7:$T$18,5,FALSE)/12,0)+IFERROR(VLOOKUP($B21,CDM!$L$36:$T$46,5,FALSE)/24,0)+IFERROR(VLOOKUP($B21,CDM!$L$36:$T$46,5,FALSE)/2*$C21/78,0)</f>
        <v>879197.25613782043</v>
      </c>
      <c r="S21" s="256">
        <f t="shared" si="7"/>
        <v>9581497.8125995416</v>
      </c>
      <c r="T21" s="256">
        <v>19324</v>
      </c>
      <c r="U21" s="256">
        <v>13</v>
      </c>
      <c r="V21" s="256">
        <v>3656370.200016906</v>
      </c>
      <c r="W21" s="256">
        <f>IFERROR(VLOOKUP($B21-1,CDM!$L$7:$T$18,6,FALSE)/12,0)+IFERROR(VLOOKUP($B21,CDM!$L$36:$T$46,6,FALSE)/24,0)+IFERROR(VLOOKUP($B21,CDM!$L$36:$T$46,6,FALSE)/2*$C21/78,0)</f>
        <v>0</v>
      </c>
      <c r="X21" s="256">
        <f t="shared" si="8"/>
        <v>3656370.200016906</v>
      </c>
      <c r="Y21" s="256">
        <v>9105</v>
      </c>
      <c r="Z21" s="256">
        <v>1</v>
      </c>
      <c r="AA21" s="4">
        <v>639096.39729097299</v>
      </c>
      <c r="AB21" s="4">
        <v>2238</v>
      </c>
      <c r="AC21" s="256">
        <v>12993</v>
      </c>
      <c r="AD21" s="256">
        <v>2179.9923707800881</v>
      </c>
      <c r="AE21" s="256">
        <v>0</v>
      </c>
      <c r="AF21" s="256">
        <v>23</v>
      </c>
      <c r="AG21" s="4">
        <v>207738</v>
      </c>
      <c r="AH21" s="4">
        <v>247</v>
      </c>
      <c r="AI21" s="28">
        <f>Economic!H23</f>
        <v>743976.2</v>
      </c>
      <c r="AJ21" s="28">
        <f>Economic!I23</f>
        <v>571846.40000000002</v>
      </c>
      <c r="AK21" s="28">
        <f>Economic!J23</f>
        <v>51922</v>
      </c>
      <c r="AL21" s="28">
        <f>Economic!K23</f>
        <v>746606</v>
      </c>
      <c r="AM21" s="28">
        <f>Economic!L23</f>
        <v>574136</v>
      </c>
      <c r="AN21" s="28">
        <f>Economic!M23</f>
        <v>30035</v>
      </c>
      <c r="AO21" s="28">
        <f>Economic!D23</f>
        <v>6953.5</v>
      </c>
      <c r="AP21" s="28">
        <f>Economic!E23</f>
        <v>7045.6</v>
      </c>
      <c r="AQ21" s="28">
        <f>Economic!F23</f>
        <v>209.3</v>
      </c>
      <c r="AR21" s="28">
        <f>Economic!G23</f>
        <v>211.2</v>
      </c>
      <c r="AS21" s="28">
        <f>Economic!N23</f>
        <v>56.699999999999818</v>
      </c>
      <c r="AT21" s="28">
        <f>Economic!O23</f>
        <v>45.400000000000546</v>
      </c>
      <c r="AU21" s="28">
        <f>Economic!P23</f>
        <v>26.300000000000011</v>
      </c>
      <c r="AV21" s="28">
        <f>Economic!Q23</f>
        <v>25.399999999999977</v>
      </c>
      <c r="AW21" s="28">
        <f>Economic!R23</f>
        <v>16366.599999999977</v>
      </c>
      <c r="AX21" s="28">
        <f>Economic!S23</f>
        <v>5974</v>
      </c>
      <c r="AY21" s="7">
        <f>Weather!D21</f>
        <v>22.581451612903233</v>
      </c>
      <c r="AZ21" s="7">
        <f>Weather!E21</f>
        <v>4.029166666666665</v>
      </c>
      <c r="BA21" s="7">
        <f>Weather!F21</f>
        <v>84.054166666666674</v>
      </c>
      <c r="BB21" s="7">
        <f>Weather!G21</f>
        <v>1.1291666666666664</v>
      </c>
      <c r="BC21" s="7">
        <f>Weather!H21</f>
        <v>143.1541666666667</v>
      </c>
      <c r="BD21" s="7">
        <f>Weather!I21</f>
        <v>0</v>
      </c>
      <c r="BE21" s="7">
        <f>Weather!J21</f>
        <v>204.02500000000006</v>
      </c>
      <c r="BF21" s="7">
        <f>Weather!K21</f>
        <v>0</v>
      </c>
      <c r="BG21" s="7">
        <f>Weather!L21</f>
        <v>266.02500000000003</v>
      </c>
      <c r="BH21" s="7">
        <f>Weather!M21</f>
        <v>0</v>
      </c>
      <c r="BI21" s="7">
        <f>Weather!N21</f>
        <v>328.02499999999998</v>
      </c>
      <c r="BJ21" s="7">
        <f>Weather!O21</f>
        <v>0</v>
      </c>
      <c r="BK21" s="7">
        <f>Weather!P21</f>
        <v>390.02499999999998</v>
      </c>
      <c r="BL21" s="7">
        <f>Weather!Q21</f>
        <v>0</v>
      </c>
      <c r="BM21" s="7">
        <f>Weather!R21</f>
        <v>452.02499999999998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f t="shared" si="9"/>
        <v>20</v>
      </c>
      <c r="CD21" s="1">
        <v>31</v>
      </c>
      <c r="CE21" s="1">
        <v>22</v>
      </c>
      <c r="CF21" s="1">
        <v>0</v>
      </c>
      <c r="CG21" s="1">
        <v>0</v>
      </c>
      <c r="CH21" s="1">
        <v>0</v>
      </c>
      <c r="CI21" s="1">
        <v>0</v>
      </c>
      <c r="CJ21" s="1">
        <f t="shared" si="12"/>
        <v>0</v>
      </c>
      <c r="CK21" s="1">
        <f t="shared" si="12"/>
        <v>0</v>
      </c>
      <c r="CL21" s="1">
        <f t="shared" si="12"/>
        <v>0</v>
      </c>
      <c r="CM21" s="1">
        <f t="shared" si="10"/>
        <v>0</v>
      </c>
      <c r="CN21" s="1">
        <f t="shared" si="10"/>
        <v>0</v>
      </c>
      <c r="CO21" s="1">
        <f t="shared" si="10"/>
        <v>0</v>
      </c>
      <c r="CP21" s="1">
        <f t="shared" si="10"/>
        <v>0</v>
      </c>
      <c r="CQ21" s="1">
        <f t="shared" si="10"/>
        <v>0</v>
      </c>
      <c r="CR21" s="1">
        <f t="shared" si="10"/>
        <v>0</v>
      </c>
      <c r="CS21" s="1">
        <f t="shared" si="10"/>
        <v>0</v>
      </c>
      <c r="CT21" s="1">
        <f t="shared" si="10"/>
        <v>0</v>
      </c>
      <c r="CU21" s="1">
        <f t="shared" si="10"/>
        <v>0</v>
      </c>
      <c r="CV21" s="1">
        <f t="shared" si="10"/>
        <v>0</v>
      </c>
      <c r="CW21" s="1">
        <f t="shared" si="10"/>
        <v>0</v>
      </c>
      <c r="CX21" s="1">
        <f t="shared" si="13"/>
        <v>0</v>
      </c>
      <c r="CY21" s="1">
        <f t="shared" si="13"/>
        <v>0</v>
      </c>
      <c r="CZ21" s="1">
        <f t="shared" si="13"/>
        <v>0</v>
      </c>
      <c r="DA21" s="1">
        <f t="shared" si="11"/>
        <v>0</v>
      </c>
      <c r="DB21" s="1">
        <f t="shared" si="11"/>
        <v>0</v>
      </c>
      <c r="DC21" s="1">
        <f t="shared" si="11"/>
        <v>0</v>
      </c>
      <c r="DD21" s="1">
        <f t="shared" si="11"/>
        <v>0</v>
      </c>
      <c r="DE21" s="1">
        <f t="shared" si="11"/>
        <v>0</v>
      </c>
      <c r="DF21" s="1">
        <f t="shared" si="11"/>
        <v>0</v>
      </c>
      <c r="DG21" s="1">
        <f t="shared" si="11"/>
        <v>0</v>
      </c>
      <c r="DH21" s="1">
        <f t="shared" si="11"/>
        <v>0</v>
      </c>
      <c r="DI21" s="1">
        <f t="shared" si="11"/>
        <v>0</v>
      </c>
      <c r="DJ21" s="1">
        <f t="shared" si="11"/>
        <v>0</v>
      </c>
      <c r="DK21" s="1">
        <f t="shared" si="11"/>
        <v>0</v>
      </c>
      <c r="DL21" s="25">
        <v>0</v>
      </c>
      <c r="DM21" s="25">
        <v>0</v>
      </c>
      <c r="DN21" s="24"/>
      <c r="DO21" s="25"/>
      <c r="DP21" s="25"/>
      <c r="DQ21" s="25"/>
      <c r="DR21" s="25"/>
      <c r="DS21" s="25"/>
      <c r="DT21" s="25"/>
      <c r="DU21" s="25"/>
      <c r="DV21" s="25"/>
    </row>
    <row r="22" spans="1:126" x14ac:dyDescent="0.25">
      <c r="A22" s="252">
        <v>42614</v>
      </c>
      <c r="B22" s="253">
        <f t="shared" si="0"/>
        <v>2016</v>
      </c>
      <c r="C22" s="253">
        <f t="shared" si="1"/>
        <v>9</v>
      </c>
      <c r="D22" s="254">
        <v>41323387.053584211</v>
      </c>
      <c r="E22" s="254">
        <f>IFERROR(VLOOKUP($B22-1,CDM!$L$7:$T$18,2,FALSE)/12,0)+IFERROR(VLOOKUP($B22,CDM!$L$36:$T$46,2,FALSE)/24,0)+IFERROR(VLOOKUP($B22,CDM!$L$36:$T$46,2,FALSE)/2*$C22/78,0)</f>
        <v>779760.719551282</v>
      </c>
      <c r="F22" s="254">
        <f t="shared" si="2"/>
        <v>42103147.773135491</v>
      </c>
      <c r="G22" s="255">
        <v>50974</v>
      </c>
      <c r="H22" s="254">
        <v>10447603.063017333</v>
      </c>
      <c r="I22" s="254">
        <f>IFERROR(VLOOKUP($B22-1,CDM!$L$7:$T$18,3,FALSE)/12,0)+IFERROR(VLOOKUP($B22,CDM!$L$36:$T$46,3,FALSE)/24,0)+IFERROR(VLOOKUP($B22,CDM!$L$36:$T$46,3,FALSE)/2*$C22/78,0)</f>
        <v>214534.51286858972</v>
      </c>
      <c r="J22" s="254">
        <f t="shared" si="6"/>
        <v>10662137.575885922</v>
      </c>
      <c r="K22" s="256">
        <v>4177</v>
      </c>
      <c r="L22" s="4">
        <v>25127678.072240893</v>
      </c>
      <c r="M22" s="257">
        <f>IFERROR(VLOOKUP($B22-1,CDM!$L$7:$T$18,4,FALSE)/12,0)+IFERROR(VLOOKUP($B22,CDM!$L$36:$T$46,4,FALSE)/24,0)+IFERROR(VLOOKUP($B22,CDM!$L$36:$T$46,4,FALSE)/2*$C22/78,0)</f>
        <v>211743.75923076924</v>
      </c>
      <c r="N22" s="254">
        <f t="shared" si="3"/>
        <v>25339421.831471663</v>
      </c>
      <c r="O22" s="4">
        <v>70883</v>
      </c>
      <c r="P22" s="256">
        <v>520</v>
      </c>
      <c r="Q22" s="256">
        <v>7830524.5268006735</v>
      </c>
      <c r="R22" s="256">
        <f>IFERROR(VLOOKUP($B22-1,CDM!$L$7:$T$18,5,FALSE)/12,0)+IFERROR(VLOOKUP($B22,CDM!$L$36:$T$46,5,FALSE)/24,0)+IFERROR(VLOOKUP($B22,CDM!$L$36:$T$46,5,FALSE)/2*$C22/78,0)</f>
        <v>912099.25995192304</v>
      </c>
      <c r="S22" s="256">
        <f t="shared" si="7"/>
        <v>8742623.7867525965</v>
      </c>
      <c r="T22" s="256">
        <v>18690</v>
      </c>
      <c r="U22" s="256">
        <v>13</v>
      </c>
      <c r="V22" s="256">
        <v>3775313.6989102969</v>
      </c>
      <c r="W22" s="256">
        <f>IFERROR(VLOOKUP($B22-1,CDM!$L$7:$T$18,6,FALSE)/12,0)+IFERROR(VLOOKUP($B22,CDM!$L$36:$T$46,6,FALSE)/24,0)+IFERROR(VLOOKUP($B22,CDM!$L$36:$T$46,6,FALSE)/2*$C22/78,0)</f>
        <v>0</v>
      </c>
      <c r="X22" s="256">
        <f t="shared" si="8"/>
        <v>3775313.6989102969</v>
      </c>
      <c r="Y22" s="256">
        <v>9649</v>
      </c>
      <c r="Z22" s="256">
        <v>1</v>
      </c>
      <c r="AA22" s="4">
        <v>632154.56154084823</v>
      </c>
      <c r="AB22" s="4">
        <v>2173</v>
      </c>
      <c r="AC22" s="256">
        <v>12993</v>
      </c>
      <c r="AD22" s="256">
        <v>2134.3887087545299</v>
      </c>
      <c r="AE22" s="256">
        <v>0</v>
      </c>
      <c r="AF22" s="256">
        <v>23</v>
      </c>
      <c r="AG22" s="4">
        <v>208307</v>
      </c>
      <c r="AH22" s="4">
        <v>247</v>
      </c>
      <c r="AI22" s="28">
        <f>Economic!H24</f>
        <v>743976.2</v>
      </c>
      <c r="AJ22" s="28">
        <f>Economic!I24</f>
        <v>571846.40000000002</v>
      </c>
      <c r="AK22" s="28">
        <f>Economic!J24</f>
        <v>51922</v>
      </c>
      <c r="AL22" s="28">
        <f>Economic!K24</f>
        <v>746606</v>
      </c>
      <c r="AM22" s="28">
        <f>Economic!L24</f>
        <v>574136</v>
      </c>
      <c r="AN22" s="28">
        <f>Economic!M24</f>
        <v>30035</v>
      </c>
      <c r="AO22" s="28">
        <f>Economic!D24</f>
        <v>6950.1</v>
      </c>
      <c r="AP22" s="28">
        <f>Economic!E24</f>
        <v>6998.1</v>
      </c>
      <c r="AQ22" s="28">
        <f>Economic!F24</f>
        <v>213.5</v>
      </c>
      <c r="AR22" s="28">
        <f>Economic!G24</f>
        <v>213.3</v>
      </c>
      <c r="AS22" s="28">
        <f>Economic!N24</f>
        <v>57</v>
      </c>
      <c r="AT22" s="28">
        <f>Economic!O24</f>
        <v>44.400000000000546</v>
      </c>
      <c r="AU22" s="28">
        <f>Economic!P24</f>
        <v>31.800000000000011</v>
      </c>
      <c r="AV22" s="28">
        <f>Economic!Q24</f>
        <v>30.300000000000011</v>
      </c>
      <c r="AW22" s="28">
        <f>Economic!R24</f>
        <v>16366.599999999977</v>
      </c>
      <c r="AX22" s="28">
        <f>Economic!S24</f>
        <v>5974</v>
      </c>
      <c r="AY22" s="7">
        <f>Weather!D22</f>
        <v>17.858055555555556</v>
      </c>
      <c r="AZ22" s="7">
        <f>Weather!E22</f>
        <v>80.145833333333343</v>
      </c>
      <c r="BA22" s="7">
        <f>Weather!F22</f>
        <v>15.887500000000006</v>
      </c>
      <c r="BB22" s="7">
        <f>Weather!G22</f>
        <v>40.929166666666667</v>
      </c>
      <c r="BC22" s="7">
        <f>Weather!H22</f>
        <v>36.670833333333334</v>
      </c>
      <c r="BD22" s="7">
        <f>Weather!I22</f>
        <v>15.7875</v>
      </c>
      <c r="BE22" s="7">
        <f>Weather!J22</f>
        <v>71.529166666666654</v>
      </c>
      <c r="BF22" s="7">
        <f>Weather!K22</f>
        <v>4.9124999999999979</v>
      </c>
      <c r="BG22" s="7">
        <f>Weather!L22</f>
        <v>120.65416666666664</v>
      </c>
      <c r="BH22" s="7">
        <f>Weather!M22</f>
        <v>0.8125</v>
      </c>
      <c r="BI22" s="7">
        <f>Weather!N22</f>
        <v>176.5541666666667</v>
      </c>
      <c r="BJ22" s="7">
        <f>Weather!O22</f>
        <v>0</v>
      </c>
      <c r="BK22" s="7">
        <f>Weather!P22</f>
        <v>235.7416666666667</v>
      </c>
      <c r="BL22" s="7">
        <f>Weather!Q22</f>
        <v>0</v>
      </c>
      <c r="BM22" s="7">
        <f>Weather!R22</f>
        <v>295.74166666666667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0</v>
      </c>
      <c r="CA22" s="1">
        <v>1</v>
      </c>
      <c r="CB22" s="1">
        <v>1</v>
      </c>
      <c r="CC22" s="1">
        <f t="shared" si="9"/>
        <v>21</v>
      </c>
      <c r="CD22" s="1">
        <v>30</v>
      </c>
      <c r="CE22" s="1">
        <v>21</v>
      </c>
      <c r="CF22" s="1">
        <v>0</v>
      </c>
      <c r="CG22" s="1">
        <v>0</v>
      </c>
      <c r="CH22" s="1">
        <v>0</v>
      </c>
      <c r="CI22" s="1">
        <v>0</v>
      </c>
      <c r="CJ22" s="1">
        <f t="shared" si="12"/>
        <v>0</v>
      </c>
      <c r="CK22" s="1">
        <f t="shared" si="12"/>
        <v>0</v>
      </c>
      <c r="CL22" s="1">
        <f t="shared" si="12"/>
        <v>0</v>
      </c>
      <c r="CM22" s="1">
        <f t="shared" si="10"/>
        <v>0</v>
      </c>
      <c r="CN22" s="1">
        <f t="shared" si="10"/>
        <v>0</v>
      </c>
      <c r="CO22" s="1">
        <f t="shared" si="10"/>
        <v>0</v>
      </c>
      <c r="CP22" s="1">
        <f t="shared" si="10"/>
        <v>0</v>
      </c>
      <c r="CQ22" s="1">
        <f t="shared" si="10"/>
        <v>0</v>
      </c>
      <c r="CR22" s="1">
        <f t="shared" si="10"/>
        <v>0</v>
      </c>
      <c r="CS22" s="1">
        <f t="shared" si="10"/>
        <v>0</v>
      </c>
      <c r="CT22" s="1">
        <f t="shared" si="10"/>
        <v>0</v>
      </c>
      <c r="CU22" s="1">
        <f t="shared" si="10"/>
        <v>0</v>
      </c>
      <c r="CV22" s="1">
        <f t="shared" si="10"/>
        <v>0</v>
      </c>
      <c r="CW22" s="1">
        <f t="shared" si="10"/>
        <v>0</v>
      </c>
      <c r="CX22" s="1">
        <f t="shared" si="13"/>
        <v>0</v>
      </c>
      <c r="CY22" s="1">
        <f t="shared" si="13"/>
        <v>0</v>
      </c>
      <c r="CZ22" s="1">
        <f t="shared" si="13"/>
        <v>0</v>
      </c>
      <c r="DA22" s="1">
        <f t="shared" si="11"/>
        <v>0</v>
      </c>
      <c r="DB22" s="1">
        <f t="shared" si="11"/>
        <v>0</v>
      </c>
      <c r="DC22" s="1">
        <f t="shared" si="11"/>
        <v>0</v>
      </c>
      <c r="DD22" s="1">
        <f t="shared" si="11"/>
        <v>0</v>
      </c>
      <c r="DE22" s="1">
        <f t="shared" si="11"/>
        <v>0</v>
      </c>
      <c r="DF22" s="1">
        <f t="shared" si="11"/>
        <v>0</v>
      </c>
      <c r="DG22" s="1">
        <f t="shared" si="11"/>
        <v>0</v>
      </c>
      <c r="DH22" s="1">
        <f t="shared" si="11"/>
        <v>0</v>
      </c>
      <c r="DI22" s="1">
        <f t="shared" si="11"/>
        <v>0</v>
      </c>
      <c r="DJ22" s="1">
        <f t="shared" si="11"/>
        <v>0</v>
      </c>
      <c r="DK22" s="1">
        <f t="shared" si="11"/>
        <v>0</v>
      </c>
      <c r="DL22" s="25">
        <v>0</v>
      </c>
      <c r="DM22" s="25">
        <v>0</v>
      </c>
      <c r="DN22" s="24"/>
      <c r="DO22" s="25"/>
      <c r="DP22" s="25"/>
      <c r="DQ22" s="25"/>
      <c r="DR22" s="25"/>
      <c r="DS22" s="25"/>
      <c r="DT22" s="25"/>
      <c r="DU22" s="25"/>
      <c r="DV22" s="25"/>
    </row>
    <row r="23" spans="1:126" x14ac:dyDescent="0.25">
      <c r="A23" s="252">
        <v>42644</v>
      </c>
      <c r="B23" s="253">
        <f t="shared" si="0"/>
        <v>2016</v>
      </c>
      <c r="C23" s="253">
        <f t="shared" si="1"/>
        <v>10</v>
      </c>
      <c r="D23" s="254">
        <v>31078402.68779869</v>
      </c>
      <c r="E23" s="254">
        <f>IFERROR(VLOOKUP($B23-1,CDM!$L$7:$T$18,2,FALSE)/12,0)+IFERROR(VLOOKUP($B23,CDM!$L$36:$T$46,2,FALSE)/24,0)+IFERROR(VLOOKUP($B23,CDM!$L$36:$T$46,2,FALSE)/2*$C23/78,0)</f>
        <v>820681.5240384615</v>
      </c>
      <c r="F23" s="254">
        <f t="shared" si="2"/>
        <v>31899084.21183715</v>
      </c>
      <c r="G23" s="255">
        <v>51681</v>
      </c>
      <c r="H23" s="254">
        <v>9824572.6010450833</v>
      </c>
      <c r="I23" s="254">
        <f>IFERROR(VLOOKUP($B23-1,CDM!$L$7:$T$18,3,FALSE)/12,0)+IFERROR(VLOOKUP($B23,CDM!$L$36:$T$46,3,FALSE)/24,0)+IFERROR(VLOOKUP($B23,CDM!$L$36:$T$46,3,FALSE)/2*$C23/78,0)</f>
        <v>225605.94584935898</v>
      </c>
      <c r="J23" s="254">
        <f t="shared" si="6"/>
        <v>10050178.546894442</v>
      </c>
      <c r="K23" s="256">
        <v>4154</v>
      </c>
      <c r="L23" s="4">
        <v>26209949.770736028</v>
      </c>
      <c r="M23" s="257">
        <f>IFERROR(VLOOKUP($B23-1,CDM!$L$7:$T$18,4,FALSE)/12,0)+IFERROR(VLOOKUP($B23,CDM!$L$36:$T$46,4,FALSE)/24,0)+IFERROR(VLOOKUP($B23,CDM!$L$36:$T$46,4,FALSE)/2*$C23/78,0)</f>
        <v>221541.91858974358</v>
      </c>
      <c r="N23" s="254">
        <f t="shared" si="3"/>
        <v>26431491.689325772</v>
      </c>
      <c r="O23" s="4">
        <v>70207</v>
      </c>
      <c r="P23" s="256">
        <v>521</v>
      </c>
      <c r="Q23" s="256">
        <v>6729377.3410356538</v>
      </c>
      <c r="R23" s="256">
        <f>IFERROR(VLOOKUP($B23-1,CDM!$L$7:$T$18,5,FALSE)/12,0)+IFERROR(VLOOKUP($B23,CDM!$L$36:$T$46,5,FALSE)/24,0)+IFERROR(VLOOKUP($B23,CDM!$L$36:$T$46,5,FALSE)/2*$C23/78,0)</f>
        <v>945001.26376602554</v>
      </c>
      <c r="S23" s="256">
        <f t="shared" si="7"/>
        <v>7674378.604801679</v>
      </c>
      <c r="T23" s="256">
        <v>16722</v>
      </c>
      <c r="U23" s="256">
        <v>13</v>
      </c>
      <c r="V23" s="256">
        <v>3484851.2475000508</v>
      </c>
      <c r="W23" s="256">
        <f>IFERROR(VLOOKUP($B23-1,CDM!$L$7:$T$18,6,FALSE)/12,0)+IFERROR(VLOOKUP($B23,CDM!$L$36:$T$46,6,FALSE)/24,0)+IFERROR(VLOOKUP($B23,CDM!$L$36:$T$46,6,FALSE)/2*$C23/78,0)</f>
        <v>0</v>
      </c>
      <c r="X23" s="256">
        <f t="shared" si="8"/>
        <v>3484851.2475000508</v>
      </c>
      <c r="Y23" s="256">
        <v>8298</v>
      </c>
      <c r="Z23" s="256">
        <v>1</v>
      </c>
      <c r="AA23" s="4">
        <v>877105.31296270562</v>
      </c>
      <c r="AB23" s="4">
        <v>2175</v>
      </c>
      <c r="AC23" s="256">
        <v>13019</v>
      </c>
      <c r="AD23" s="256">
        <v>2155.2736982643523</v>
      </c>
      <c r="AE23" s="256">
        <v>0</v>
      </c>
      <c r="AF23" s="256">
        <v>23</v>
      </c>
      <c r="AG23" s="4">
        <v>208072</v>
      </c>
      <c r="AH23" s="4">
        <v>247</v>
      </c>
      <c r="AI23" s="28">
        <f>Economic!H25</f>
        <v>743976.2</v>
      </c>
      <c r="AJ23" s="28">
        <f>Economic!I25</f>
        <v>571846.40000000002</v>
      </c>
      <c r="AK23" s="28">
        <f>Economic!J25</f>
        <v>51922</v>
      </c>
      <c r="AL23" s="28">
        <f>Economic!K25</f>
        <v>745380</v>
      </c>
      <c r="AM23" s="28">
        <f>Economic!L25</f>
        <v>574771</v>
      </c>
      <c r="AN23" s="28">
        <f>Economic!M25</f>
        <v>30202</v>
      </c>
      <c r="AO23" s="28">
        <f>Economic!D25</f>
        <v>6963.9</v>
      </c>
      <c r="AP23" s="28">
        <f>Economic!E25</f>
        <v>6990.5</v>
      </c>
      <c r="AQ23" s="28">
        <f>Economic!F25</f>
        <v>214.3</v>
      </c>
      <c r="AR23" s="28">
        <f>Economic!G25</f>
        <v>213.5</v>
      </c>
      <c r="AS23" s="28">
        <f>Economic!N25</f>
        <v>71</v>
      </c>
      <c r="AT23" s="28">
        <f>Economic!O25</f>
        <v>57.699999999999818</v>
      </c>
      <c r="AU23" s="28">
        <f>Economic!P25</f>
        <v>27.200000000000017</v>
      </c>
      <c r="AV23" s="28">
        <f>Economic!Q25</f>
        <v>26</v>
      </c>
      <c r="AW23" s="28">
        <f>Economic!R25</f>
        <v>16366.599999999977</v>
      </c>
      <c r="AX23" s="28">
        <f>Economic!S25</f>
        <v>-1226</v>
      </c>
      <c r="AY23" s="7">
        <f>Weather!D23</f>
        <v>10.864650537634409</v>
      </c>
      <c r="AZ23" s="7">
        <f>Weather!E23</f>
        <v>283.19583333333327</v>
      </c>
      <c r="BA23" s="7">
        <f>Weather!F23</f>
        <v>0</v>
      </c>
      <c r="BB23" s="7">
        <f>Weather!G23</f>
        <v>222.13333333333333</v>
      </c>
      <c r="BC23" s="7">
        <f>Weather!H23</f>
        <v>0.93750000000000355</v>
      </c>
      <c r="BD23" s="7">
        <f>Weather!I23</f>
        <v>166.45</v>
      </c>
      <c r="BE23" s="7">
        <f>Weather!J23</f>
        <v>7.2541666666666735</v>
      </c>
      <c r="BF23" s="7">
        <f>Weather!K23</f>
        <v>121.96666666666667</v>
      </c>
      <c r="BG23" s="7">
        <f>Weather!L23</f>
        <v>24.770833333333336</v>
      </c>
      <c r="BH23" s="7">
        <f>Weather!M23</f>
        <v>87.579166666666666</v>
      </c>
      <c r="BI23" s="7">
        <f>Weather!N23</f>
        <v>52.383333333333333</v>
      </c>
      <c r="BJ23" s="7">
        <f>Weather!O23</f>
        <v>58.995833333333337</v>
      </c>
      <c r="BK23" s="7">
        <f>Weather!P23</f>
        <v>85.800000000000011</v>
      </c>
      <c r="BL23" s="7">
        <f>Weather!Q23</f>
        <v>33.25</v>
      </c>
      <c r="BM23" s="7">
        <f>Weather!R23</f>
        <v>122.05416666666669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0</v>
      </c>
      <c r="BY23" s="1">
        <v>0</v>
      </c>
      <c r="BZ23" s="1">
        <v>0</v>
      </c>
      <c r="CA23" s="1">
        <v>1</v>
      </c>
      <c r="CB23" s="1">
        <v>1</v>
      </c>
      <c r="CC23" s="1">
        <f t="shared" si="9"/>
        <v>22</v>
      </c>
      <c r="CD23" s="1">
        <v>31</v>
      </c>
      <c r="CE23" s="1">
        <v>20</v>
      </c>
      <c r="CF23" s="1">
        <v>0</v>
      </c>
      <c r="CG23" s="1">
        <v>0</v>
      </c>
      <c r="CH23" s="1">
        <v>0</v>
      </c>
      <c r="CI23" s="1">
        <v>0</v>
      </c>
      <c r="CJ23" s="1">
        <f t="shared" si="12"/>
        <v>0</v>
      </c>
      <c r="CK23" s="1">
        <f t="shared" si="12"/>
        <v>0</v>
      </c>
      <c r="CL23" s="1">
        <f t="shared" si="12"/>
        <v>0</v>
      </c>
      <c r="CM23" s="1">
        <f t="shared" si="10"/>
        <v>0</v>
      </c>
      <c r="CN23" s="1">
        <f t="shared" si="10"/>
        <v>0</v>
      </c>
      <c r="CO23" s="1">
        <f t="shared" si="10"/>
        <v>0</v>
      </c>
      <c r="CP23" s="1">
        <f t="shared" si="10"/>
        <v>0</v>
      </c>
      <c r="CQ23" s="1">
        <f t="shared" si="10"/>
        <v>0</v>
      </c>
      <c r="CR23" s="1">
        <f t="shared" si="10"/>
        <v>0</v>
      </c>
      <c r="CS23" s="1">
        <f t="shared" si="10"/>
        <v>0</v>
      </c>
      <c r="CT23" s="1">
        <f t="shared" si="10"/>
        <v>0</v>
      </c>
      <c r="CU23" s="1">
        <f t="shared" si="10"/>
        <v>0</v>
      </c>
      <c r="CV23" s="1">
        <f t="shared" si="10"/>
        <v>0</v>
      </c>
      <c r="CW23" s="1">
        <f t="shared" si="10"/>
        <v>0</v>
      </c>
      <c r="CX23" s="1">
        <f t="shared" si="13"/>
        <v>0</v>
      </c>
      <c r="CY23" s="1">
        <f t="shared" si="13"/>
        <v>0</v>
      </c>
      <c r="CZ23" s="1">
        <f t="shared" si="13"/>
        <v>0</v>
      </c>
      <c r="DA23" s="1">
        <f t="shared" si="11"/>
        <v>0</v>
      </c>
      <c r="DB23" s="1">
        <f t="shared" si="11"/>
        <v>0</v>
      </c>
      <c r="DC23" s="1">
        <f t="shared" si="11"/>
        <v>0</v>
      </c>
      <c r="DD23" s="1">
        <f t="shared" si="11"/>
        <v>0</v>
      </c>
      <c r="DE23" s="1">
        <f t="shared" si="11"/>
        <v>0</v>
      </c>
      <c r="DF23" s="1">
        <f t="shared" si="11"/>
        <v>0</v>
      </c>
      <c r="DG23" s="1">
        <f t="shared" si="11"/>
        <v>0</v>
      </c>
      <c r="DH23" s="1">
        <f t="shared" si="11"/>
        <v>0</v>
      </c>
      <c r="DI23" s="1">
        <f t="shared" si="11"/>
        <v>0</v>
      </c>
      <c r="DJ23" s="1">
        <f t="shared" si="11"/>
        <v>0</v>
      </c>
      <c r="DK23" s="1">
        <f t="shared" si="11"/>
        <v>0</v>
      </c>
      <c r="DL23" s="25">
        <v>0</v>
      </c>
      <c r="DM23" s="25">
        <v>0</v>
      </c>
      <c r="DN23" s="24"/>
      <c r="DO23" s="25"/>
      <c r="DP23" s="25"/>
      <c r="DQ23" s="25"/>
      <c r="DR23" s="25"/>
      <c r="DS23" s="25"/>
      <c r="DT23" s="25"/>
      <c r="DU23" s="25"/>
      <c r="DV23" s="25"/>
    </row>
    <row r="24" spans="1:126" x14ac:dyDescent="0.25">
      <c r="A24" s="252">
        <v>42675</v>
      </c>
      <c r="B24" s="253">
        <f t="shared" si="0"/>
        <v>2016</v>
      </c>
      <c r="C24" s="253">
        <f t="shared" si="1"/>
        <v>11</v>
      </c>
      <c r="D24" s="254">
        <v>34273595.313102454</v>
      </c>
      <c r="E24" s="254">
        <f>IFERROR(VLOOKUP($B24-1,CDM!$L$7:$T$18,2,FALSE)/12,0)+IFERROR(VLOOKUP($B24,CDM!$L$36:$T$46,2,FALSE)/24,0)+IFERROR(VLOOKUP($B24,CDM!$L$36:$T$46,2,FALSE)/2*$C24/78,0)</f>
        <v>861602.328525641</v>
      </c>
      <c r="F24" s="254">
        <f t="shared" si="2"/>
        <v>35135197.641628094</v>
      </c>
      <c r="G24" s="255">
        <v>52301</v>
      </c>
      <c r="H24" s="254">
        <v>10230967.21478804</v>
      </c>
      <c r="I24" s="254">
        <f>IFERROR(VLOOKUP($B24-1,CDM!$L$7:$T$18,3,FALSE)/12,0)+IFERROR(VLOOKUP($B24,CDM!$L$36:$T$46,3,FALSE)/24,0)+IFERROR(VLOOKUP($B24,CDM!$L$36:$T$46,3,FALSE)/2*$C24/78,0)</f>
        <v>236677.37883012817</v>
      </c>
      <c r="J24" s="254">
        <f t="shared" si="6"/>
        <v>10467644.593618168</v>
      </c>
      <c r="K24" s="256">
        <v>4148</v>
      </c>
      <c r="L24" s="4">
        <v>26253628.308804449</v>
      </c>
      <c r="M24" s="257">
        <f>IFERROR(VLOOKUP($B24-1,CDM!$L$7:$T$18,4,FALSE)/12,0)+IFERROR(VLOOKUP($B24,CDM!$L$36:$T$46,4,FALSE)/24,0)+IFERROR(VLOOKUP($B24,CDM!$L$36:$T$46,4,FALSE)/2*$C24/78,0)</f>
        <v>231340.07794871792</v>
      </c>
      <c r="N24" s="254">
        <f t="shared" si="3"/>
        <v>26484968.386753168</v>
      </c>
      <c r="O24" s="4">
        <v>67765</v>
      </c>
      <c r="P24" s="256">
        <v>521</v>
      </c>
      <c r="Q24" s="256">
        <v>6254479.4135262463</v>
      </c>
      <c r="R24" s="256">
        <f>IFERROR(VLOOKUP($B24-1,CDM!$L$7:$T$18,5,FALSE)/12,0)+IFERROR(VLOOKUP($B24,CDM!$L$36:$T$46,5,FALSE)/24,0)+IFERROR(VLOOKUP($B24,CDM!$L$36:$T$46,5,FALSE)/2*$C24/78,0)</f>
        <v>977903.26758012804</v>
      </c>
      <c r="S24" s="256">
        <f t="shared" si="7"/>
        <v>7232382.6811063746</v>
      </c>
      <c r="T24" s="256">
        <v>15706</v>
      </c>
      <c r="U24" s="256">
        <v>12</v>
      </c>
      <c r="V24" s="256">
        <v>3264640.2214974263</v>
      </c>
      <c r="W24" s="256">
        <f>IFERROR(VLOOKUP($B24-1,CDM!$L$7:$T$18,6,FALSE)/12,0)+IFERROR(VLOOKUP($B24,CDM!$L$36:$T$46,6,FALSE)/24,0)+IFERROR(VLOOKUP($B24,CDM!$L$36:$T$46,6,FALSE)/2*$C24/78,0)</f>
        <v>0</v>
      </c>
      <c r="X24" s="256">
        <f t="shared" si="8"/>
        <v>3264640.2214974263</v>
      </c>
      <c r="Y24" s="256">
        <v>8010</v>
      </c>
      <c r="Z24" s="256">
        <v>1</v>
      </c>
      <c r="AA24" s="4">
        <v>930990.86645702797</v>
      </c>
      <c r="AB24" s="4">
        <v>2178</v>
      </c>
      <c r="AC24" s="256">
        <v>13031</v>
      </c>
      <c r="AD24" s="256">
        <v>2134.3887087545299</v>
      </c>
      <c r="AE24" s="256">
        <v>0</v>
      </c>
      <c r="AF24" s="256">
        <v>23</v>
      </c>
      <c r="AG24" s="4">
        <v>208321</v>
      </c>
      <c r="AH24" s="4">
        <v>246</v>
      </c>
      <c r="AI24" s="28">
        <f>Economic!H26</f>
        <v>743976.2</v>
      </c>
      <c r="AJ24" s="28">
        <f>Economic!I26</f>
        <v>571846.40000000002</v>
      </c>
      <c r="AK24" s="28">
        <f>Economic!J26</f>
        <v>51922</v>
      </c>
      <c r="AL24" s="28">
        <f>Economic!K26</f>
        <v>745380</v>
      </c>
      <c r="AM24" s="28">
        <f>Economic!L26</f>
        <v>574771</v>
      </c>
      <c r="AN24" s="28">
        <f>Economic!M26</f>
        <v>30202</v>
      </c>
      <c r="AO24" s="28">
        <f>Economic!D26</f>
        <v>6977.8</v>
      </c>
      <c r="AP24" s="28">
        <f>Economic!E26</f>
        <v>6983.4</v>
      </c>
      <c r="AQ24" s="28">
        <f>Economic!F26</f>
        <v>215.1</v>
      </c>
      <c r="AR24" s="28">
        <f>Economic!G26</f>
        <v>214.1</v>
      </c>
      <c r="AS24" s="28">
        <f>Economic!N26</f>
        <v>91.600000000000364</v>
      </c>
      <c r="AT24" s="28">
        <f>Economic!O26</f>
        <v>85.199999999999818</v>
      </c>
      <c r="AU24" s="28">
        <f>Economic!P26</f>
        <v>22.599999999999994</v>
      </c>
      <c r="AV24" s="28">
        <f>Economic!Q26</f>
        <v>22</v>
      </c>
      <c r="AW24" s="28">
        <f>Economic!R26</f>
        <v>16366.599999999977</v>
      </c>
      <c r="AX24" s="28">
        <f>Economic!S26</f>
        <v>-1226</v>
      </c>
      <c r="AY24" s="7">
        <f>Weather!D24</f>
        <v>5.4221626984126994</v>
      </c>
      <c r="AZ24" s="7">
        <f>Weather!E24</f>
        <v>437.33511904761912</v>
      </c>
      <c r="BA24" s="7">
        <f>Weather!F24</f>
        <v>0</v>
      </c>
      <c r="BB24" s="7">
        <f>Weather!G24</f>
        <v>377.33511904761912</v>
      </c>
      <c r="BC24" s="7">
        <f>Weather!H24</f>
        <v>0</v>
      </c>
      <c r="BD24" s="7">
        <f>Weather!I24</f>
        <v>317.335119047619</v>
      </c>
      <c r="BE24" s="7">
        <f>Weather!J24</f>
        <v>0</v>
      </c>
      <c r="BF24" s="7">
        <f>Weather!K24</f>
        <v>257.33511904761906</v>
      </c>
      <c r="BG24" s="7">
        <f>Weather!L24</f>
        <v>0</v>
      </c>
      <c r="BH24" s="7">
        <f>Weather!M24</f>
        <v>198.66428571428571</v>
      </c>
      <c r="BI24" s="7">
        <f>Weather!N24</f>
        <v>1.3291666666666675</v>
      </c>
      <c r="BJ24" s="7">
        <f>Weather!O24</f>
        <v>141.00178571428572</v>
      </c>
      <c r="BK24" s="7">
        <f>Weather!P24</f>
        <v>3.6666666666666679</v>
      </c>
      <c r="BL24" s="7">
        <f>Weather!Q24</f>
        <v>89.230952380952388</v>
      </c>
      <c r="BM24" s="7">
        <f>Weather!R24</f>
        <v>11.895833333333334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0</v>
      </c>
      <c r="CA24" s="1">
        <v>1</v>
      </c>
      <c r="CB24" s="1">
        <v>1</v>
      </c>
      <c r="CC24" s="1">
        <f t="shared" si="9"/>
        <v>23</v>
      </c>
      <c r="CD24" s="1">
        <v>30</v>
      </c>
      <c r="CE24" s="1">
        <v>22</v>
      </c>
      <c r="CF24" s="1">
        <v>0</v>
      </c>
      <c r="CG24" s="1">
        <v>0</v>
      </c>
      <c r="CH24" s="1">
        <v>0</v>
      </c>
      <c r="CI24" s="1">
        <v>0</v>
      </c>
      <c r="CJ24" s="1">
        <f t="shared" si="12"/>
        <v>0</v>
      </c>
      <c r="CK24" s="1">
        <f t="shared" si="12"/>
        <v>0</v>
      </c>
      <c r="CL24" s="1">
        <f t="shared" si="12"/>
        <v>0</v>
      </c>
      <c r="CM24" s="1">
        <f t="shared" si="10"/>
        <v>0</v>
      </c>
      <c r="CN24" s="1">
        <f t="shared" si="10"/>
        <v>0</v>
      </c>
      <c r="CO24" s="1">
        <f t="shared" si="10"/>
        <v>0</v>
      </c>
      <c r="CP24" s="1">
        <f t="shared" si="10"/>
        <v>0</v>
      </c>
      <c r="CQ24" s="1">
        <f t="shared" si="10"/>
        <v>0</v>
      </c>
      <c r="CR24" s="1">
        <f t="shared" si="10"/>
        <v>0</v>
      </c>
      <c r="CS24" s="1">
        <f t="shared" si="10"/>
        <v>0</v>
      </c>
      <c r="CT24" s="1">
        <f t="shared" si="10"/>
        <v>0</v>
      </c>
      <c r="CU24" s="1">
        <f t="shared" si="10"/>
        <v>0</v>
      </c>
      <c r="CV24" s="1">
        <f t="shared" si="10"/>
        <v>0</v>
      </c>
      <c r="CW24" s="1">
        <f t="shared" si="10"/>
        <v>0</v>
      </c>
      <c r="CX24" s="1">
        <f t="shared" si="13"/>
        <v>0</v>
      </c>
      <c r="CY24" s="1">
        <f t="shared" si="13"/>
        <v>0</v>
      </c>
      <c r="CZ24" s="1">
        <f t="shared" si="13"/>
        <v>0</v>
      </c>
      <c r="DA24" s="1">
        <f t="shared" si="11"/>
        <v>0</v>
      </c>
      <c r="DB24" s="1">
        <f t="shared" si="11"/>
        <v>0</v>
      </c>
      <c r="DC24" s="1">
        <f t="shared" si="11"/>
        <v>0</v>
      </c>
      <c r="DD24" s="1">
        <f t="shared" si="11"/>
        <v>0</v>
      </c>
      <c r="DE24" s="1">
        <f t="shared" si="11"/>
        <v>0</v>
      </c>
      <c r="DF24" s="1">
        <f t="shared" si="11"/>
        <v>0</v>
      </c>
      <c r="DG24" s="1">
        <f t="shared" si="11"/>
        <v>0</v>
      </c>
      <c r="DH24" s="1">
        <f t="shared" si="11"/>
        <v>0</v>
      </c>
      <c r="DI24" s="1">
        <f t="shared" si="11"/>
        <v>0</v>
      </c>
      <c r="DJ24" s="1">
        <f t="shared" si="11"/>
        <v>0</v>
      </c>
      <c r="DK24" s="1">
        <f t="shared" si="11"/>
        <v>0</v>
      </c>
      <c r="DL24" s="25">
        <v>0</v>
      </c>
      <c r="DM24" s="25">
        <v>0</v>
      </c>
      <c r="DN24" s="24"/>
      <c r="DO24" s="25"/>
      <c r="DP24" s="25"/>
      <c r="DQ24" s="25"/>
      <c r="DR24" s="25"/>
      <c r="DS24" s="25"/>
      <c r="DT24" s="25"/>
      <c r="DU24" s="25"/>
      <c r="DV24" s="25"/>
    </row>
    <row r="25" spans="1:126" x14ac:dyDescent="0.25">
      <c r="A25" s="252">
        <v>42705</v>
      </c>
      <c r="B25" s="253">
        <f t="shared" si="0"/>
        <v>2016</v>
      </c>
      <c r="C25" s="253">
        <f t="shared" si="1"/>
        <v>12</v>
      </c>
      <c r="D25" s="254">
        <v>41550277.90731962</v>
      </c>
      <c r="E25" s="254">
        <f>IFERROR(VLOOKUP($B25-1,CDM!$L$7:$T$18,2,FALSE)/12,0)+IFERROR(VLOOKUP($B25,CDM!$L$36:$T$46,2,FALSE)/24,0)+IFERROR(VLOOKUP($B25,CDM!$L$36:$T$46,2,FALSE)/2*$C25/78,0)</f>
        <v>902523.1330128205</v>
      </c>
      <c r="F25" s="254">
        <f t="shared" si="2"/>
        <v>42452801.040332444</v>
      </c>
      <c r="G25" s="255">
        <v>52273</v>
      </c>
      <c r="H25" s="254">
        <v>11642824.155344663</v>
      </c>
      <c r="I25" s="254">
        <f>IFERROR(VLOOKUP($B25-1,CDM!$L$7:$T$18,3,FALSE)/12,0)+IFERROR(VLOOKUP($B25,CDM!$L$36:$T$46,3,FALSE)/24,0)+IFERROR(VLOOKUP($B25,CDM!$L$36:$T$46,3,FALSE)/2*$C25/78,0)</f>
        <v>247748.81181089743</v>
      </c>
      <c r="J25" s="254">
        <f t="shared" si="6"/>
        <v>11890572.967155561</v>
      </c>
      <c r="K25" s="256">
        <v>4150</v>
      </c>
      <c r="L25" s="4">
        <v>30980104.254032809</v>
      </c>
      <c r="M25" s="257">
        <f>IFERROR(VLOOKUP($B25-1,CDM!$L$7:$T$18,4,FALSE)/12,0)+IFERROR(VLOOKUP($B25,CDM!$L$36:$T$46,4,FALSE)/24,0)+IFERROR(VLOOKUP($B25,CDM!$L$36:$T$46,4,FALSE)/2*$C25/78,0)</f>
        <v>241138.23730769232</v>
      </c>
      <c r="N25" s="254">
        <f t="shared" si="3"/>
        <v>31221242.491340503</v>
      </c>
      <c r="O25" s="4">
        <v>70273</v>
      </c>
      <c r="P25" s="256">
        <v>521</v>
      </c>
      <c r="Q25" s="256">
        <v>6248395.3033376979</v>
      </c>
      <c r="R25" s="256">
        <f>IFERROR(VLOOKUP($B25-1,CDM!$L$7:$T$18,5,FALSE)/12,0)+IFERROR(VLOOKUP($B25,CDM!$L$36:$T$46,5,FALSE)/24,0)+IFERROR(VLOOKUP($B25,CDM!$L$36:$T$46,5,FALSE)/2*$C25/78,0)</f>
        <v>1010805.2713942307</v>
      </c>
      <c r="S25" s="256">
        <f t="shared" si="7"/>
        <v>7259200.5747319283</v>
      </c>
      <c r="T25" s="256">
        <v>14894</v>
      </c>
      <c r="U25" s="256">
        <v>12</v>
      </c>
      <c r="V25" s="256">
        <v>3043951.7634717003</v>
      </c>
      <c r="W25" s="256">
        <f>IFERROR(VLOOKUP($B25-1,CDM!$L$7:$T$18,6,FALSE)/12,0)+IFERROR(VLOOKUP($B25,CDM!$L$36:$T$46,6,FALSE)/24,0)+IFERROR(VLOOKUP($B25,CDM!$L$36:$T$46,6,FALSE)/2*$C25/78,0)</f>
        <v>0</v>
      </c>
      <c r="X25" s="256">
        <f t="shared" si="8"/>
        <v>3043951.7634717003</v>
      </c>
      <c r="Y25" s="256">
        <v>6751</v>
      </c>
      <c r="Z25" s="256">
        <v>1</v>
      </c>
      <c r="AA25" s="4">
        <v>1012609.0339279424</v>
      </c>
      <c r="AB25" s="4">
        <v>2179</v>
      </c>
      <c r="AC25" s="256">
        <v>13031</v>
      </c>
      <c r="AD25" s="256">
        <v>2155.2736982643523</v>
      </c>
      <c r="AE25" s="256">
        <v>85</v>
      </c>
      <c r="AF25" s="256">
        <v>23</v>
      </c>
      <c r="AG25" s="4">
        <v>208649</v>
      </c>
      <c r="AH25" s="4">
        <v>246</v>
      </c>
      <c r="AI25" s="28">
        <f>Economic!H27</f>
        <v>743976.2</v>
      </c>
      <c r="AJ25" s="28">
        <f>Economic!I27</f>
        <v>571846.40000000002</v>
      </c>
      <c r="AK25" s="28">
        <f>Economic!J27</f>
        <v>51922</v>
      </c>
      <c r="AL25" s="28">
        <f>Economic!K27</f>
        <v>745380</v>
      </c>
      <c r="AM25" s="28">
        <f>Economic!L27</f>
        <v>574771</v>
      </c>
      <c r="AN25" s="28">
        <f>Economic!M27</f>
        <v>30202</v>
      </c>
      <c r="AO25" s="28">
        <f>Economic!D27</f>
        <v>6992.4</v>
      </c>
      <c r="AP25" s="28">
        <f>Economic!E27</f>
        <v>6999.9</v>
      </c>
      <c r="AQ25" s="28">
        <f>Economic!F27</f>
        <v>215.7</v>
      </c>
      <c r="AR25" s="28">
        <f>Economic!G27</f>
        <v>215.4</v>
      </c>
      <c r="AS25" s="28">
        <f>Economic!N27</f>
        <v>96.799999999999272</v>
      </c>
      <c r="AT25" s="28">
        <f>Economic!O27</f>
        <v>97.599999999999454</v>
      </c>
      <c r="AU25" s="28">
        <f>Economic!P27</f>
        <v>16.299999999999983</v>
      </c>
      <c r="AV25" s="28">
        <f>Economic!Q27</f>
        <v>15.900000000000006</v>
      </c>
      <c r="AW25" s="28">
        <f>Economic!R27</f>
        <v>16366.599999999977</v>
      </c>
      <c r="AX25" s="28">
        <f>Economic!S27</f>
        <v>-1226</v>
      </c>
      <c r="AY25" s="7">
        <f>Weather!D25</f>
        <v>-1.8926075268817202</v>
      </c>
      <c r="AZ25" s="7">
        <f>Weather!E25</f>
        <v>678.67083333333323</v>
      </c>
      <c r="BA25" s="7">
        <f>Weather!F25</f>
        <v>0</v>
      </c>
      <c r="BB25" s="7">
        <f>Weather!G25</f>
        <v>616.67083333333335</v>
      </c>
      <c r="BC25" s="7">
        <f>Weather!H25</f>
        <v>0</v>
      </c>
      <c r="BD25" s="7">
        <f>Weather!I25</f>
        <v>554.67083333333346</v>
      </c>
      <c r="BE25" s="7">
        <f>Weather!J25</f>
        <v>0</v>
      </c>
      <c r="BF25" s="7">
        <f>Weather!K25</f>
        <v>492.67083333333335</v>
      </c>
      <c r="BG25" s="7">
        <f>Weather!L25</f>
        <v>0</v>
      </c>
      <c r="BH25" s="7">
        <f>Weather!M25</f>
        <v>430.67083333333341</v>
      </c>
      <c r="BI25" s="7">
        <f>Weather!N25</f>
        <v>0</v>
      </c>
      <c r="BJ25" s="7">
        <f>Weather!O25</f>
        <v>368.67083333333341</v>
      </c>
      <c r="BK25" s="7">
        <f>Weather!P25</f>
        <v>0</v>
      </c>
      <c r="BL25" s="7">
        <f>Weather!Q25</f>
        <v>306.67083333333341</v>
      </c>
      <c r="BM25" s="7">
        <f>Weather!R25</f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0</v>
      </c>
      <c r="CB25" s="1">
        <v>0</v>
      </c>
      <c r="CC25" s="1">
        <f t="shared" si="9"/>
        <v>24</v>
      </c>
      <c r="CD25" s="1">
        <v>31</v>
      </c>
      <c r="CE25" s="1">
        <v>20</v>
      </c>
      <c r="CF25" s="1">
        <v>0</v>
      </c>
      <c r="CG25" s="1">
        <v>0</v>
      </c>
      <c r="CH25" s="1">
        <v>0</v>
      </c>
      <c r="CI25" s="1">
        <v>0</v>
      </c>
      <c r="CJ25" s="1">
        <f t="shared" si="12"/>
        <v>0</v>
      </c>
      <c r="CK25" s="1">
        <f t="shared" si="12"/>
        <v>0</v>
      </c>
      <c r="CL25" s="1">
        <f t="shared" si="12"/>
        <v>0</v>
      </c>
      <c r="CM25" s="1">
        <f t="shared" si="10"/>
        <v>0</v>
      </c>
      <c r="CN25" s="1">
        <f t="shared" si="10"/>
        <v>0</v>
      </c>
      <c r="CO25" s="1">
        <f t="shared" si="10"/>
        <v>0</v>
      </c>
      <c r="CP25" s="1">
        <f t="shared" si="10"/>
        <v>0</v>
      </c>
      <c r="CQ25" s="1">
        <f t="shared" si="10"/>
        <v>0</v>
      </c>
      <c r="CR25" s="1">
        <f t="shared" si="10"/>
        <v>0</v>
      </c>
      <c r="CS25" s="1">
        <f t="shared" si="10"/>
        <v>0</v>
      </c>
      <c r="CT25" s="1">
        <f t="shared" si="10"/>
        <v>0</v>
      </c>
      <c r="CU25" s="1">
        <f t="shared" si="10"/>
        <v>0</v>
      </c>
      <c r="CV25" s="1">
        <f t="shared" si="10"/>
        <v>0</v>
      </c>
      <c r="CW25" s="1">
        <f t="shared" si="10"/>
        <v>0</v>
      </c>
      <c r="CX25" s="1">
        <f t="shared" si="13"/>
        <v>0</v>
      </c>
      <c r="CY25" s="1">
        <f t="shared" si="13"/>
        <v>0</v>
      </c>
      <c r="CZ25" s="1">
        <f t="shared" si="13"/>
        <v>0</v>
      </c>
      <c r="DA25" s="1">
        <f t="shared" si="11"/>
        <v>0</v>
      </c>
      <c r="DB25" s="1">
        <f t="shared" si="11"/>
        <v>0</v>
      </c>
      <c r="DC25" s="1">
        <f t="shared" si="11"/>
        <v>0</v>
      </c>
      <c r="DD25" s="1">
        <f t="shared" si="11"/>
        <v>0</v>
      </c>
      <c r="DE25" s="1">
        <f t="shared" si="11"/>
        <v>0</v>
      </c>
      <c r="DF25" s="1">
        <f t="shared" si="11"/>
        <v>0</v>
      </c>
      <c r="DG25" s="1">
        <f t="shared" si="11"/>
        <v>0</v>
      </c>
      <c r="DH25" s="1">
        <f t="shared" si="11"/>
        <v>0</v>
      </c>
      <c r="DI25" s="1">
        <f t="shared" si="11"/>
        <v>0</v>
      </c>
      <c r="DJ25" s="1">
        <f t="shared" si="11"/>
        <v>0</v>
      </c>
      <c r="DK25" s="1">
        <f t="shared" si="11"/>
        <v>0</v>
      </c>
      <c r="DL25" s="25">
        <v>0</v>
      </c>
      <c r="DM25" s="25">
        <v>0</v>
      </c>
      <c r="DN25" s="24"/>
      <c r="DO25" s="25"/>
      <c r="DP25" s="25"/>
      <c r="DQ25" s="25"/>
      <c r="DR25" s="25"/>
      <c r="DS25" s="25"/>
      <c r="DT25" s="25"/>
      <c r="DU25" s="25"/>
      <c r="DV25" s="25"/>
    </row>
    <row r="26" spans="1:126" x14ac:dyDescent="0.25">
      <c r="A26" s="252">
        <v>42736</v>
      </c>
      <c r="B26" s="253">
        <f t="shared" si="0"/>
        <v>2017</v>
      </c>
      <c r="C26" s="253">
        <f t="shared" si="1"/>
        <v>1</v>
      </c>
      <c r="D26" s="254">
        <v>45137533.424009383</v>
      </c>
      <c r="E26" s="254">
        <f>IFERROR(VLOOKUP($B26-1,CDM!$L$7:$T$18,2,FALSE)/12,0)+IFERROR(VLOOKUP($B26,CDM!$L$36:$T$46,2,FALSE)/24,0)+IFERROR(VLOOKUP($B26,CDM!$L$36:$T$46,2,FALSE)/2*$C26/78,0)</f>
        <v>1306755.7756410257</v>
      </c>
      <c r="F26" s="254">
        <f t="shared" si="2"/>
        <v>46444289.199650407</v>
      </c>
      <c r="G26" s="255">
        <v>52298</v>
      </c>
      <c r="H26" s="254">
        <v>12049945.823070822</v>
      </c>
      <c r="I26" s="254">
        <f>IFERROR(VLOOKUP($B26-1,CDM!$L$7:$T$18,3,FALSE)/12,0)+IFERROR(VLOOKUP($B26,CDM!$L$36:$T$46,3,FALSE)/24,0)+IFERROR(VLOOKUP($B26,CDM!$L$36:$T$46,3,FALSE)/2*$C26/78,0)</f>
        <v>305589.28365207376</v>
      </c>
      <c r="J26" s="254">
        <f t="shared" si="6"/>
        <v>12355535.106722897</v>
      </c>
      <c r="K26" s="256">
        <v>4150</v>
      </c>
      <c r="L26" s="4">
        <v>34495822.153642073</v>
      </c>
      <c r="M26" s="257">
        <f>IFERROR(VLOOKUP($B26-1,CDM!$L$7:$T$18,4,FALSE)/12,0)+IFERROR(VLOOKUP($B26,CDM!$L$36:$T$46,4,FALSE)/24,0)+IFERROR(VLOOKUP($B26,CDM!$L$36:$T$46,4,FALSE)/2*$C26/78,0)</f>
        <v>310914.25644039898</v>
      </c>
      <c r="N26" s="254">
        <f t="shared" si="3"/>
        <v>34806736.410082474</v>
      </c>
      <c r="O26" s="4">
        <v>76217</v>
      </c>
      <c r="P26" s="256">
        <v>524</v>
      </c>
      <c r="Q26" s="256">
        <v>6903959.0191247845</v>
      </c>
      <c r="R26" s="256">
        <f>IFERROR(VLOOKUP($B26-1,CDM!$L$7:$T$18,5,FALSE)/12,0)+IFERROR(VLOOKUP($B26,CDM!$L$36:$T$46,5,FALSE)/24,0)+IFERROR(VLOOKUP($B26,CDM!$L$36:$T$46,5,FALSE)/2*$C26/78,0)</f>
        <v>844617.27894678607</v>
      </c>
      <c r="S26" s="256">
        <f t="shared" si="7"/>
        <v>7748576.2980715707</v>
      </c>
      <c r="T26" s="256">
        <v>15402</v>
      </c>
      <c r="U26" s="256">
        <v>12</v>
      </c>
      <c r="V26" s="256">
        <v>3134927.0234779711</v>
      </c>
      <c r="W26" s="256">
        <f>IFERROR(VLOOKUP($B26-1,CDM!$L$7:$T$18,6,FALSE)/12,0)+IFERROR(VLOOKUP($B26,CDM!$L$36:$T$46,6,FALSE)/24,0)+IFERROR(VLOOKUP($B26,CDM!$L$36:$T$46,6,FALSE)/2*$C26/78,0)</f>
        <v>6704.022836538461</v>
      </c>
      <c r="X26" s="256">
        <f t="shared" si="8"/>
        <v>3141631.0463145096</v>
      </c>
      <c r="Y26" s="256">
        <v>7254</v>
      </c>
      <c r="Z26" s="256">
        <v>1</v>
      </c>
      <c r="AA26" s="4">
        <v>767442.75100926822</v>
      </c>
      <c r="AB26" s="4">
        <v>1517</v>
      </c>
      <c r="AC26" s="256">
        <v>13031</v>
      </c>
      <c r="AD26" s="256">
        <v>2179.9923707800876</v>
      </c>
      <c r="AE26" s="256">
        <v>0</v>
      </c>
      <c r="AF26" s="256">
        <v>23</v>
      </c>
      <c r="AG26" s="4">
        <v>208608</v>
      </c>
      <c r="AH26" s="4">
        <v>245</v>
      </c>
      <c r="AI26" s="28">
        <f>Economic!H28</f>
        <v>764464.8</v>
      </c>
      <c r="AJ26" s="28">
        <f>Economic!I28</f>
        <v>590729.4</v>
      </c>
      <c r="AK26" s="28">
        <f>Economic!J28</f>
        <v>53985.7</v>
      </c>
      <c r="AL26" s="28">
        <f>Economic!K28</f>
        <v>756702</v>
      </c>
      <c r="AM26" s="28">
        <f>Economic!L28</f>
        <v>583158</v>
      </c>
      <c r="AN26" s="28">
        <f>Economic!M28</f>
        <v>30665</v>
      </c>
      <c r="AO26" s="28">
        <f>Economic!D28</f>
        <v>7014.6</v>
      </c>
      <c r="AP26" s="28">
        <f>Economic!E28</f>
        <v>6982.5</v>
      </c>
      <c r="AQ26" s="28">
        <f>Economic!F28</f>
        <v>215.5</v>
      </c>
      <c r="AR26" s="28">
        <f>Economic!G28</f>
        <v>214.4</v>
      </c>
      <c r="AS26" s="28">
        <f>Economic!N28</f>
        <v>106.20000000000073</v>
      </c>
      <c r="AT26" s="28">
        <f>Economic!O28</f>
        <v>111.30000000000018</v>
      </c>
      <c r="AU26" s="28">
        <f>Economic!P28</f>
        <v>11.300000000000011</v>
      </c>
      <c r="AV26" s="28">
        <f>Economic!Q28</f>
        <v>10.599999999999994</v>
      </c>
      <c r="AW26" s="28">
        <f>Economic!R28</f>
        <v>20488.600000000093</v>
      </c>
      <c r="AX26" s="28">
        <f>Economic!S28</f>
        <v>11322</v>
      </c>
      <c r="AY26" s="7">
        <f>Weather!D26</f>
        <v>-2.0069892473118278</v>
      </c>
      <c r="AZ26" s="7">
        <f>Weather!E26</f>
        <v>682.2166666666667</v>
      </c>
      <c r="BA26" s="7">
        <f>Weather!F26</f>
        <v>0</v>
      </c>
      <c r="BB26" s="7">
        <f>Weather!G26</f>
        <v>620.2166666666667</v>
      </c>
      <c r="BC26" s="7">
        <f>Weather!H26</f>
        <v>0</v>
      </c>
      <c r="BD26" s="7">
        <f>Weather!I26</f>
        <v>558.21666666666658</v>
      </c>
      <c r="BE26" s="7">
        <f>Weather!J26</f>
        <v>0</v>
      </c>
      <c r="BF26" s="7">
        <f>Weather!K26</f>
        <v>496.21666666666664</v>
      </c>
      <c r="BG26" s="7">
        <f>Weather!L26</f>
        <v>0</v>
      </c>
      <c r="BH26" s="7">
        <f>Weather!M26</f>
        <v>434.21666666666664</v>
      </c>
      <c r="BI26" s="7">
        <f>Weather!N26</f>
        <v>0</v>
      </c>
      <c r="BJ26" s="7">
        <f>Weather!O26</f>
        <v>372.2166666666667</v>
      </c>
      <c r="BK26" s="7">
        <f>Weather!P26</f>
        <v>0</v>
      </c>
      <c r="BL26" s="7">
        <f>Weather!Q26</f>
        <v>310.2166666666667</v>
      </c>
      <c r="BM26" s="7">
        <f>Weather!R26</f>
        <v>0</v>
      </c>
      <c r="BN26" s="1">
        <v>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f t="shared" si="9"/>
        <v>25</v>
      </c>
      <c r="CD26" s="1">
        <v>31</v>
      </c>
      <c r="CE26" s="1">
        <v>22</v>
      </c>
      <c r="CF26" s="1">
        <v>0</v>
      </c>
      <c r="CG26" s="1">
        <v>0</v>
      </c>
      <c r="CH26" s="1">
        <v>0</v>
      </c>
      <c r="CI26" s="1">
        <v>0</v>
      </c>
      <c r="CJ26" s="1">
        <f t="shared" si="12"/>
        <v>0</v>
      </c>
      <c r="CK26" s="1">
        <f t="shared" si="12"/>
        <v>0</v>
      </c>
      <c r="CL26" s="1">
        <f t="shared" si="12"/>
        <v>0</v>
      </c>
      <c r="CM26" s="1">
        <f t="shared" si="10"/>
        <v>0</v>
      </c>
      <c r="CN26" s="1">
        <f t="shared" si="10"/>
        <v>0</v>
      </c>
      <c r="CO26" s="1">
        <f t="shared" si="10"/>
        <v>0</v>
      </c>
      <c r="CP26" s="1">
        <f t="shared" si="10"/>
        <v>0</v>
      </c>
      <c r="CQ26" s="1">
        <f t="shared" si="10"/>
        <v>0</v>
      </c>
      <c r="CR26" s="1">
        <f t="shared" si="10"/>
        <v>0</v>
      </c>
      <c r="CS26" s="1">
        <f t="shared" si="10"/>
        <v>0</v>
      </c>
      <c r="CT26" s="1">
        <f t="shared" si="10"/>
        <v>0</v>
      </c>
      <c r="CU26" s="1">
        <f t="shared" si="10"/>
        <v>0</v>
      </c>
      <c r="CV26" s="1">
        <f t="shared" si="10"/>
        <v>0</v>
      </c>
      <c r="CW26" s="1">
        <f t="shared" si="10"/>
        <v>0</v>
      </c>
      <c r="CX26" s="1">
        <f t="shared" si="13"/>
        <v>0</v>
      </c>
      <c r="CY26" s="1">
        <f t="shared" si="13"/>
        <v>0</v>
      </c>
      <c r="CZ26" s="1">
        <f t="shared" si="13"/>
        <v>0</v>
      </c>
      <c r="DA26" s="1">
        <f t="shared" si="11"/>
        <v>0</v>
      </c>
      <c r="DB26" s="1">
        <f t="shared" si="11"/>
        <v>0</v>
      </c>
      <c r="DC26" s="1">
        <f t="shared" si="11"/>
        <v>0</v>
      </c>
      <c r="DD26" s="1">
        <f t="shared" si="11"/>
        <v>0</v>
      </c>
      <c r="DE26" s="1">
        <f t="shared" si="11"/>
        <v>0</v>
      </c>
      <c r="DF26" s="1">
        <f t="shared" si="11"/>
        <v>0</v>
      </c>
      <c r="DG26" s="1">
        <f t="shared" si="11"/>
        <v>0</v>
      </c>
      <c r="DH26" s="1">
        <f t="shared" si="11"/>
        <v>0</v>
      </c>
      <c r="DI26" s="1">
        <f t="shared" si="11"/>
        <v>0</v>
      </c>
      <c r="DJ26" s="1">
        <f t="shared" si="11"/>
        <v>0</v>
      </c>
      <c r="DK26" s="1">
        <f t="shared" si="11"/>
        <v>0</v>
      </c>
      <c r="DL26" s="24">
        <v>579160.54</v>
      </c>
      <c r="DM26" s="25">
        <v>915.46</v>
      </c>
      <c r="DN26" s="24"/>
      <c r="DO26" s="25"/>
      <c r="DP26" s="25"/>
      <c r="DQ26" s="25"/>
      <c r="DR26" s="25"/>
      <c r="DS26" s="25"/>
      <c r="DT26" s="25"/>
      <c r="DU26" s="25"/>
      <c r="DV26" s="25"/>
    </row>
    <row r="27" spans="1:126" x14ac:dyDescent="0.25">
      <c r="A27" s="252">
        <v>42767</v>
      </c>
      <c r="B27" s="253">
        <f t="shared" si="0"/>
        <v>2017</v>
      </c>
      <c r="C27" s="253">
        <f t="shared" si="1"/>
        <v>2</v>
      </c>
      <c r="D27" s="254">
        <v>41395437.851884171</v>
      </c>
      <c r="E27" s="254">
        <f>IFERROR(VLOOKUP($B27-1,CDM!$L$7:$T$18,2,FALSE)/12,0)+IFERROR(VLOOKUP($B27,CDM!$L$36:$T$46,2,FALSE)/24,0)+IFERROR(VLOOKUP($B27,CDM!$L$36:$T$46,2,FALSE)/2*$C27/78,0)</f>
        <v>1390662.0512820513</v>
      </c>
      <c r="F27" s="254">
        <f t="shared" si="2"/>
        <v>42786099.90316622</v>
      </c>
      <c r="G27" s="255">
        <v>52305</v>
      </c>
      <c r="H27" s="254">
        <v>10737619.102712302</v>
      </c>
      <c r="I27" s="254">
        <f>IFERROR(VLOOKUP($B27-1,CDM!$L$7:$T$18,3,FALSE)/12,0)+IFERROR(VLOOKUP($B27,CDM!$L$36:$T$46,3,FALSE)/24,0)+IFERROR(VLOOKUP($B27,CDM!$L$36:$T$46,3,FALSE)/2*$C27/78,0)</f>
        <v>321420.39741679467</v>
      </c>
      <c r="J27" s="254">
        <f t="shared" si="6"/>
        <v>11059039.500129096</v>
      </c>
      <c r="K27" s="256">
        <v>4144</v>
      </c>
      <c r="L27" s="4">
        <v>28510766.998571761</v>
      </c>
      <c r="M27" s="257">
        <f>IFERROR(VLOOKUP($B27-1,CDM!$L$7:$T$18,4,FALSE)/12,0)+IFERROR(VLOOKUP($B27,CDM!$L$36:$T$46,4,FALSE)/24,0)+IFERROR(VLOOKUP($B27,CDM!$L$36:$T$46,4,FALSE)/2*$C27/78,0)</f>
        <v>327403.04252134106</v>
      </c>
      <c r="N27" s="254">
        <f t="shared" si="3"/>
        <v>28838170.041093104</v>
      </c>
      <c r="O27" s="4">
        <v>71792</v>
      </c>
      <c r="P27" s="256">
        <v>523</v>
      </c>
      <c r="Q27" s="256">
        <v>6183772.4130859943</v>
      </c>
      <c r="R27" s="256">
        <f>IFERROR(VLOOKUP($B27-1,CDM!$L$7:$T$18,5,FALSE)/12,0)+IFERROR(VLOOKUP($B27,CDM!$L$36:$T$46,5,FALSE)/24,0)+IFERROR(VLOOKUP($B27,CDM!$L$36:$T$46,5,FALSE)/2*$C27/78,0)</f>
        <v>846587.01608413539</v>
      </c>
      <c r="S27" s="256">
        <f t="shared" si="7"/>
        <v>7030359.4291701298</v>
      </c>
      <c r="T27" s="256">
        <v>14973</v>
      </c>
      <c r="U27" s="256">
        <v>12</v>
      </c>
      <c r="V27" s="256">
        <v>2672619.768727066</v>
      </c>
      <c r="W27" s="256">
        <f>IFERROR(VLOOKUP($B27-1,CDM!$L$7:$T$18,6,FALSE)/12,0)+IFERROR(VLOOKUP($B27,CDM!$L$36:$T$46,6,FALSE)/24,0)+IFERROR(VLOOKUP($B27,CDM!$L$36:$T$46,6,FALSE)/2*$C27/78,0)</f>
        <v>7597.892548076923</v>
      </c>
      <c r="X27" s="256">
        <f t="shared" si="8"/>
        <v>2680217.6612751428</v>
      </c>
      <c r="Y27" s="256">
        <v>7267</v>
      </c>
      <c r="Z27" s="256">
        <v>1</v>
      </c>
      <c r="AA27" s="4">
        <v>546725.08702220162</v>
      </c>
      <c r="AB27" s="4">
        <v>1303</v>
      </c>
      <c r="AC27" s="256">
        <v>13031</v>
      </c>
      <c r="AD27" s="256">
        <v>2043.1813847034141</v>
      </c>
      <c r="AE27" s="256">
        <v>0</v>
      </c>
      <c r="AF27" s="256">
        <v>23</v>
      </c>
      <c r="AG27" s="4">
        <v>208298</v>
      </c>
      <c r="AH27" s="4">
        <v>244</v>
      </c>
      <c r="AI27" s="28">
        <f>Economic!H29</f>
        <v>764464.8</v>
      </c>
      <c r="AJ27" s="28">
        <f>Economic!I29</f>
        <v>590729.4</v>
      </c>
      <c r="AK27" s="28">
        <f>Economic!J29</f>
        <v>53985.7</v>
      </c>
      <c r="AL27" s="28">
        <f>Economic!K29</f>
        <v>756702</v>
      </c>
      <c r="AM27" s="28">
        <f>Economic!L29</f>
        <v>583158</v>
      </c>
      <c r="AN27" s="28">
        <f>Economic!M29</f>
        <v>30665</v>
      </c>
      <c r="AO27" s="28">
        <f>Economic!D29</f>
        <v>7031.3</v>
      </c>
      <c r="AP27" s="28">
        <f>Economic!E29</f>
        <v>6962.5</v>
      </c>
      <c r="AQ27" s="28">
        <f>Economic!F29</f>
        <v>209.8</v>
      </c>
      <c r="AR27" s="28">
        <f>Economic!G29</f>
        <v>208</v>
      </c>
      <c r="AS27" s="28">
        <f>Economic!N29</f>
        <v>109</v>
      </c>
      <c r="AT27" s="28">
        <f>Economic!O29</f>
        <v>112.10000000000036</v>
      </c>
      <c r="AU27" s="28">
        <f>Economic!P29</f>
        <v>4.2000000000000171</v>
      </c>
      <c r="AV27" s="28">
        <f>Economic!Q29</f>
        <v>3.8000000000000114</v>
      </c>
      <c r="AW27" s="28">
        <f>Economic!R29</f>
        <v>20488.600000000093</v>
      </c>
      <c r="AX27" s="28">
        <f>Economic!S29</f>
        <v>11322</v>
      </c>
      <c r="AY27" s="7">
        <f>Weather!D27</f>
        <v>-0.93154761904761851</v>
      </c>
      <c r="AZ27" s="7">
        <f>Weather!E27</f>
        <v>586.08333333333337</v>
      </c>
      <c r="BA27" s="7">
        <f>Weather!F27</f>
        <v>0</v>
      </c>
      <c r="BB27" s="7">
        <f>Weather!G27</f>
        <v>530.08333333333337</v>
      </c>
      <c r="BC27" s="7">
        <f>Weather!H27</f>
        <v>0</v>
      </c>
      <c r="BD27" s="7">
        <f>Weather!I27</f>
        <v>474.08333333333337</v>
      </c>
      <c r="BE27" s="7">
        <f>Weather!J27</f>
        <v>0</v>
      </c>
      <c r="BF27" s="7">
        <f>Weather!K27</f>
        <v>418.08333333333331</v>
      </c>
      <c r="BG27" s="7">
        <f>Weather!L27</f>
        <v>0</v>
      </c>
      <c r="BH27" s="7">
        <f>Weather!M27</f>
        <v>362.08333333333331</v>
      </c>
      <c r="BI27" s="7">
        <f>Weather!N27</f>
        <v>0</v>
      </c>
      <c r="BJ27" s="7">
        <f>Weather!O27</f>
        <v>306.08333333333326</v>
      </c>
      <c r="BK27" s="7">
        <f>Weather!P27</f>
        <v>0</v>
      </c>
      <c r="BL27" s="7">
        <f>Weather!Q27</f>
        <v>251.42499999999998</v>
      </c>
      <c r="BM27" s="7">
        <f>Weather!R27</f>
        <v>1.3416666666666668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f t="shared" si="9"/>
        <v>26</v>
      </c>
      <c r="CD27" s="1">
        <v>28</v>
      </c>
      <c r="CE27" s="1">
        <v>19</v>
      </c>
      <c r="CF27" s="1">
        <v>0</v>
      </c>
      <c r="CG27" s="1">
        <v>0</v>
      </c>
      <c r="CH27" s="1">
        <v>0</v>
      </c>
      <c r="CI27" s="1">
        <v>0</v>
      </c>
      <c r="CJ27" s="1">
        <f t="shared" si="12"/>
        <v>0</v>
      </c>
      <c r="CK27" s="1">
        <f t="shared" si="12"/>
        <v>0</v>
      </c>
      <c r="CL27" s="1">
        <f t="shared" si="12"/>
        <v>0</v>
      </c>
      <c r="CM27" s="1">
        <f t="shared" si="10"/>
        <v>0</v>
      </c>
      <c r="CN27" s="1">
        <f t="shared" si="10"/>
        <v>0</v>
      </c>
      <c r="CO27" s="1">
        <f t="shared" si="10"/>
        <v>0</v>
      </c>
      <c r="CP27" s="1">
        <f t="shared" si="10"/>
        <v>0</v>
      </c>
      <c r="CQ27" s="1">
        <f t="shared" si="10"/>
        <v>0</v>
      </c>
      <c r="CR27" s="1">
        <f t="shared" si="10"/>
        <v>0</v>
      </c>
      <c r="CS27" s="1">
        <f t="shared" si="10"/>
        <v>0</v>
      </c>
      <c r="CT27" s="1">
        <f t="shared" si="10"/>
        <v>0</v>
      </c>
      <c r="CU27" s="1">
        <f t="shared" si="10"/>
        <v>0</v>
      </c>
      <c r="CV27" s="1">
        <f t="shared" si="10"/>
        <v>0</v>
      </c>
      <c r="CW27" s="1">
        <f t="shared" si="10"/>
        <v>0</v>
      </c>
      <c r="CX27" s="1">
        <f t="shared" si="13"/>
        <v>0</v>
      </c>
      <c r="CY27" s="1">
        <f t="shared" si="13"/>
        <v>0</v>
      </c>
      <c r="CZ27" s="1">
        <f t="shared" si="13"/>
        <v>0</v>
      </c>
      <c r="DA27" s="1">
        <f t="shared" si="11"/>
        <v>0</v>
      </c>
      <c r="DB27" s="1">
        <f t="shared" si="11"/>
        <v>0</v>
      </c>
      <c r="DC27" s="1">
        <f t="shared" si="11"/>
        <v>0</v>
      </c>
      <c r="DD27" s="1">
        <f t="shared" si="11"/>
        <v>0</v>
      </c>
      <c r="DE27" s="1">
        <f t="shared" si="11"/>
        <v>0</v>
      </c>
      <c r="DF27" s="1">
        <f t="shared" si="11"/>
        <v>0</v>
      </c>
      <c r="DG27" s="1">
        <f t="shared" si="11"/>
        <v>0</v>
      </c>
      <c r="DH27" s="1">
        <f t="shared" si="11"/>
        <v>0</v>
      </c>
      <c r="DI27" s="1">
        <f t="shared" si="11"/>
        <v>0</v>
      </c>
      <c r="DJ27" s="1">
        <f t="shared" si="11"/>
        <v>0</v>
      </c>
      <c r="DK27" s="1">
        <f t="shared" si="11"/>
        <v>0</v>
      </c>
      <c r="DL27" s="24">
        <v>520678.32999999996</v>
      </c>
      <c r="DM27" s="25">
        <v>964.47</v>
      </c>
      <c r="DN27" s="24"/>
      <c r="DO27" s="25"/>
      <c r="DP27" s="25"/>
      <c r="DQ27" s="25"/>
      <c r="DR27" s="25"/>
      <c r="DS27" s="25"/>
      <c r="DT27" s="25"/>
      <c r="DU27" s="25"/>
      <c r="DV27" s="25"/>
    </row>
    <row r="28" spans="1:126" x14ac:dyDescent="0.25">
      <c r="A28" s="252">
        <v>42795</v>
      </c>
      <c r="B28" s="253">
        <f t="shared" si="0"/>
        <v>2017</v>
      </c>
      <c r="C28" s="253">
        <f t="shared" si="1"/>
        <v>3</v>
      </c>
      <c r="D28" s="254">
        <v>39363405.118288711</v>
      </c>
      <c r="E28" s="254">
        <f>IFERROR(VLOOKUP($B28-1,CDM!$L$7:$T$18,2,FALSE)/12,0)+IFERROR(VLOOKUP($B28,CDM!$L$36:$T$46,2,FALSE)/24,0)+IFERROR(VLOOKUP($B28,CDM!$L$36:$T$46,2,FALSE)/2*$C28/78,0)</f>
        <v>1474568.326923077</v>
      </c>
      <c r="F28" s="254">
        <f t="shared" si="2"/>
        <v>40837973.445211791</v>
      </c>
      <c r="G28" s="255">
        <v>52519</v>
      </c>
      <c r="H28" s="254">
        <v>11846154.553392276</v>
      </c>
      <c r="I28" s="254">
        <f>IFERROR(VLOOKUP($B28-1,CDM!$L$7:$T$18,3,FALSE)/12,0)+IFERROR(VLOOKUP($B28,CDM!$L$36:$T$46,3,FALSE)/24,0)+IFERROR(VLOOKUP($B28,CDM!$L$36:$T$46,3,FALSE)/2*$C28/78,0)</f>
        <v>337251.51118151564</v>
      </c>
      <c r="J28" s="254">
        <f t="shared" si="6"/>
        <v>12183406.064573791</v>
      </c>
      <c r="K28" s="256">
        <v>4150</v>
      </c>
      <c r="L28" s="4">
        <v>30603125.753466994</v>
      </c>
      <c r="M28" s="257">
        <f>IFERROR(VLOOKUP($B28-1,CDM!$L$7:$T$18,4,FALSE)/12,0)+IFERROR(VLOOKUP($B28,CDM!$L$36:$T$46,4,FALSE)/24,0)+IFERROR(VLOOKUP($B28,CDM!$L$36:$T$46,4,FALSE)/2*$C28/78,0)</f>
        <v>343891.82860228315</v>
      </c>
      <c r="N28" s="254">
        <f t="shared" si="3"/>
        <v>30947017.582069278</v>
      </c>
      <c r="O28" s="4">
        <v>69754</v>
      </c>
      <c r="P28" s="256">
        <v>524</v>
      </c>
      <c r="Q28" s="256">
        <v>7018829.8921203967</v>
      </c>
      <c r="R28" s="256">
        <f>IFERROR(VLOOKUP($B28-1,CDM!$L$7:$T$18,5,FALSE)/12,0)+IFERROR(VLOOKUP($B28,CDM!$L$36:$T$46,5,FALSE)/24,0)+IFERROR(VLOOKUP($B28,CDM!$L$36:$T$46,5,FALSE)/2*$C28/78,0)</f>
        <v>848556.7532214846</v>
      </c>
      <c r="S28" s="256">
        <f t="shared" si="7"/>
        <v>7867386.6453418816</v>
      </c>
      <c r="T28" s="256">
        <v>15524</v>
      </c>
      <c r="U28" s="256">
        <v>12</v>
      </c>
      <c r="V28" s="256">
        <v>3167625.9681110834</v>
      </c>
      <c r="W28" s="256">
        <f>IFERROR(VLOOKUP($B28-1,CDM!$L$7:$T$18,6,FALSE)/12,0)+IFERROR(VLOOKUP($B28,CDM!$L$36:$T$46,6,FALSE)/24,0)+IFERROR(VLOOKUP($B28,CDM!$L$36:$T$46,6,FALSE)/2*$C28/78,0)</f>
        <v>8491.7622596153851</v>
      </c>
      <c r="X28" s="256">
        <f t="shared" si="8"/>
        <v>3176117.730370699</v>
      </c>
      <c r="Y28" s="256">
        <v>7695</v>
      </c>
      <c r="Z28" s="256">
        <v>1</v>
      </c>
      <c r="AA28" s="4">
        <v>531486.11119392549</v>
      </c>
      <c r="AB28" s="4">
        <v>1259</v>
      </c>
      <c r="AC28" s="256">
        <v>13031</v>
      </c>
      <c r="AD28" s="256">
        <v>2105.8363532328822</v>
      </c>
      <c r="AE28" s="256">
        <v>0</v>
      </c>
      <c r="AF28" s="256">
        <v>23</v>
      </c>
      <c r="AG28" s="4">
        <v>208531</v>
      </c>
      <c r="AH28" s="4">
        <v>246</v>
      </c>
      <c r="AI28" s="28">
        <f>Economic!H30</f>
        <v>764464.8</v>
      </c>
      <c r="AJ28" s="28">
        <f>Economic!I30</f>
        <v>590729.4</v>
      </c>
      <c r="AK28" s="28">
        <f>Economic!J30</f>
        <v>53985.7</v>
      </c>
      <c r="AL28" s="28">
        <f>Economic!K30</f>
        <v>756702</v>
      </c>
      <c r="AM28" s="28">
        <f>Economic!L30</f>
        <v>583158</v>
      </c>
      <c r="AN28" s="28">
        <f>Economic!M30</f>
        <v>30665</v>
      </c>
      <c r="AO28" s="28">
        <f>Economic!D30</f>
        <v>7049</v>
      </c>
      <c r="AP28" s="28">
        <f>Economic!E30</f>
        <v>6946</v>
      </c>
      <c r="AQ28" s="28">
        <f>Economic!F30</f>
        <v>203.2</v>
      </c>
      <c r="AR28" s="28">
        <f>Economic!G30</f>
        <v>200.9</v>
      </c>
      <c r="AS28" s="28">
        <f>Economic!N30</f>
        <v>118.80000000000018</v>
      </c>
      <c r="AT28" s="28">
        <f>Economic!O30</f>
        <v>118.69999999999982</v>
      </c>
      <c r="AU28" s="28">
        <f>Economic!P30</f>
        <v>-3.3000000000000114</v>
      </c>
      <c r="AV28" s="28">
        <f>Economic!Q30</f>
        <v>-3.2999999999999829</v>
      </c>
      <c r="AW28" s="28">
        <f>Economic!R30</f>
        <v>20488.600000000093</v>
      </c>
      <c r="AX28" s="28">
        <f>Economic!S30</f>
        <v>11322</v>
      </c>
      <c r="AY28" s="7">
        <f>Weather!D28</f>
        <v>-1.3444892473118288</v>
      </c>
      <c r="AZ28" s="7">
        <f>Weather!E28</f>
        <v>661.67916666666667</v>
      </c>
      <c r="BA28" s="7">
        <f>Weather!F28</f>
        <v>0</v>
      </c>
      <c r="BB28" s="7">
        <f>Weather!G28</f>
        <v>599.67916666666667</v>
      </c>
      <c r="BC28" s="7">
        <f>Weather!H28</f>
        <v>0</v>
      </c>
      <c r="BD28" s="7">
        <f>Weather!I28</f>
        <v>537.67916666666656</v>
      </c>
      <c r="BE28" s="7">
        <f>Weather!J28</f>
        <v>0</v>
      </c>
      <c r="BF28" s="7">
        <f>Weather!K28</f>
        <v>475.67916666666662</v>
      </c>
      <c r="BG28" s="7">
        <f>Weather!L28</f>
        <v>0</v>
      </c>
      <c r="BH28" s="7">
        <f>Weather!M28</f>
        <v>413.67916666666662</v>
      </c>
      <c r="BI28" s="7">
        <f>Weather!N28</f>
        <v>0</v>
      </c>
      <c r="BJ28" s="7">
        <f>Weather!O28</f>
        <v>351.67916666666656</v>
      </c>
      <c r="BK28" s="7">
        <f>Weather!P28</f>
        <v>0</v>
      </c>
      <c r="BL28" s="7">
        <f>Weather!Q28</f>
        <v>290.67916666666662</v>
      </c>
      <c r="BM28" s="7">
        <f>Weather!R28</f>
        <v>0.99999999999999645</v>
      </c>
      <c r="BN28" s="1">
        <v>0</v>
      </c>
      <c r="BO28" s="1">
        <v>0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1</v>
      </c>
      <c r="CC28" s="1">
        <f t="shared" si="9"/>
        <v>27</v>
      </c>
      <c r="CD28" s="1">
        <v>31</v>
      </c>
      <c r="CE28" s="1">
        <v>23</v>
      </c>
      <c r="CF28" s="1">
        <v>0</v>
      </c>
      <c r="CG28" s="1">
        <v>0</v>
      </c>
      <c r="CH28" s="1">
        <v>0</v>
      </c>
      <c r="CI28" s="1">
        <v>0</v>
      </c>
      <c r="CJ28" s="1">
        <f t="shared" si="12"/>
        <v>0</v>
      </c>
      <c r="CK28" s="1">
        <f t="shared" si="12"/>
        <v>0</v>
      </c>
      <c r="CL28" s="1">
        <f t="shared" si="12"/>
        <v>0</v>
      </c>
      <c r="CM28" s="1">
        <f t="shared" si="10"/>
        <v>0</v>
      </c>
      <c r="CN28" s="1">
        <f t="shared" si="10"/>
        <v>0</v>
      </c>
      <c r="CO28" s="1">
        <f t="shared" si="10"/>
        <v>0</v>
      </c>
      <c r="CP28" s="1">
        <f t="shared" si="10"/>
        <v>0</v>
      </c>
      <c r="CQ28" s="1">
        <f t="shared" si="10"/>
        <v>0</v>
      </c>
      <c r="CR28" s="1">
        <f t="shared" si="10"/>
        <v>0</v>
      </c>
      <c r="CS28" s="1">
        <f t="shared" si="10"/>
        <v>0</v>
      </c>
      <c r="CT28" s="1">
        <f t="shared" si="10"/>
        <v>0</v>
      </c>
      <c r="CU28" s="1">
        <f t="shared" si="10"/>
        <v>0</v>
      </c>
      <c r="CV28" s="1">
        <f t="shared" si="10"/>
        <v>0</v>
      </c>
      <c r="CW28" s="1">
        <f t="shared" si="10"/>
        <v>0</v>
      </c>
      <c r="CX28" s="1">
        <f t="shared" si="13"/>
        <v>0</v>
      </c>
      <c r="CY28" s="1">
        <f t="shared" si="13"/>
        <v>0</v>
      </c>
      <c r="CZ28" s="1">
        <f t="shared" si="13"/>
        <v>0</v>
      </c>
      <c r="DA28" s="1">
        <f t="shared" si="11"/>
        <v>0</v>
      </c>
      <c r="DB28" s="1">
        <f t="shared" si="11"/>
        <v>0</v>
      </c>
      <c r="DC28" s="1">
        <f t="shared" si="11"/>
        <v>0</v>
      </c>
      <c r="DD28" s="1">
        <f t="shared" si="11"/>
        <v>0</v>
      </c>
      <c r="DE28" s="1">
        <f t="shared" si="11"/>
        <v>0</v>
      </c>
      <c r="DF28" s="1">
        <f t="shared" si="11"/>
        <v>0</v>
      </c>
      <c r="DG28" s="1">
        <f t="shared" si="11"/>
        <v>0</v>
      </c>
      <c r="DH28" s="1">
        <f t="shared" si="11"/>
        <v>0</v>
      </c>
      <c r="DI28" s="1">
        <f t="shared" si="11"/>
        <v>0</v>
      </c>
      <c r="DJ28" s="1">
        <f t="shared" si="11"/>
        <v>0</v>
      </c>
      <c r="DK28" s="1">
        <f t="shared" si="11"/>
        <v>0</v>
      </c>
      <c r="DL28" s="24">
        <v>573654.67999999993</v>
      </c>
      <c r="DM28" s="25">
        <v>946.81</v>
      </c>
      <c r="DN28" s="24"/>
      <c r="DO28" s="25"/>
      <c r="DP28" s="25"/>
      <c r="DQ28" s="25"/>
      <c r="DR28" s="25"/>
      <c r="DS28" s="25"/>
      <c r="DT28" s="25"/>
      <c r="DU28" s="25"/>
      <c r="DV28" s="25"/>
    </row>
    <row r="29" spans="1:126" x14ac:dyDescent="0.25">
      <c r="A29" s="252">
        <v>42826</v>
      </c>
      <c r="B29" s="253">
        <f t="shared" si="0"/>
        <v>2017</v>
      </c>
      <c r="C29" s="253">
        <f t="shared" si="1"/>
        <v>4</v>
      </c>
      <c r="D29" s="254">
        <v>35382265.757809229</v>
      </c>
      <c r="E29" s="254">
        <f>IFERROR(VLOOKUP($B29-1,CDM!$L$7:$T$18,2,FALSE)/12,0)+IFERROR(VLOOKUP($B29,CDM!$L$36:$T$46,2,FALSE)/24,0)+IFERROR(VLOOKUP($B29,CDM!$L$36:$T$46,2,FALSE)/2*$C29/78,0)</f>
        <v>1558474.6025641025</v>
      </c>
      <c r="F29" s="254">
        <f t="shared" si="2"/>
        <v>36940740.360373333</v>
      </c>
      <c r="G29" s="255">
        <v>52370</v>
      </c>
      <c r="H29" s="254">
        <v>9954755.1581309941</v>
      </c>
      <c r="I29" s="254">
        <f>IFERROR(VLOOKUP($B29-1,CDM!$L$7:$T$18,3,FALSE)/12,0)+IFERROR(VLOOKUP($B29,CDM!$L$36:$T$46,3,FALSE)/24,0)+IFERROR(VLOOKUP($B29,CDM!$L$36:$T$46,3,FALSE)/2*$C29/78,0)</f>
        <v>353082.62494623655</v>
      </c>
      <c r="J29" s="254">
        <f t="shared" si="6"/>
        <v>10307837.783077231</v>
      </c>
      <c r="K29" s="256">
        <v>4151</v>
      </c>
      <c r="L29" s="4">
        <v>25441633.941741522</v>
      </c>
      <c r="M29" s="257">
        <f>IFERROR(VLOOKUP($B29-1,CDM!$L$7:$T$18,4,FALSE)/12,0)+IFERROR(VLOOKUP($B29,CDM!$L$36:$T$46,4,FALSE)/24,0)+IFERROR(VLOOKUP($B29,CDM!$L$36:$T$46,4,FALSE)/2*$C29/78,0)</f>
        <v>360380.61468322523</v>
      </c>
      <c r="N29" s="254">
        <f t="shared" si="3"/>
        <v>25802014.556424748</v>
      </c>
      <c r="O29" s="4">
        <v>67024</v>
      </c>
      <c r="P29" s="256">
        <v>522</v>
      </c>
      <c r="Q29" s="256">
        <v>6807775.8476108965</v>
      </c>
      <c r="R29" s="256">
        <f>IFERROR(VLOOKUP($B29-1,CDM!$L$7:$T$18,5,FALSE)/12,0)+IFERROR(VLOOKUP($B29,CDM!$L$36:$T$46,5,FALSE)/24,0)+IFERROR(VLOOKUP($B29,CDM!$L$36:$T$46,5,FALSE)/2*$C29/78,0)</f>
        <v>850526.49035883392</v>
      </c>
      <c r="S29" s="256">
        <f t="shared" si="7"/>
        <v>7658302.3379697306</v>
      </c>
      <c r="T29" s="256">
        <v>16075</v>
      </c>
      <c r="U29" s="256">
        <v>12</v>
      </c>
      <c r="V29" s="256">
        <v>2851633.5451566167</v>
      </c>
      <c r="W29" s="256">
        <f>IFERROR(VLOOKUP($B29-1,CDM!$L$7:$T$18,6,FALSE)/12,0)+IFERROR(VLOOKUP($B29,CDM!$L$36:$T$46,6,FALSE)/24,0)+IFERROR(VLOOKUP($B29,CDM!$L$36:$T$46,6,FALSE)/2*$C29/78,0)</f>
        <v>9385.6319711538454</v>
      </c>
      <c r="X29" s="256">
        <f t="shared" si="8"/>
        <v>2861019.1771277706</v>
      </c>
      <c r="Y29" s="256">
        <v>7145</v>
      </c>
      <c r="Z29" s="256">
        <v>1</v>
      </c>
      <c r="AA29" s="4">
        <v>399624.5104907034</v>
      </c>
      <c r="AB29" s="4">
        <v>1109</v>
      </c>
      <c r="AC29" s="256">
        <v>13031</v>
      </c>
      <c r="AD29" s="256">
        <v>2134.3887087545299</v>
      </c>
      <c r="AE29" s="256">
        <v>0</v>
      </c>
      <c r="AF29" s="256">
        <v>23</v>
      </c>
      <c r="AG29" s="4">
        <v>209134</v>
      </c>
      <c r="AH29" s="4">
        <v>246</v>
      </c>
      <c r="AI29" s="28">
        <f>Economic!H31</f>
        <v>764464.8</v>
      </c>
      <c r="AJ29" s="28">
        <f>Economic!I31</f>
        <v>590729.4</v>
      </c>
      <c r="AK29" s="28">
        <f>Economic!J31</f>
        <v>53985.7</v>
      </c>
      <c r="AL29" s="28">
        <f>Economic!K31</f>
        <v>764644</v>
      </c>
      <c r="AM29" s="28">
        <f>Economic!L31</f>
        <v>590485</v>
      </c>
      <c r="AN29" s="28">
        <f>Economic!M31</f>
        <v>31148</v>
      </c>
      <c r="AO29" s="28">
        <f>Economic!D31</f>
        <v>7055.1</v>
      </c>
      <c r="AP29" s="28">
        <f>Economic!E31</f>
        <v>6963.6</v>
      </c>
      <c r="AQ29" s="28">
        <f>Economic!F31</f>
        <v>200</v>
      </c>
      <c r="AR29" s="28">
        <f>Economic!G31</f>
        <v>198.9</v>
      </c>
      <c r="AS29" s="28">
        <f>Economic!N31</f>
        <v>123.20000000000073</v>
      </c>
      <c r="AT29" s="28">
        <f>Economic!O31</f>
        <v>119.90000000000055</v>
      </c>
      <c r="AU29" s="28">
        <f>Economic!P31</f>
        <v>-5.8000000000000114</v>
      </c>
      <c r="AV29" s="28">
        <f>Economic!Q31</f>
        <v>-5.0999999999999943</v>
      </c>
      <c r="AW29" s="28">
        <f>Economic!R31</f>
        <v>20488.600000000093</v>
      </c>
      <c r="AX29" s="28">
        <f>Economic!S31</f>
        <v>7942</v>
      </c>
      <c r="AY29" s="7">
        <f>Weather!D29</f>
        <v>8.3870833333333312</v>
      </c>
      <c r="AZ29" s="7">
        <f>Weather!E29</f>
        <v>348.38749999999999</v>
      </c>
      <c r="BA29" s="7">
        <f>Weather!F29</f>
        <v>0</v>
      </c>
      <c r="BB29" s="7">
        <f>Weather!G29</f>
        <v>288.73333333333335</v>
      </c>
      <c r="BC29" s="7">
        <f>Weather!H29</f>
        <v>0.34583333333333854</v>
      </c>
      <c r="BD29" s="7">
        <f>Weather!I29</f>
        <v>230.73333333333338</v>
      </c>
      <c r="BE29" s="7">
        <f>Weather!J29</f>
        <v>2.3458333333333385</v>
      </c>
      <c r="BF29" s="7">
        <f>Weather!K29</f>
        <v>174.03750000000005</v>
      </c>
      <c r="BG29" s="7">
        <f>Weather!L29</f>
        <v>5.6500000000000057</v>
      </c>
      <c r="BH29" s="7">
        <f>Weather!M29</f>
        <v>120.79999999999997</v>
      </c>
      <c r="BI29" s="7">
        <f>Weather!N29</f>
        <v>12.412500000000001</v>
      </c>
      <c r="BJ29" s="7">
        <f>Weather!O29</f>
        <v>73.1458333333333</v>
      </c>
      <c r="BK29" s="7">
        <f>Weather!P29</f>
        <v>24.758333333333333</v>
      </c>
      <c r="BL29" s="7">
        <f>Weather!Q29</f>
        <v>34.695833333333326</v>
      </c>
      <c r="BM29" s="7">
        <f>Weather!R29</f>
        <v>46.308333333333337</v>
      </c>
      <c r="BN29" s="1">
        <v>0</v>
      </c>
      <c r="BO29" s="1">
        <v>0</v>
      </c>
      <c r="BP29" s="1">
        <v>0</v>
      </c>
      <c r="BQ29" s="1">
        <v>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0</v>
      </c>
      <c r="CB29" s="1">
        <v>1</v>
      </c>
      <c r="CC29" s="1">
        <f t="shared" si="9"/>
        <v>28</v>
      </c>
      <c r="CD29" s="1">
        <v>30</v>
      </c>
      <c r="CE29" s="1">
        <v>19</v>
      </c>
      <c r="CF29" s="1">
        <v>0</v>
      </c>
      <c r="CG29" s="1">
        <v>0</v>
      </c>
      <c r="CH29" s="1">
        <v>0</v>
      </c>
      <c r="CI29" s="1">
        <v>0</v>
      </c>
      <c r="CJ29" s="1">
        <f t="shared" si="12"/>
        <v>0</v>
      </c>
      <c r="CK29" s="1">
        <f t="shared" si="12"/>
        <v>0</v>
      </c>
      <c r="CL29" s="1">
        <f t="shared" si="12"/>
        <v>0</v>
      </c>
      <c r="CM29" s="1">
        <f t="shared" si="10"/>
        <v>0</v>
      </c>
      <c r="CN29" s="1">
        <f t="shared" si="10"/>
        <v>0</v>
      </c>
      <c r="CO29" s="1">
        <f t="shared" si="10"/>
        <v>0</v>
      </c>
      <c r="CP29" s="1">
        <f t="shared" si="10"/>
        <v>0</v>
      </c>
      <c r="CQ29" s="1">
        <f t="shared" si="10"/>
        <v>0</v>
      </c>
      <c r="CR29" s="1">
        <f t="shared" si="10"/>
        <v>0</v>
      </c>
      <c r="CS29" s="1">
        <f t="shared" si="10"/>
        <v>0</v>
      </c>
      <c r="CT29" s="1">
        <f t="shared" si="10"/>
        <v>0</v>
      </c>
      <c r="CU29" s="1">
        <f t="shared" si="10"/>
        <v>0</v>
      </c>
      <c r="CV29" s="1">
        <f t="shared" si="10"/>
        <v>0</v>
      </c>
      <c r="CW29" s="1">
        <f t="shared" si="10"/>
        <v>0</v>
      </c>
      <c r="CX29" s="1">
        <f t="shared" si="13"/>
        <v>0</v>
      </c>
      <c r="CY29" s="1">
        <f t="shared" si="13"/>
        <v>0</v>
      </c>
      <c r="CZ29" s="1">
        <f t="shared" si="13"/>
        <v>0</v>
      </c>
      <c r="DA29" s="1">
        <f t="shared" si="11"/>
        <v>0</v>
      </c>
      <c r="DB29" s="1">
        <f t="shared" si="11"/>
        <v>0</v>
      </c>
      <c r="DC29" s="1">
        <f t="shared" si="11"/>
        <v>0</v>
      </c>
      <c r="DD29" s="1">
        <f t="shared" si="11"/>
        <v>0</v>
      </c>
      <c r="DE29" s="1">
        <f t="shared" si="11"/>
        <v>0</v>
      </c>
      <c r="DF29" s="1">
        <f t="shared" si="11"/>
        <v>0</v>
      </c>
      <c r="DG29" s="1">
        <f t="shared" si="11"/>
        <v>0</v>
      </c>
      <c r="DH29" s="1">
        <f t="shared" si="11"/>
        <v>0</v>
      </c>
      <c r="DI29" s="1">
        <f t="shared" si="11"/>
        <v>0</v>
      </c>
      <c r="DJ29" s="1">
        <f t="shared" si="11"/>
        <v>0</v>
      </c>
      <c r="DK29" s="1">
        <f t="shared" si="11"/>
        <v>0</v>
      </c>
      <c r="DL29" s="24">
        <v>562815</v>
      </c>
      <c r="DM29" s="25">
        <v>1094.8800000000001</v>
      </c>
      <c r="DN29" s="24"/>
      <c r="DO29" s="25"/>
      <c r="DP29" s="25"/>
      <c r="DQ29" s="25"/>
      <c r="DR29" s="25"/>
      <c r="DS29" s="25"/>
      <c r="DT29" s="25"/>
      <c r="DU29" s="25"/>
      <c r="DV29" s="25"/>
    </row>
    <row r="30" spans="1:126" x14ac:dyDescent="0.25">
      <c r="A30" s="252">
        <v>42856</v>
      </c>
      <c r="B30" s="253">
        <f t="shared" si="0"/>
        <v>2017</v>
      </c>
      <c r="C30" s="253">
        <f t="shared" si="1"/>
        <v>5</v>
      </c>
      <c r="D30" s="254">
        <v>31630468.47845795</v>
      </c>
      <c r="E30" s="254">
        <f>IFERROR(VLOOKUP($B30-1,CDM!$L$7:$T$18,2,FALSE)/12,0)+IFERROR(VLOOKUP($B30,CDM!$L$36:$T$46,2,FALSE)/24,0)+IFERROR(VLOOKUP($B30,CDM!$L$36:$T$46,2,FALSE)/2*$C30/78,0)</f>
        <v>1642380.8782051282</v>
      </c>
      <c r="F30" s="254">
        <f t="shared" si="2"/>
        <v>33272849.356663078</v>
      </c>
      <c r="G30" s="255">
        <v>52743</v>
      </c>
      <c r="H30" s="254">
        <v>9886277.4008637257</v>
      </c>
      <c r="I30" s="254">
        <f>IFERROR(VLOOKUP($B30-1,CDM!$L$7:$T$18,3,FALSE)/12,0)+IFERROR(VLOOKUP($B30,CDM!$L$36:$T$46,3,FALSE)/24,0)+IFERROR(VLOOKUP($B30,CDM!$L$36:$T$46,3,FALSE)/2*$C30/78,0)</f>
        <v>368913.73871095752</v>
      </c>
      <c r="J30" s="254">
        <f t="shared" si="6"/>
        <v>10255191.139574682</v>
      </c>
      <c r="K30" s="256">
        <v>4160</v>
      </c>
      <c r="L30" s="4">
        <v>27270274.554858811</v>
      </c>
      <c r="M30" s="257">
        <f>IFERROR(VLOOKUP($B30-1,CDM!$L$7:$T$18,4,FALSE)/12,0)+IFERROR(VLOOKUP($B30,CDM!$L$36:$T$46,4,FALSE)/24,0)+IFERROR(VLOOKUP($B30,CDM!$L$36:$T$46,4,FALSE)/2*$C30/78,0)</f>
        <v>376869.40076416731</v>
      </c>
      <c r="N30" s="254">
        <f t="shared" si="3"/>
        <v>27647143.955622979</v>
      </c>
      <c r="O30" s="4">
        <v>67586</v>
      </c>
      <c r="P30" s="256">
        <v>523</v>
      </c>
      <c r="Q30" s="256">
        <v>6653942.1059044832</v>
      </c>
      <c r="R30" s="256">
        <f>IFERROR(VLOOKUP($B30-1,CDM!$L$7:$T$18,5,FALSE)/12,0)+IFERROR(VLOOKUP($B30,CDM!$L$36:$T$46,5,FALSE)/24,0)+IFERROR(VLOOKUP($B30,CDM!$L$36:$T$46,5,FALSE)/2*$C30/78,0)</f>
        <v>852496.22749618313</v>
      </c>
      <c r="S30" s="256">
        <f t="shared" si="7"/>
        <v>7506438.3334006667</v>
      </c>
      <c r="T30" s="256">
        <v>16383</v>
      </c>
      <c r="U30" s="256">
        <v>12</v>
      </c>
      <c r="V30" s="256">
        <v>3104012.6835156321</v>
      </c>
      <c r="W30" s="256">
        <f>IFERROR(VLOOKUP($B30-1,CDM!$L$7:$T$18,6,FALSE)/12,0)+IFERROR(VLOOKUP($B30,CDM!$L$36:$T$46,6,FALSE)/24,0)+IFERROR(VLOOKUP($B30,CDM!$L$36:$T$46,6,FALSE)/2*$C30/78,0)</f>
        <v>10279.501682692307</v>
      </c>
      <c r="X30" s="256">
        <f t="shared" si="8"/>
        <v>3114292.1851983243</v>
      </c>
      <c r="Y30" s="256">
        <v>7836</v>
      </c>
      <c r="Z30" s="256">
        <v>1</v>
      </c>
      <c r="AA30" s="4">
        <v>418375.37159357575</v>
      </c>
      <c r="AB30" s="4">
        <v>1270</v>
      </c>
      <c r="AC30" s="256">
        <v>13031</v>
      </c>
      <c r="AD30" s="256">
        <v>2155.2736982643523</v>
      </c>
      <c r="AE30" s="256">
        <v>0</v>
      </c>
      <c r="AF30" s="256">
        <v>23</v>
      </c>
      <c r="AG30" s="4">
        <v>209247</v>
      </c>
      <c r="AH30" s="4">
        <v>246</v>
      </c>
      <c r="AI30" s="28">
        <f>Economic!H32</f>
        <v>764464.8</v>
      </c>
      <c r="AJ30" s="28">
        <f>Economic!I32</f>
        <v>590729.4</v>
      </c>
      <c r="AK30" s="28">
        <f>Economic!J32</f>
        <v>53985.7</v>
      </c>
      <c r="AL30" s="28">
        <f>Economic!K32</f>
        <v>764644</v>
      </c>
      <c r="AM30" s="28">
        <f>Economic!L32</f>
        <v>590485</v>
      </c>
      <c r="AN30" s="28">
        <f>Economic!M32</f>
        <v>31148</v>
      </c>
      <c r="AO30" s="28">
        <f>Economic!D32</f>
        <v>7066.7</v>
      </c>
      <c r="AP30" s="28">
        <f>Economic!E32</f>
        <v>7033.4</v>
      </c>
      <c r="AQ30" s="28">
        <f>Economic!F32</f>
        <v>202.9</v>
      </c>
      <c r="AR30" s="28">
        <f>Economic!G32</f>
        <v>203.9</v>
      </c>
      <c r="AS30" s="28">
        <f>Economic!N32</f>
        <v>122</v>
      </c>
      <c r="AT30" s="28">
        <f>Economic!O32</f>
        <v>119.69999999999982</v>
      </c>
      <c r="AU30" s="28">
        <f>Economic!P32</f>
        <v>-3.1999999999999886</v>
      </c>
      <c r="AV30" s="28">
        <f>Economic!Q32</f>
        <v>-2.1999999999999886</v>
      </c>
      <c r="AW30" s="28">
        <f>Economic!R32</f>
        <v>20488.600000000093</v>
      </c>
      <c r="AX30" s="28">
        <f>Economic!S32</f>
        <v>7942</v>
      </c>
      <c r="AY30" s="7">
        <f>Weather!D30</f>
        <v>12.072311827956989</v>
      </c>
      <c r="AZ30" s="7">
        <f>Weather!E30</f>
        <v>247.16666666666663</v>
      </c>
      <c r="BA30" s="7">
        <f>Weather!F30</f>
        <v>1.4083333333333314</v>
      </c>
      <c r="BB30" s="7">
        <f>Weather!G30</f>
        <v>188.63749999999999</v>
      </c>
      <c r="BC30" s="7">
        <f>Weather!H30</f>
        <v>4.8791666666666664</v>
      </c>
      <c r="BD30" s="7">
        <f>Weather!I30</f>
        <v>134.83333333333331</v>
      </c>
      <c r="BE30" s="7">
        <f>Weather!J30</f>
        <v>13.075000000000003</v>
      </c>
      <c r="BF30" s="7">
        <f>Weather!K30</f>
        <v>88.129166666666677</v>
      </c>
      <c r="BG30" s="7">
        <f>Weather!L30</f>
        <v>28.370833333333344</v>
      </c>
      <c r="BH30" s="7">
        <f>Weather!M30</f>
        <v>52.287499999999987</v>
      </c>
      <c r="BI30" s="7">
        <f>Weather!N30</f>
        <v>54.529166666666683</v>
      </c>
      <c r="BJ30" s="7">
        <f>Weather!O30</f>
        <v>26.741666666666656</v>
      </c>
      <c r="BK30" s="7">
        <f>Weather!P30</f>
        <v>90.983333333333348</v>
      </c>
      <c r="BL30" s="7">
        <f>Weather!Q30</f>
        <v>10.045833333333327</v>
      </c>
      <c r="BM30" s="7">
        <f>Weather!R30</f>
        <v>136.28750000000002</v>
      </c>
      <c r="BN30" s="1">
        <v>0</v>
      </c>
      <c r="BO30" s="1">
        <v>0</v>
      </c>
      <c r="BP30" s="1">
        <v>0</v>
      </c>
      <c r="BQ30" s="1">
        <v>0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1</v>
      </c>
      <c r="CC30" s="1">
        <f t="shared" si="9"/>
        <v>29</v>
      </c>
      <c r="CD30" s="1">
        <v>31</v>
      </c>
      <c r="CE30" s="1">
        <v>22</v>
      </c>
      <c r="CF30" s="1">
        <v>0</v>
      </c>
      <c r="CG30" s="1">
        <v>0</v>
      </c>
      <c r="CH30" s="1">
        <v>0</v>
      </c>
      <c r="CI30" s="1">
        <v>0</v>
      </c>
      <c r="CJ30" s="1">
        <f t="shared" si="12"/>
        <v>0</v>
      </c>
      <c r="CK30" s="1">
        <f t="shared" si="12"/>
        <v>0</v>
      </c>
      <c r="CL30" s="1">
        <f t="shared" si="12"/>
        <v>0</v>
      </c>
      <c r="CM30" s="1">
        <f t="shared" si="10"/>
        <v>0</v>
      </c>
      <c r="CN30" s="1">
        <f t="shared" si="10"/>
        <v>0</v>
      </c>
      <c r="CO30" s="1">
        <f t="shared" si="10"/>
        <v>0</v>
      </c>
      <c r="CP30" s="1">
        <f t="shared" si="10"/>
        <v>0</v>
      </c>
      <c r="CQ30" s="1">
        <f t="shared" si="10"/>
        <v>0</v>
      </c>
      <c r="CR30" s="1">
        <f t="shared" si="10"/>
        <v>0</v>
      </c>
      <c r="CS30" s="1">
        <f t="shared" si="10"/>
        <v>0</v>
      </c>
      <c r="CT30" s="1">
        <f t="shared" si="10"/>
        <v>0</v>
      </c>
      <c r="CU30" s="1">
        <f t="shared" si="10"/>
        <v>0</v>
      </c>
      <c r="CV30" s="1">
        <f t="shared" si="10"/>
        <v>0</v>
      </c>
      <c r="CW30" s="1">
        <f t="shared" si="10"/>
        <v>0</v>
      </c>
      <c r="CX30" s="1">
        <f t="shared" si="13"/>
        <v>0</v>
      </c>
      <c r="CY30" s="1">
        <f t="shared" si="13"/>
        <v>0</v>
      </c>
      <c r="CZ30" s="1">
        <f t="shared" si="13"/>
        <v>0</v>
      </c>
      <c r="DA30" s="1">
        <f t="shared" si="11"/>
        <v>0</v>
      </c>
      <c r="DB30" s="1">
        <f t="shared" si="11"/>
        <v>0</v>
      </c>
      <c r="DC30" s="1">
        <f t="shared" si="11"/>
        <v>0</v>
      </c>
      <c r="DD30" s="1">
        <f t="shared" si="11"/>
        <v>0</v>
      </c>
      <c r="DE30" s="1">
        <f t="shared" si="11"/>
        <v>0</v>
      </c>
      <c r="DF30" s="1">
        <f t="shared" si="11"/>
        <v>0</v>
      </c>
      <c r="DG30" s="1">
        <f t="shared" si="11"/>
        <v>0</v>
      </c>
      <c r="DH30" s="1">
        <f t="shared" si="11"/>
        <v>0</v>
      </c>
      <c r="DI30" s="1">
        <f t="shared" si="11"/>
        <v>0</v>
      </c>
      <c r="DJ30" s="1">
        <f t="shared" si="11"/>
        <v>0</v>
      </c>
      <c r="DK30" s="1">
        <f t="shared" si="11"/>
        <v>0</v>
      </c>
      <c r="DL30" s="24">
        <v>557776.03</v>
      </c>
      <c r="DM30" s="25">
        <v>1089.67</v>
      </c>
      <c r="DN30" s="24"/>
      <c r="DO30" s="25"/>
      <c r="DP30" s="25"/>
      <c r="DQ30" s="25"/>
      <c r="DR30" s="25"/>
      <c r="DS30" s="25"/>
      <c r="DT30" s="25"/>
      <c r="DU30" s="25"/>
      <c r="DV30" s="25"/>
    </row>
    <row r="31" spans="1:126" x14ac:dyDescent="0.25">
      <c r="A31" s="252">
        <v>42887</v>
      </c>
      <c r="B31" s="253">
        <f t="shared" si="0"/>
        <v>2017</v>
      </c>
      <c r="C31" s="253">
        <f t="shared" si="1"/>
        <v>6</v>
      </c>
      <c r="D31" s="254">
        <v>35544834.490070038</v>
      </c>
      <c r="E31" s="254">
        <f>IFERROR(VLOOKUP($B31-1,CDM!$L$7:$T$18,2,FALSE)/12,0)+IFERROR(VLOOKUP($B31,CDM!$L$36:$T$46,2,FALSE)/24,0)+IFERROR(VLOOKUP($B31,CDM!$L$36:$T$46,2,FALSE)/2*$C31/78,0)</f>
        <v>1726287.153846154</v>
      </c>
      <c r="F31" s="254">
        <f t="shared" si="2"/>
        <v>37271121.64391619</v>
      </c>
      <c r="G31" s="255">
        <v>53031</v>
      </c>
      <c r="H31" s="254">
        <v>9886969.9941238444</v>
      </c>
      <c r="I31" s="254">
        <f>IFERROR(VLOOKUP($B31-1,CDM!$L$7:$T$18,3,FALSE)/12,0)+IFERROR(VLOOKUP($B31,CDM!$L$36:$T$46,3,FALSE)/24,0)+IFERROR(VLOOKUP($B31,CDM!$L$36:$T$46,3,FALSE)/2*$C31/78,0)</f>
        <v>384744.85247567843</v>
      </c>
      <c r="J31" s="254">
        <f t="shared" si="6"/>
        <v>10271714.846599523</v>
      </c>
      <c r="K31" s="256">
        <v>4154</v>
      </c>
      <c r="L31" s="4">
        <v>24116964.785477251</v>
      </c>
      <c r="M31" s="257">
        <f>IFERROR(VLOOKUP($B31-1,CDM!$L$7:$T$18,4,FALSE)/12,0)+IFERROR(VLOOKUP($B31,CDM!$L$36:$T$46,4,FALSE)/24,0)+IFERROR(VLOOKUP($B31,CDM!$L$36:$T$46,4,FALSE)/2*$C31/78,0)</f>
        <v>393358.18684510939</v>
      </c>
      <c r="N31" s="254">
        <f t="shared" si="3"/>
        <v>24510322.97232236</v>
      </c>
      <c r="O31" s="4">
        <v>61199</v>
      </c>
      <c r="P31" s="256">
        <v>525</v>
      </c>
      <c r="Q31" s="256">
        <v>7175873.2812722484</v>
      </c>
      <c r="R31" s="256">
        <f>IFERROR(VLOOKUP($B31-1,CDM!$L$7:$T$18,5,FALSE)/12,0)+IFERROR(VLOOKUP($B31,CDM!$L$36:$T$46,5,FALSE)/24,0)+IFERROR(VLOOKUP($B31,CDM!$L$36:$T$46,5,FALSE)/2*$C31/78,0)</f>
        <v>854465.96463353245</v>
      </c>
      <c r="S31" s="256">
        <f t="shared" si="7"/>
        <v>8030339.2459057812</v>
      </c>
      <c r="T31" s="256">
        <v>17546</v>
      </c>
      <c r="U31" s="256">
        <v>12</v>
      </c>
      <c r="V31" s="256">
        <v>3164334.3234939571</v>
      </c>
      <c r="W31" s="256">
        <f>IFERROR(VLOOKUP($B31-1,CDM!$L$7:$T$18,6,FALSE)/12,0)+IFERROR(VLOOKUP($B31,CDM!$L$36:$T$46,6,FALSE)/24,0)+IFERROR(VLOOKUP($B31,CDM!$L$36:$T$46,6,FALSE)/2*$C31/78,0)</f>
        <v>11173.37139423077</v>
      </c>
      <c r="X31" s="256">
        <f t="shared" si="8"/>
        <v>3175507.694888188</v>
      </c>
      <c r="Y31" s="256">
        <v>7745</v>
      </c>
      <c r="Z31" s="256">
        <v>1</v>
      </c>
      <c r="AA31" s="4">
        <v>373328.62614431116</v>
      </c>
      <c r="AB31" s="4">
        <v>1270</v>
      </c>
      <c r="AC31" s="256">
        <v>13031</v>
      </c>
      <c r="AD31" s="256">
        <v>2216.784283806981</v>
      </c>
      <c r="AE31" s="256">
        <v>0</v>
      </c>
      <c r="AF31" s="256">
        <v>23</v>
      </c>
      <c r="AG31" s="4">
        <v>208939</v>
      </c>
      <c r="AH31" s="4">
        <v>246</v>
      </c>
      <c r="AI31" s="28">
        <f>Economic!H33</f>
        <v>764464.8</v>
      </c>
      <c r="AJ31" s="28">
        <f>Economic!I33</f>
        <v>590729.4</v>
      </c>
      <c r="AK31" s="28">
        <f>Economic!J33</f>
        <v>53985.7</v>
      </c>
      <c r="AL31" s="28">
        <f>Economic!K33</f>
        <v>764644</v>
      </c>
      <c r="AM31" s="28">
        <f>Economic!L33</f>
        <v>590485</v>
      </c>
      <c r="AN31" s="28">
        <f>Economic!M33</f>
        <v>31148</v>
      </c>
      <c r="AO31" s="28">
        <f>Economic!D33</f>
        <v>7079.8</v>
      </c>
      <c r="AP31" s="28">
        <f>Economic!E33</f>
        <v>7123</v>
      </c>
      <c r="AQ31" s="28">
        <f>Economic!F33</f>
        <v>206.7</v>
      </c>
      <c r="AR31" s="28">
        <f>Economic!G33</f>
        <v>209.8</v>
      </c>
      <c r="AS31" s="28">
        <f>Economic!N33</f>
        <v>124.30000000000018</v>
      </c>
      <c r="AT31" s="28">
        <f>Economic!O33</f>
        <v>122.80000000000018</v>
      </c>
      <c r="AU31" s="28">
        <f>Economic!P33</f>
        <v>2</v>
      </c>
      <c r="AV31" s="28">
        <f>Economic!Q33</f>
        <v>3.1000000000000227</v>
      </c>
      <c r="AW31" s="28">
        <f>Economic!R33</f>
        <v>20488.600000000093</v>
      </c>
      <c r="AX31" s="28">
        <f>Economic!S33</f>
        <v>7942</v>
      </c>
      <c r="AY31" s="7">
        <f>Weather!D31</f>
        <v>17.620722222222227</v>
      </c>
      <c r="AZ31" s="7">
        <f>Weather!E31</f>
        <v>85.453333333333319</v>
      </c>
      <c r="BA31" s="7">
        <f>Weather!F31</f>
        <v>14.074999999999999</v>
      </c>
      <c r="BB31" s="7">
        <f>Weather!G31</f>
        <v>47.73249999999998</v>
      </c>
      <c r="BC31" s="7">
        <f>Weather!H31</f>
        <v>36.354166666666671</v>
      </c>
      <c r="BD31" s="7">
        <f>Weather!I31</f>
        <v>20.287499999999987</v>
      </c>
      <c r="BE31" s="7">
        <f>Weather!J31</f>
        <v>68.909166666666678</v>
      </c>
      <c r="BF31" s="7">
        <f>Weather!K31</f>
        <v>4.091666666666665</v>
      </c>
      <c r="BG31" s="7">
        <f>Weather!L31</f>
        <v>112.71333333333334</v>
      </c>
      <c r="BH31" s="7">
        <f>Weather!M31</f>
        <v>0</v>
      </c>
      <c r="BI31" s="7">
        <f>Weather!N31</f>
        <v>168.62166666666667</v>
      </c>
      <c r="BJ31" s="7">
        <f>Weather!O31</f>
        <v>0</v>
      </c>
      <c r="BK31" s="7">
        <f>Weather!P31</f>
        <v>228.62166666666667</v>
      </c>
      <c r="BL31" s="7">
        <f>Weather!Q31</f>
        <v>0</v>
      </c>
      <c r="BM31" s="7">
        <f>Weather!R31</f>
        <v>288.62166666666667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f t="shared" si="9"/>
        <v>30</v>
      </c>
      <c r="CD31" s="1">
        <v>30</v>
      </c>
      <c r="CE31" s="1">
        <v>22</v>
      </c>
      <c r="CF31" s="1">
        <v>0</v>
      </c>
      <c r="CG31" s="1">
        <v>0</v>
      </c>
      <c r="CH31" s="1">
        <v>0</v>
      </c>
      <c r="CI31" s="1">
        <v>0</v>
      </c>
      <c r="CJ31" s="1">
        <f t="shared" si="12"/>
        <v>0</v>
      </c>
      <c r="CK31" s="1">
        <f t="shared" si="12"/>
        <v>0</v>
      </c>
      <c r="CL31" s="1">
        <f t="shared" si="12"/>
        <v>0</v>
      </c>
      <c r="CM31" s="1">
        <f t="shared" si="10"/>
        <v>0</v>
      </c>
      <c r="CN31" s="1">
        <f t="shared" si="10"/>
        <v>0</v>
      </c>
      <c r="CO31" s="1">
        <f t="shared" ref="CO31:CW59" si="14">$CG31*BE31</f>
        <v>0</v>
      </c>
      <c r="CP31" s="1">
        <f t="shared" si="14"/>
        <v>0</v>
      </c>
      <c r="CQ31" s="1">
        <f t="shared" si="14"/>
        <v>0</v>
      </c>
      <c r="CR31" s="1">
        <f t="shared" si="14"/>
        <v>0</v>
      </c>
      <c r="CS31" s="1">
        <f t="shared" si="14"/>
        <v>0</v>
      </c>
      <c r="CT31" s="1">
        <f t="shared" si="14"/>
        <v>0</v>
      </c>
      <c r="CU31" s="1">
        <f t="shared" si="14"/>
        <v>0</v>
      </c>
      <c r="CV31" s="1">
        <f t="shared" si="14"/>
        <v>0</v>
      </c>
      <c r="CW31" s="1">
        <f t="shared" si="14"/>
        <v>0</v>
      </c>
      <c r="CX31" s="1">
        <f t="shared" si="13"/>
        <v>0</v>
      </c>
      <c r="CY31" s="1">
        <f t="shared" si="13"/>
        <v>0</v>
      </c>
      <c r="CZ31" s="1">
        <f t="shared" si="13"/>
        <v>0</v>
      </c>
      <c r="DA31" s="1">
        <f t="shared" si="11"/>
        <v>0</v>
      </c>
      <c r="DB31" s="1">
        <f t="shared" si="11"/>
        <v>0</v>
      </c>
      <c r="DC31" s="1">
        <f t="shared" ref="DC31:DK59" si="15">$CH31*BE31</f>
        <v>0</v>
      </c>
      <c r="DD31" s="1">
        <f t="shared" si="15"/>
        <v>0</v>
      </c>
      <c r="DE31" s="1">
        <f t="shared" si="15"/>
        <v>0</v>
      </c>
      <c r="DF31" s="1">
        <f t="shared" si="15"/>
        <v>0</v>
      </c>
      <c r="DG31" s="1">
        <f t="shared" si="15"/>
        <v>0</v>
      </c>
      <c r="DH31" s="1">
        <f t="shared" si="15"/>
        <v>0</v>
      </c>
      <c r="DI31" s="1">
        <f t="shared" si="15"/>
        <v>0</v>
      </c>
      <c r="DJ31" s="1">
        <f t="shared" si="15"/>
        <v>0</v>
      </c>
      <c r="DK31" s="1">
        <f t="shared" si="15"/>
        <v>0</v>
      </c>
      <c r="DL31" s="24">
        <v>607975.65999999992</v>
      </c>
      <c r="DM31" s="25">
        <v>1184.19</v>
      </c>
      <c r="DN31" s="24"/>
      <c r="DO31" s="25"/>
      <c r="DP31" s="25"/>
      <c r="DQ31" s="25"/>
      <c r="DR31" s="25"/>
      <c r="DS31" s="25"/>
      <c r="DT31" s="25"/>
      <c r="DU31" s="25"/>
      <c r="DV31" s="25"/>
    </row>
    <row r="32" spans="1:126" x14ac:dyDescent="0.25">
      <c r="A32" s="252">
        <v>42917</v>
      </c>
      <c r="B32" s="253">
        <f t="shared" si="0"/>
        <v>2017</v>
      </c>
      <c r="C32" s="253">
        <f t="shared" si="1"/>
        <v>7</v>
      </c>
      <c r="D32" s="254">
        <v>41196812.372879505</v>
      </c>
      <c r="E32" s="254">
        <f>IFERROR(VLOOKUP($B32-1,CDM!$L$7:$T$18,2,FALSE)/12,0)+IFERROR(VLOOKUP($B32,CDM!$L$36:$T$46,2,FALSE)/24,0)+IFERROR(VLOOKUP($B32,CDM!$L$36:$T$46,2,FALSE)/2*$C32/78,0)</f>
        <v>1810193.4294871795</v>
      </c>
      <c r="F32" s="254">
        <f t="shared" si="2"/>
        <v>43007005.802366681</v>
      </c>
      <c r="G32" s="255">
        <v>52774</v>
      </c>
      <c r="H32" s="254">
        <v>10967495.355628526</v>
      </c>
      <c r="I32" s="254">
        <f>IFERROR(VLOOKUP($B32-1,CDM!$L$7:$T$18,3,FALSE)/12,0)+IFERROR(VLOOKUP($B32,CDM!$L$36:$T$46,3,FALSE)/24,0)+IFERROR(VLOOKUP($B32,CDM!$L$36:$T$46,3,FALSE)/2*$C32/78,0)</f>
        <v>400575.9662403994</v>
      </c>
      <c r="J32" s="254">
        <f t="shared" si="6"/>
        <v>11368071.321868924</v>
      </c>
      <c r="K32" s="256">
        <v>4158</v>
      </c>
      <c r="L32" s="4">
        <v>31059700.469577063</v>
      </c>
      <c r="M32" s="257">
        <f>IFERROR(VLOOKUP($B32-1,CDM!$L$7:$T$18,4,FALSE)/12,0)+IFERROR(VLOOKUP($B32,CDM!$L$36:$T$46,4,FALSE)/24,0)+IFERROR(VLOOKUP($B32,CDM!$L$36:$T$46,4,FALSE)/2*$C32/78,0)</f>
        <v>409846.97292605147</v>
      </c>
      <c r="N32" s="254">
        <f t="shared" si="3"/>
        <v>31469547.442503113</v>
      </c>
      <c r="O32" s="4">
        <v>74429</v>
      </c>
      <c r="P32" s="256">
        <v>526</v>
      </c>
      <c r="Q32" s="256">
        <v>7966190.3157943618</v>
      </c>
      <c r="R32" s="256">
        <f>IFERROR(VLOOKUP($B32-1,CDM!$L$7:$T$18,5,FALSE)/12,0)+IFERROR(VLOOKUP($B32,CDM!$L$36:$T$46,5,FALSE)/24,0)+IFERROR(VLOOKUP($B32,CDM!$L$36:$T$46,5,FALSE)/2*$C32/78,0)</f>
        <v>856435.70177088166</v>
      </c>
      <c r="S32" s="256">
        <f t="shared" si="7"/>
        <v>8822626.0175652429</v>
      </c>
      <c r="T32" s="256">
        <v>17465</v>
      </c>
      <c r="U32" s="256">
        <v>12</v>
      </c>
      <c r="V32" s="256">
        <v>3330834.0260694562</v>
      </c>
      <c r="W32" s="256">
        <f>IFERROR(VLOOKUP($B32-1,CDM!$L$7:$T$18,6,FALSE)/12,0)+IFERROR(VLOOKUP($B32,CDM!$L$36:$T$46,6,FALSE)/24,0)+IFERROR(VLOOKUP($B32,CDM!$L$36:$T$46,6,FALSE)/2*$C32/78,0)</f>
        <v>12067.24110576923</v>
      </c>
      <c r="X32" s="256">
        <f t="shared" si="8"/>
        <v>3342901.2671752255</v>
      </c>
      <c r="Y32" s="256">
        <v>8576</v>
      </c>
      <c r="Z32" s="256">
        <v>1</v>
      </c>
      <c r="AA32" s="4">
        <v>396654.68421546015</v>
      </c>
      <c r="AB32" s="4">
        <v>1274</v>
      </c>
      <c r="AC32" s="256">
        <v>13031</v>
      </c>
      <c r="AD32" s="256">
        <v>2072.8781232119018</v>
      </c>
      <c r="AE32" s="256">
        <v>0</v>
      </c>
      <c r="AF32" s="256">
        <v>23</v>
      </c>
      <c r="AG32" s="4">
        <v>208939</v>
      </c>
      <c r="AH32" s="4">
        <v>246</v>
      </c>
      <c r="AI32" s="28">
        <f>Economic!H34</f>
        <v>764464.8</v>
      </c>
      <c r="AJ32" s="28">
        <f>Economic!I34</f>
        <v>590729.4</v>
      </c>
      <c r="AK32" s="28">
        <f>Economic!J34</f>
        <v>53985.7</v>
      </c>
      <c r="AL32" s="28">
        <f>Economic!K34</f>
        <v>765060</v>
      </c>
      <c r="AM32" s="28">
        <f>Economic!L34</f>
        <v>592461</v>
      </c>
      <c r="AN32" s="28">
        <f>Economic!M34</f>
        <v>31156</v>
      </c>
      <c r="AO32" s="28">
        <f>Economic!D34</f>
        <v>7101.9</v>
      </c>
      <c r="AP32" s="28">
        <f>Economic!E34</f>
        <v>7196</v>
      </c>
      <c r="AQ32" s="28">
        <f>Economic!F34</f>
        <v>207</v>
      </c>
      <c r="AR32" s="28">
        <f>Economic!G34</f>
        <v>209.9</v>
      </c>
      <c r="AS32" s="28">
        <f>Economic!N34</f>
        <v>145.59999999999945</v>
      </c>
      <c r="AT32" s="28">
        <f>Economic!O34</f>
        <v>146.5</v>
      </c>
      <c r="AU32" s="28">
        <f>Economic!P34</f>
        <v>0.5</v>
      </c>
      <c r="AV32" s="28">
        <f>Economic!Q34</f>
        <v>0.70000000000001705</v>
      </c>
      <c r="AW32" s="28">
        <f>Economic!R34</f>
        <v>20488.600000000093</v>
      </c>
      <c r="AX32" s="28">
        <f>Economic!S34</f>
        <v>416</v>
      </c>
      <c r="AY32" s="7">
        <f>Weather!D32</f>
        <v>20.392473118279565</v>
      </c>
      <c r="AZ32" s="7">
        <f>Weather!E32</f>
        <v>14.412500000000009</v>
      </c>
      <c r="BA32" s="7">
        <f>Weather!F32</f>
        <v>26.579166666666627</v>
      </c>
      <c r="BB32" s="7">
        <f>Weather!G32</f>
        <v>1.8041666666666707</v>
      </c>
      <c r="BC32" s="7">
        <f>Weather!H32</f>
        <v>75.970833333333289</v>
      </c>
      <c r="BD32" s="7">
        <f>Weather!I32</f>
        <v>0</v>
      </c>
      <c r="BE32" s="7">
        <f>Weather!J32</f>
        <v>136.16666666666663</v>
      </c>
      <c r="BF32" s="7">
        <f>Weather!K32</f>
        <v>0</v>
      </c>
      <c r="BG32" s="7">
        <f>Weather!L32</f>
        <v>198.16666666666666</v>
      </c>
      <c r="BH32" s="7">
        <f>Weather!M32</f>
        <v>0</v>
      </c>
      <c r="BI32" s="7">
        <f>Weather!N32</f>
        <v>260.16666666666657</v>
      </c>
      <c r="BJ32" s="7">
        <f>Weather!O32</f>
        <v>0</v>
      </c>
      <c r="BK32" s="7">
        <f>Weather!P32</f>
        <v>322.16666666666657</v>
      </c>
      <c r="BL32" s="7">
        <f>Weather!Q32</f>
        <v>0</v>
      </c>
      <c r="BM32" s="7">
        <f>Weather!R32</f>
        <v>384.16666666666657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f t="shared" si="9"/>
        <v>31</v>
      </c>
      <c r="CD32" s="1">
        <v>31</v>
      </c>
      <c r="CE32" s="1">
        <v>20</v>
      </c>
      <c r="CF32" s="1">
        <v>0</v>
      </c>
      <c r="CG32" s="1">
        <v>0</v>
      </c>
      <c r="CH32" s="1">
        <v>0</v>
      </c>
      <c r="CI32" s="1">
        <v>0</v>
      </c>
      <c r="CJ32" s="1">
        <f t="shared" si="12"/>
        <v>0</v>
      </c>
      <c r="CK32" s="1">
        <f t="shared" si="12"/>
        <v>0</v>
      </c>
      <c r="CL32" s="1">
        <f t="shared" si="12"/>
        <v>0</v>
      </c>
      <c r="CM32" s="1">
        <f t="shared" si="12"/>
        <v>0</v>
      </c>
      <c r="CN32" s="1">
        <f t="shared" si="12"/>
        <v>0</v>
      </c>
      <c r="CO32" s="1">
        <f t="shared" si="14"/>
        <v>0</v>
      </c>
      <c r="CP32" s="1">
        <f t="shared" si="14"/>
        <v>0</v>
      </c>
      <c r="CQ32" s="1">
        <f t="shared" si="14"/>
        <v>0</v>
      </c>
      <c r="CR32" s="1">
        <f t="shared" si="14"/>
        <v>0</v>
      </c>
      <c r="CS32" s="1">
        <f t="shared" si="14"/>
        <v>0</v>
      </c>
      <c r="CT32" s="1">
        <f t="shared" si="14"/>
        <v>0</v>
      </c>
      <c r="CU32" s="1">
        <f t="shared" si="14"/>
        <v>0</v>
      </c>
      <c r="CV32" s="1">
        <f t="shared" si="14"/>
        <v>0</v>
      </c>
      <c r="CW32" s="1">
        <f t="shared" si="14"/>
        <v>0</v>
      </c>
      <c r="CX32" s="1">
        <f t="shared" si="13"/>
        <v>0</v>
      </c>
      <c r="CY32" s="1">
        <f t="shared" si="13"/>
        <v>0</v>
      </c>
      <c r="CZ32" s="1">
        <f t="shared" si="13"/>
        <v>0</v>
      </c>
      <c r="DA32" s="1">
        <f t="shared" si="13"/>
        <v>0</v>
      </c>
      <c r="DB32" s="1">
        <f t="shared" si="13"/>
        <v>0</v>
      </c>
      <c r="DC32" s="1">
        <f t="shared" si="15"/>
        <v>0</v>
      </c>
      <c r="DD32" s="1">
        <f t="shared" si="15"/>
        <v>0</v>
      </c>
      <c r="DE32" s="1">
        <f t="shared" si="15"/>
        <v>0</v>
      </c>
      <c r="DF32" s="1">
        <f t="shared" si="15"/>
        <v>0</v>
      </c>
      <c r="DG32" s="1">
        <f t="shared" si="15"/>
        <v>0</v>
      </c>
      <c r="DH32" s="1">
        <f t="shared" si="15"/>
        <v>0</v>
      </c>
      <c r="DI32" s="1">
        <f t="shared" si="15"/>
        <v>0</v>
      </c>
      <c r="DJ32" s="1">
        <f t="shared" si="15"/>
        <v>0</v>
      </c>
      <c r="DK32" s="1">
        <f t="shared" si="15"/>
        <v>0</v>
      </c>
      <c r="DL32" s="24">
        <v>669255.03</v>
      </c>
      <c r="DM32" s="25">
        <v>1214.51</v>
      </c>
      <c r="DN32" s="24"/>
      <c r="DO32" s="25"/>
      <c r="DP32" s="25"/>
      <c r="DQ32" s="25"/>
      <c r="DR32" s="25"/>
      <c r="DS32" s="25"/>
      <c r="DT32" s="25"/>
      <c r="DU32" s="25"/>
      <c r="DV32" s="25"/>
    </row>
    <row r="33" spans="1:126" x14ac:dyDescent="0.25">
      <c r="A33" s="252">
        <v>42948</v>
      </c>
      <c r="B33" s="253">
        <f t="shared" si="0"/>
        <v>2017</v>
      </c>
      <c r="C33" s="253">
        <f t="shared" si="1"/>
        <v>8</v>
      </c>
      <c r="D33" s="254">
        <v>41352412.042030372</v>
      </c>
      <c r="E33" s="254">
        <f>IFERROR(VLOOKUP($B33-1,CDM!$L$7:$T$18,2,FALSE)/12,0)+IFERROR(VLOOKUP($B33,CDM!$L$36:$T$46,2,FALSE)/24,0)+IFERROR(VLOOKUP($B33,CDM!$L$36:$T$46,2,FALSE)/2*$C33/78,0)</f>
        <v>1894099.705128205</v>
      </c>
      <c r="F33" s="254">
        <f t="shared" si="2"/>
        <v>43246511.74715858</v>
      </c>
      <c r="G33" s="255">
        <v>52947</v>
      </c>
      <c r="H33" s="254">
        <v>10592818.57926497</v>
      </c>
      <c r="I33" s="254">
        <f>IFERROR(VLOOKUP($B33-1,CDM!$L$7:$T$18,3,FALSE)/12,0)+IFERROR(VLOOKUP($B33,CDM!$L$36:$T$46,3,FALSE)/24,0)+IFERROR(VLOOKUP($B33,CDM!$L$36:$T$46,3,FALSE)/2*$C33/78,0)</f>
        <v>416407.08000512037</v>
      </c>
      <c r="J33" s="254">
        <f t="shared" si="6"/>
        <v>11009225.659270091</v>
      </c>
      <c r="K33" s="256">
        <v>4157</v>
      </c>
      <c r="L33" s="4">
        <v>26614810.052977882</v>
      </c>
      <c r="M33" s="257">
        <f>IFERROR(VLOOKUP($B33-1,CDM!$L$7:$T$18,4,FALSE)/12,0)+IFERROR(VLOOKUP($B33,CDM!$L$36:$T$46,4,FALSE)/24,0)+IFERROR(VLOOKUP($B33,CDM!$L$36:$T$46,4,FALSE)/2*$C33/78,0)</f>
        <v>426335.75900699355</v>
      </c>
      <c r="N33" s="254">
        <f t="shared" si="3"/>
        <v>27041145.811984874</v>
      </c>
      <c r="O33" s="4">
        <v>68930</v>
      </c>
      <c r="P33" s="256">
        <v>525</v>
      </c>
      <c r="Q33" s="256">
        <v>8247536.7965572923</v>
      </c>
      <c r="R33" s="256">
        <f>IFERROR(VLOOKUP($B33-1,CDM!$L$7:$T$18,5,FALSE)/12,0)+IFERROR(VLOOKUP($B33,CDM!$L$36:$T$46,5,FALSE)/24,0)+IFERROR(VLOOKUP($B33,CDM!$L$36:$T$46,5,FALSE)/2*$C33/78,0)</f>
        <v>858405.43890823098</v>
      </c>
      <c r="S33" s="256">
        <f t="shared" si="7"/>
        <v>9105942.2354655229</v>
      </c>
      <c r="T33" s="256">
        <v>17112</v>
      </c>
      <c r="U33" s="256">
        <v>12</v>
      </c>
      <c r="V33" s="256">
        <v>3426068.7581383074</v>
      </c>
      <c r="W33" s="256">
        <f>IFERROR(VLOOKUP($B33-1,CDM!$L$7:$T$18,6,FALSE)/12,0)+IFERROR(VLOOKUP($B33,CDM!$L$36:$T$46,6,FALSE)/24,0)+IFERROR(VLOOKUP($B33,CDM!$L$36:$T$46,6,FALSE)/2*$C33/78,0)</f>
        <v>12961.110817307692</v>
      </c>
      <c r="X33" s="256">
        <f t="shared" si="8"/>
        <v>3439029.868955615</v>
      </c>
      <c r="Y33" s="256">
        <v>8565</v>
      </c>
      <c r="Z33" s="256">
        <v>1</v>
      </c>
      <c r="AA33" s="4">
        <v>169360.79722255282</v>
      </c>
      <c r="AB33" s="4">
        <v>980</v>
      </c>
      <c r="AC33" s="256">
        <v>13031</v>
      </c>
      <c r="AD33" s="256">
        <v>2155.2736982643523</v>
      </c>
      <c r="AE33" s="256">
        <v>0</v>
      </c>
      <c r="AF33" s="256">
        <v>23</v>
      </c>
      <c r="AG33" s="4">
        <v>209882</v>
      </c>
      <c r="AH33" s="4">
        <v>246</v>
      </c>
      <c r="AI33" s="28">
        <f>Economic!H35</f>
        <v>764464.8</v>
      </c>
      <c r="AJ33" s="28">
        <f>Economic!I35</f>
        <v>590729.4</v>
      </c>
      <c r="AK33" s="28">
        <f>Economic!J35</f>
        <v>53985.7</v>
      </c>
      <c r="AL33" s="28">
        <f>Economic!K35</f>
        <v>765060</v>
      </c>
      <c r="AM33" s="28">
        <f>Economic!L35</f>
        <v>592461</v>
      </c>
      <c r="AN33" s="28">
        <f>Economic!M35</f>
        <v>31156</v>
      </c>
      <c r="AO33" s="28">
        <f>Economic!D35</f>
        <v>7121.1</v>
      </c>
      <c r="AP33" s="28">
        <f>Economic!E35</f>
        <v>7216.7</v>
      </c>
      <c r="AQ33" s="28">
        <f>Economic!F35</f>
        <v>208.1</v>
      </c>
      <c r="AR33" s="28">
        <f>Economic!G35</f>
        <v>210</v>
      </c>
      <c r="AS33" s="28">
        <f>Economic!N35</f>
        <v>167.60000000000036</v>
      </c>
      <c r="AT33" s="28">
        <f>Economic!O35</f>
        <v>171.09999999999945</v>
      </c>
      <c r="AU33" s="28">
        <f>Economic!P35</f>
        <v>-1.2000000000000171</v>
      </c>
      <c r="AV33" s="28">
        <f>Economic!Q35</f>
        <v>-1.1999999999999886</v>
      </c>
      <c r="AW33" s="28">
        <f>Economic!R35</f>
        <v>20488.600000000093</v>
      </c>
      <c r="AX33" s="28">
        <f>Economic!S35</f>
        <v>416</v>
      </c>
      <c r="AY33" s="7">
        <f>Weather!D33</f>
        <v>19.013680458158017</v>
      </c>
      <c r="AZ33" s="7">
        <f>Weather!E33</f>
        <v>46.587500000000006</v>
      </c>
      <c r="BA33" s="7">
        <f>Weather!F33</f>
        <v>16.01159420289855</v>
      </c>
      <c r="BB33" s="7">
        <f>Weather!G33</f>
        <v>17.950000000000006</v>
      </c>
      <c r="BC33" s="7">
        <f>Weather!H33</f>
        <v>49.374094202898547</v>
      </c>
      <c r="BD33" s="7">
        <f>Weather!I33</f>
        <v>3.6416666666666693</v>
      </c>
      <c r="BE33" s="7">
        <f>Weather!J33</f>
        <v>97.06576086956521</v>
      </c>
      <c r="BF33" s="7">
        <f>Weather!K33</f>
        <v>0</v>
      </c>
      <c r="BG33" s="7">
        <f>Weather!L33</f>
        <v>155.42409420289857</v>
      </c>
      <c r="BH33" s="7">
        <f>Weather!M33</f>
        <v>0</v>
      </c>
      <c r="BI33" s="7">
        <f>Weather!N33</f>
        <v>217.42409420289852</v>
      </c>
      <c r="BJ33" s="7">
        <f>Weather!O33</f>
        <v>0</v>
      </c>
      <c r="BK33" s="7">
        <f>Weather!P33</f>
        <v>279.42409420289852</v>
      </c>
      <c r="BL33" s="7">
        <f>Weather!Q33</f>
        <v>0</v>
      </c>
      <c r="BM33" s="7">
        <f>Weather!R33</f>
        <v>341.42409420289852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f t="shared" si="9"/>
        <v>32</v>
      </c>
      <c r="CD33" s="1">
        <v>31</v>
      </c>
      <c r="CE33" s="1">
        <v>22</v>
      </c>
      <c r="CF33" s="1">
        <v>0</v>
      </c>
      <c r="CG33" s="1">
        <v>0</v>
      </c>
      <c r="CH33" s="1">
        <v>0</v>
      </c>
      <c r="CI33" s="1">
        <v>0</v>
      </c>
      <c r="CJ33" s="1">
        <f t="shared" si="12"/>
        <v>0</v>
      </c>
      <c r="CK33" s="1">
        <f t="shared" si="12"/>
        <v>0</v>
      </c>
      <c r="CL33" s="1">
        <f t="shared" si="12"/>
        <v>0</v>
      </c>
      <c r="CM33" s="1">
        <f t="shared" si="12"/>
        <v>0</v>
      </c>
      <c r="CN33" s="1">
        <f t="shared" si="12"/>
        <v>0</v>
      </c>
      <c r="CO33" s="1">
        <f t="shared" si="14"/>
        <v>0</v>
      </c>
      <c r="CP33" s="1">
        <f t="shared" si="14"/>
        <v>0</v>
      </c>
      <c r="CQ33" s="1">
        <f t="shared" si="14"/>
        <v>0</v>
      </c>
      <c r="CR33" s="1">
        <f t="shared" si="14"/>
        <v>0</v>
      </c>
      <c r="CS33" s="1">
        <f t="shared" si="14"/>
        <v>0</v>
      </c>
      <c r="CT33" s="1">
        <f t="shared" si="14"/>
        <v>0</v>
      </c>
      <c r="CU33" s="1">
        <f t="shared" si="14"/>
        <v>0</v>
      </c>
      <c r="CV33" s="1">
        <f t="shared" si="14"/>
        <v>0</v>
      </c>
      <c r="CW33" s="1">
        <f t="shared" si="14"/>
        <v>0</v>
      </c>
      <c r="CX33" s="1">
        <f t="shared" si="13"/>
        <v>0</v>
      </c>
      <c r="CY33" s="1">
        <f t="shared" si="13"/>
        <v>0</v>
      </c>
      <c r="CZ33" s="1">
        <f t="shared" si="13"/>
        <v>0</v>
      </c>
      <c r="DA33" s="1">
        <f t="shared" si="13"/>
        <v>0</v>
      </c>
      <c r="DB33" s="1">
        <f t="shared" si="13"/>
        <v>0</v>
      </c>
      <c r="DC33" s="1">
        <f t="shared" si="15"/>
        <v>0</v>
      </c>
      <c r="DD33" s="1">
        <f t="shared" si="15"/>
        <v>0</v>
      </c>
      <c r="DE33" s="1">
        <f t="shared" si="15"/>
        <v>0</v>
      </c>
      <c r="DF33" s="1">
        <f t="shared" si="15"/>
        <v>0</v>
      </c>
      <c r="DG33" s="1">
        <f t="shared" si="15"/>
        <v>0</v>
      </c>
      <c r="DH33" s="1">
        <f t="shared" si="15"/>
        <v>0</v>
      </c>
      <c r="DI33" s="1">
        <f t="shared" si="15"/>
        <v>0</v>
      </c>
      <c r="DJ33" s="1">
        <f t="shared" si="15"/>
        <v>0</v>
      </c>
      <c r="DK33" s="1">
        <f t="shared" si="15"/>
        <v>0</v>
      </c>
      <c r="DL33" s="24">
        <v>649468.09</v>
      </c>
      <c r="DM33" s="25">
        <v>1174.49</v>
      </c>
      <c r="DN33" s="24"/>
      <c r="DO33" s="25"/>
      <c r="DP33" s="25"/>
      <c r="DQ33" s="25"/>
      <c r="DR33" s="25"/>
      <c r="DS33" s="25"/>
      <c r="DT33" s="25"/>
      <c r="DU33" s="25"/>
      <c r="DV33" s="25"/>
    </row>
    <row r="34" spans="1:126" x14ac:dyDescent="0.25">
      <c r="A34" s="252">
        <v>42979</v>
      </c>
      <c r="B34" s="253">
        <f t="shared" si="0"/>
        <v>2017</v>
      </c>
      <c r="C34" s="253">
        <f t="shared" si="1"/>
        <v>9</v>
      </c>
      <c r="D34" s="254">
        <v>38195506.463074662</v>
      </c>
      <c r="E34" s="254">
        <f>IFERROR(VLOOKUP($B34-1,CDM!$L$7:$T$18,2,FALSE)/12,0)+IFERROR(VLOOKUP($B34,CDM!$L$36:$T$46,2,FALSE)/24,0)+IFERROR(VLOOKUP($B34,CDM!$L$36:$T$46,2,FALSE)/2*$C34/78,0)</f>
        <v>1978005.9807692308</v>
      </c>
      <c r="F34" s="254">
        <f t="shared" si="2"/>
        <v>40173512.443843894</v>
      </c>
      <c r="G34" s="255">
        <v>52911</v>
      </c>
      <c r="H34" s="254">
        <v>10182174.474372637</v>
      </c>
      <c r="I34" s="254">
        <f>IFERROR(VLOOKUP($B34-1,CDM!$L$7:$T$18,3,FALSE)/12,0)+IFERROR(VLOOKUP($B34,CDM!$L$36:$T$46,3,FALSE)/24,0)+IFERROR(VLOOKUP($B34,CDM!$L$36:$T$46,3,FALSE)/2*$C34/78,0)</f>
        <v>432238.19376984134</v>
      </c>
      <c r="J34" s="254">
        <f t="shared" si="6"/>
        <v>10614412.668142477</v>
      </c>
      <c r="K34" s="256">
        <v>4169</v>
      </c>
      <c r="L34" s="4">
        <v>27258802.511137903</v>
      </c>
      <c r="M34" s="257">
        <f>IFERROR(VLOOKUP($B34-1,CDM!$L$7:$T$18,4,FALSE)/12,0)+IFERROR(VLOOKUP($B34,CDM!$L$36:$T$46,4,FALSE)/24,0)+IFERROR(VLOOKUP($B34,CDM!$L$36:$T$46,4,FALSE)/2*$C34/78,0)</f>
        <v>442824.54508793564</v>
      </c>
      <c r="N34" s="254">
        <f t="shared" si="3"/>
        <v>27701627.05622584</v>
      </c>
      <c r="O34" s="4">
        <v>72431</v>
      </c>
      <c r="P34" s="256">
        <v>525</v>
      </c>
      <c r="Q34" s="256">
        <v>6718214.800087953</v>
      </c>
      <c r="R34" s="256">
        <f>IFERROR(VLOOKUP($B34-1,CDM!$L$7:$T$18,5,FALSE)/12,0)+IFERROR(VLOOKUP($B34,CDM!$L$36:$T$46,5,FALSE)/24,0)+IFERROR(VLOOKUP($B34,CDM!$L$36:$T$46,5,FALSE)/2*$C34/78,0)</f>
        <v>860375.17604558019</v>
      </c>
      <c r="S34" s="256">
        <f t="shared" si="7"/>
        <v>7578589.9761335328</v>
      </c>
      <c r="T34" s="256">
        <v>17605</v>
      </c>
      <c r="U34" s="256">
        <v>12</v>
      </c>
      <c r="V34" s="256">
        <v>3363510.2194956485</v>
      </c>
      <c r="W34" s="256">
        <f>IFERROR(VLOOKUP($B34-1,CDM!$L$7:$T$18,6,FALSE)/12,0)+IFERROR(VLOOKUP($B34,CDM!$L$36:$T$46,6,FALSE)/24,0)+IFERROR(VLOOKUP($B34,CDM!$L$36:$T$46,6,FALSE)/2*$C34/78,0)</f>
        <v>13854.980528846154</v>
      </c>
      <c r="X34" s="256">
        <f t="shared" si="8"/>
        <v>3377365.2000244949</v>
      </c>
      <c r="Y34" s="256">
        <v>9049.2999999999993</v>
      </c>
      <c r="Z34" s="256">
        <v>1</v>
      </c>
      <c r="AA34" s="4">
        <v>167521.20801220421</v>
      </c>
      <c r="AB34" s="4">
        <v>986.32500000000005</v>
      </c>
      <c r="AC34" s="256">
        <v>13031</v>
      </c>
      <c r="AD34" s="256">
        <v>2159.1073812702653</v>
      </c>
      <c r="AE34" s="256">
        <v>0</v>
      </c>
      <c r="AF34" s="256">
        <v>23</v>
      </c>
      <c r="AG34" s="4">
        <v>209432</v>
      </c>
      <c r="AH34" s="4">
        <v>247</v>
      </c>
      <c r="AI34" s="28">
        <f>Economic!H36</f>
        <v>764464.8</v>
      </c>
      <c r="AJ34" s="28">
        <f>Economic!I36</f>
        <v>590729.4</v>
      </c>
      <c r="AK34" s="28">
        <f>Economic!J36</f>
        <v>53985.7</v>
      </c>
      <c r="AL34" s="28">
        <f>Economic!K36</f>
        <v>765060</v>
      </c>
      <c r="AM34" s="28">
        <f>Economic!L36</f>
        <v>592461</v>
      </c>
      <c r="AN34" s="28">
        <f>Economic!M36</f>
        <v>31156</v>
      </c>
      <c r="AO34" s="28">
        <f>Economic!D36</f>
        <v>7144.8</v>
      </c>
      <c r="AP34" s="28">
        <f>Economic!E36</f>
        <v>7193.4</v>
      </c>
      <c r="AQ34" s="28">
        <f>Economic!F36</f>
        <v>208.1</v>
      </c>
      <c r="AR34" s="28">
        <f>Economic!G36</f>
        <v>207.7</v>
      </c>
      <c r="AS34" s="28">
        <f>Economic!N36</f>
        <v>194.69999999999982</v>
      </c>
      <c r="AT34" s="28">
        <f>Economic!O36</f>
        <v>195.29999999999927</v>
      </c>
      <c r="AU34" s="28">
        <f>Economic!P36</f>
        <v>-5.4000000000000057</v>
      </c>
      <c r="AV34" s="28">
        <f>Economic!Q36</f>
        <v>-5.6000000000000227</v>
      </c>
      <c r="AW34" s="28">
        <f>Economic!R36</f>
        <v>20488.600000000093</v>
      </c>
      <c r="AX34" s="28">
        <f>Economic!S36</f>
        <v>416</v>
      </c>
      <c r="AY34" s="7">
        <f>Weather!D34</f>
        <v>17.194861111111109</v>
      </c>
      <c r="AZ34" s="7">
        <f>Weather!E34</f>
        <v>100.06666666666666</v>
      </c>
      <c r="BA34" s="7">
        <f>Weather!F34</f>
        <v>15.912499999999994</v>
      </c>
      <c r="BB34" s="7">
        <f>Weather!G34</f>
        <v>65.699999999999989</v>
      </c>
      <c r="BC34" s="7">
        <f>Weather!H34</f>
        <v>41.54583333333332</v>
      </c>
      <c r="BD34" s="7">
        <f>Weather!I34</f>
        <v>37.391666666666666</v>
      </c>
      <c r="BE34" s="7">
        <f>Weather!J34</f>
        <v>73.237499999999983</v>
      </c>
      <c r="BF34" s="7">
        <f>Weather!K34</f>
        <v>16.833333333333329</v>
      </c>
      <c r="BG34" s="7">
        <f>Weather!L34</f>
        <v>112.67916666666666</v>
      </c>
      <c r="BH34" s="7">
        <f>Weather!M34</f>
        <v>5.466666666666665</v>
      </c>
      <c r="BI34" s="7">
        <f>Weather!N34</f>
        <v>161.3125</v>
      </c>
      <c r="BJ34" s="7">
        <f>Weather!O34</f>
        <v>1.3833333333333311</v>
      </c>
      <c r="BK34" s="7">
        <f>Weather!P34</f>
        <v>217.22916666666663</v>
      </c>
      <c r="BL34" s="7">
        <f>Weather!Q34</f>
        <v>0</v>
      </c>
      <c r="BM34" s="7">
        <f>Weather!R34</f>
        <v>275.8458333333333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0</v>
      </c>
      <c r="BY34" s="1">
        <v>0</v>
      </c>
      <c r="BZ34" s="1">
        <v>0</v>
      </c>
      <c r="CA34" s="1">
        <v>1</v>
      </c>
      <c r="CB34" s="1">
        <v>1</v>
      </c>
      <c r="CC34" s="1">
        <f t="shared" si="9"/>
        <v>33</v>
      </c>
      <c r="CD34" s="1">
        <v>30</v>
      </c>
      <c r="CE34" s="1">
        <v>20</v>
      </c>
      <c r="CF34" s="1">
        <v>0</v>
      </c>
      <c r="CG34" s="1">
        <v>0</v>
      </c>
      <c r="CH34" s="1">
        <v>0</v>
      </c>
      <c r="CI34" s="1">
        <v>0</v>
      </c>
      <c r="CJ34" s="1">
        <f t="shared" si="12"/>
        <v>0</v>
      </c>
      <c r="CK34" s="1">
        <f t="shared" si="12"/>
        <v>0</v>
      </c>
      <c r="CL34" s="1">
        <f t="shared" si="12"/>
        <v>0</v>
      </c>
      <c r="CM34" s="1">
        <f t="shared" si="12"/>
        <v>0</v>
      </c>
      <c r="CN34" s="1">
        <f t="shared" si="12"/>
        <v>0</v>
      </c>
      <c r="CO34" s="1">
        <f t="shared" si="14"/>
        <v>0</v>
      </c>
      <c r="CP34" s="1">
        <f t="shared" si="14"/>
        <v>0</v>
      </c>
      <c r="CQ34" s="1">
        <f t="shared" si="14"/>
        <v>0</v>
      </c>
      <c r="CR34" s="1">
        <f t="shared" si="14"/>
        <v>0</v>
      </c>
      <c r="CS34" s="1">
        <f t="shared" si="14"/>
        <v>0</v>
      </c>
      <c r="CT34" s="1">
        <f t="shared" si="14"/>
        <v>0</v>
      </c>
      <c r="CU34" s="1">
        <f t="shared" si="14"/>
        <v>0</v>
      </c>
      <c r="CV34" s="1">
        <f t="shared" si="14"/>
        <v>0</v>
      </c>
      <c r="CW34" s="1">
        <f t="shared" si="14"/>
        <v>0</v>
      </c>
      <c r="CX34" s="1">
        <f t="shared" si="13"/>
        <v>0</v>
      </c>
      <c r="CY34" s="1">
        <f t="shared" si="13"/>
        <v>0</v>
      </c>
      <c r="CZ34" s="1">
        <f t="shared" si="13"/>
        <v>0</v>
      </c>
      <c r="DA34" s="1">
        <f t="shared" si="13"/>
        <v>0</v>
      </c>
      <c r="DB34" s="1">
        <f t="shared" si="13"/>
        <v>0</v>
      </c>
      <c r="DC34" s="1">
        <f t="shared" si="15"/>
        <v>0</v>
      </c>
      <c r="DD34" s="1">
        <f t="shared" si="15"/>
        <v>0</v>
      </c>
      <c r="DE34" s="1">
        <f t="shared" si="15"/>
        <v>0</v>
      </c>
      <c r="DF34" s="1">
        <f t="shared" si="15"/>
        <v>0</v>
      </c>
      <c r="DG34" s="1">
        <f t="shared" si="15"/>
        <v>0</v>
      </c>
      <c r="DH34" s="1">
        <f t="shared" si="15"/>
        <v>0</v>
      </c>
      <c r="DI34" s="1">
        <f t="shared" si="15"/>
        <v>0</v>
      </c>
      <c r="DJ34" s="1">
        <f t="shared" si="15"/>
        <v>0</v>
      </c>
      <c r="DK34" s="1">
        <f t="shared" si="15"/>
        <v>0</v>
      </c>
      <c r="DL34" s="24">
        <v>615502.59000000008</v>
      </c>
      <c r="DM34" s="25">
        <v>1275.9000000000001</v>
      </c>
      <c r="DN34" s="24"/>
      <c r="DO34" s="25"/>
      <c r="DP34" s="25"/>
      <c r="DQ34" s="25"/>
      <c r="DR34" s="25"/>
      <c r="DS34" s="25"/>
      <c r="DT34" s="25"/>
      <c r="DU34" s="25"/>
      <c r="DV34" s="25"/>
    </row>
    <row r="35" spans="1:126" x14ac:dyDescent="0.25">
      <c r="A35" s="252">
        <v>43009</v>
      </c>
      <c r="B35" s="253">
        <f t="shared" si="0"/>
        <v>2017</v>
      </c>
      <c r="C35" s="253">
        <f t="shared" si="1"/>
        <v>10</v>
      </c>
      <c r="D35" s="254">
        <v>34770016.022979379</v>
      </c>
      <c r="E35" s="254">
        <f>IFERROR(VLOOKUP($B35-1,CDM!$L$7:$T$18,2,FALSE)/12,0)+IFERROR(VLOOKUP($B35,CDM!$L$36:$T$46,2,FALSE)/24,0)+IFERROR(VLOOKUP($B35,CDM!$L$36:$T$46,2,FALSE)/2*$C35/78,0)</f>
        <v>2061912.2564102565</v>
      </c>
      <c r="F35" s="254">
        <f t="shared" si="2"/>
        <v>36831928.279389635</v>
      </c>
      <c r="G35" s="255">
        <v>52890</v>
      </c>
      <c r="H35" s="254">
        <v>9638574.7074085847</v>
      </c>
      <c r="I35" s="254">
        <f>IFERROR(VLOOKUP($B35-1,CDM!$L$7:$T$18,3,FALSE)/12,0)+IFERROR(VLOOKUP($B35,CDM!$L$36:$T$46,3,FALSE)/24,0)+IFERROR(VLOOKUP($B35,CDM!$L$36:$T$46,3,FALSE)/2*$C35/78,0)</f>
        <v>448069.30753456225</v>
      </c>
      <c r="J35" s="254">
        <f t="shared" si="6"/>
        <v>10086644.014943147</v>
      </c>
      <c r="K35" s="256">
        <v>4175</v>
      </c>
      <c r="L35" s="4">
        <v>28083813.404428642</v>
      </c>
      <c r="M35" s="257">
        <f>IFERROR(VLOOKUP($B35-1,CDM!$L$7:$T$18,4,FALSE)/12,0)+IFERROR(VLOOKUP($B35,CDM!$L$36:$T$46,4,FALSE)/24,0)+IFERROR(VLOOKUP($B35,CDM!$L$36:$T$46,4,FALSE)/2*$C35/78,0)</f>
        <v>459313.33116887778</v>
      </c>
      <c r="N35" s="254">
        <f t="shared" si="3"/>
        <v>28543126.735597521</v>
      </c>
      <c r="O35" s="4">
        <v>71556</v>
      </c>
      <c r="P35" s="256">
        <v>523</v>
      </c>
      <c r="Q35" s="256">
        <v>6338896.1115740407</v>
      </c>
      <c r="R35" s="256">
        <f>IFERROR(VLOOKUP($B35-1,CDM!$L$7:$T$18,5,FALSE)/12,0)+IFERROR(VLOOKUP($B35,CDM!$L$36:$T$46,5,FALSE)/24,0)+IFERROR(VLOOKUP($B35,CDM!$L$36:$T$46,5,FALSE)/2*$C35/78,0)</f>
        <v>862344.91318292951</v>
      </c>
      <c r="S35" s="256">
        <f t="shared" si="7"/>
        <v>7201241.0247569699</v>
      </c>
      <c r="T35" s="256">
        <v>16611</v>
      </c>
      <c r="U35" s="256">
        <v>12</v>
      </c>
      <c r="V35" s="256">
        <v>3363510.2194956485</v>
      </c>
      <c r="W35" s="256">
        <f>IFERROR(VLOOKUP($B35-1,CDM!$L$7:$T$18,6,FALSE)/12,0)+IFERROR(VLOOKUP($B35,CDM!$L$36:$T$46,6,FALSE)/24,0)+IFERROR(VLOOKUP($B35,CDM!$L$36:$T$46,6,FALSE)/2*$C35/78,0)</f>
        <v>14748.850240384614</v>
      </c>
      <c r="X35" s="256">
        <f t="shared" si="8"/>
        <v>3378259.0697360332</v>
      </c>
      <c r="Y35" s="256">
        <v>7974.7000000000007</v>
      </c>
      <c r="Z35" s="256">
        <v>1</v>
      </c>
      <c r="AA35" s="4">
        <v>232433.25370189612</v>
      </c>
      <c r="AB35" s="4">
        <v>992.65</v>
      </c>
      <c r="AC35" s="256">
        <v>13566</v>
      </c>
      <c r="AD35" s="256">
        <v>2155.2736982643523</v>
      </c>
      <c r="AE35" s="256">
        <v>0</v>
      </c>
      <c r="AF35" s="256">
        <v>23</v>
      </c>
      <c r="AG35" s="4">
        <v>209644</v>
      </c>
      <c r="AH35" s="4">
        <v>247</v>
      </c>
      <c r="AI35" s="28">
        <f>Economic!H37</f>
        <v>764464.8</v>
      </c>
      <c r="AJ35" s="28">
        <f>Economic!I37</f>
        <v>590729.4</v>
      </c>
      <c r="AK35" s="28">
        <f>Economic!J37</f>
        <v>53985.7</v>
      </c>
      <c r="AL35" s="28">
        <f>Economic!K37</f>
        <v>771453</v>
      </c>
      <c r="AM35" s="28">
        <f>Economic!L37</f>
        <v>596813</v>
      </c>
      <c r="AN35" s="28">
        <f>Economic!M37</f>
        <v>31522</v>
      </c>
      <c r="AO35" s="28">
        <f>Economic!D37</f>
        <v>7161</v>
      </c>
      <c r="AP35" s="28">
        <f>Economic!E37</f>
        <v>7185.2</v>
      </c>
      <c r="AQ35" s="28">
        <f>Economic!F37</f>
        <v>209.9</v>
      </c>
      <c r="AR35" s="28">
        <f>Economic!G37</f>
        <v>208.8</v>
      </c>
      <c r="AS35" s="28">
        <f>Economic!N37</f>
        <v>197.10000000000036</v>
      </c>
      <c r="AT35" s="28">
        <f>Economic!O37</f>
        <v>194.69999999999982</v>
      </c>
      <c r="AU35" s="28">
        <f>Economic!P37</f>
        <v>-4.4000000000000057</v>
      </c>
      <c r="AV35" s="28">
        <f>Economic!Q37</f>
        <v>-4.6999999999999886</v>
      </c>
      <c r="AW35" s="28">
        <f>Economic!R37</f>
        <v>20488.600000000093</v>
      </c>
      <c r="AX35" s="28">
        <f>Economic!S37</f>
        <v>6393</v>
      </c>
      <c r="AY35" s="7">
        <f>Weather!D35</f>
        <v>12.306989247311826</v>
      </c>
      <c r="AZ35" s="7">
        <f>Weather!E35</f>
        <v>238.48333333333335</v>
      </c>
      <c r="BA35" s="7">
        <f>Weather!F35</f>
        <v>0</v>
      </c>
      <c r="BB35" s="7">
        <f>Weather!G35</f>
        <v>179.70833333333334</v>
      </c>
      <c r="BC35" s="7">
        <f>Weather!H35</f>
        <v>3.2250000000000014</v>
      </c>
      <c r="BD35" s="7">
        <f>Weather!I35</f>
        <v>124.7625</v>
      </c>
      <c r="BE35" s="7">
        <f>Weather!J35</f>
        <v>10.279166666666672</v>
      </c>
      <c r="BF35" s="7">
        <f>Weather!K35</f>
        <v>82.137500000000017</v>
      </c>
      <c r="BG35" s="7">
        <f>Weather!L35</f>
        <v>29.654166666666669</v>
      </c>
      <c r="BH35" s="7">
        <f>Weather!M35</f>
        <v>49.88333333333334</v>
      </c>
      <c r="BI35" s="7">
        <f>Weather!N35</f>
        <v>59.400000000000006</v>
      </c>
      <c r="BJ35" s="7">
        <f>Weather!O35</f>
        <v>26.758333333333336</v>
      </c>
      <c r="BK35" s="7">
        <f>Weather!P35</f>
        <v>98.274999999999977</v>
      </c>
      <c r="BL35" s="7">
        <f>Weather!Q35</f>
        <v>11.620833333333334</v>
      </c>
      <c r="BM35" s="7">
        <f>Weather!R35</f>
        <v>145.13749999999999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1</v>
      </c>
      <c r="CB35" s="1">
        <v>1</v>
      </c>
      <c r="CC35" s="1">
        <f t="shared" si="9"/>
        <v>34</v>
      </c>
      <c r="CD35" s="1">
        <v>31</v>
      </c>
      <c r="CE35" s="1">
        <v>21</v>
      </c>
      <c r="CF35" s="1">
        <v>0</v>
      </c>
      <c r="CG35" s="1">
        <v>0</v>
      </c>
      <c r="CH35" s="1">
        <v>0</v>
      </c>
      <c r="CI35" s="1">
        <v>0</v>
      </c>
      <c r="CJ35" s="1">
        <f t="shared" si="12"/>
        <v>0</v>
      </c>
      <c r="CK35" s="1">
        <f t="shared" si="12"/>
        <v>0</v>
      </c>
      <c r="CL35" s="1">
        <f t="shared" si="12"/>
        <v>0</v>
      </c>
      <c r="CM35" s="1">
        <f t="shared" si="12"/>
        <v>0</v>
      </c>
      <c r="CN35" s="1">
        <f t="shared" si="12"/>
        <v>0</v>
      </c>
      <c r="CO35" s="1">
        <f t="shared" si="14"/>
        <v>0</v>
      </c>
      <c r="CP35" s="1">
        <f t="shared" si="14"/>
        <v>0</v>
      </c>
      <c r="CQ35" s="1">
        <f t="shared" si="14"/>
        <v>0</v>
      </c>
      <c r="CR35" s="1">
        <f t="shared" si="14"/>
        <v>0</v>
      </c>
      <c r="CS35" s="1">
        <f t="shared" si="14"/>
        <v>0</v>
      </c>
      <c r="CT35" s="1">
        <f t="shared" si="14"/>
        <v>0</v>
      </c>
      <c r="CU35" s="1">
        <f t="shared" si="14"/>
        <v>0</v>
      </c>
      <c r="CV35" s="1">
        <f t="shared" si="14"/>
        <v>0</v>
      </c>
      <c r="CW35" s="1">
        <f t="shared" si="14"/>
        <v>0</v>
      </c>
      <c r="CX35" s="1">
        <f t="shared" si="13"/>
        <v>0</v>
      </c>
      <c r="CY35" s="1">
        <f t="shared" si="13"/>
        <v>0</v>
      </c>
      <c r="CZ35" s="1">
        <f t="shared" si="13"/>
        <v>0</v>
      </c>
      <c r="DA35" s="1">
        <f t="shared" si="13"/>
        <v>0</v>
      </c>
      <c r="DB35" s="1">
        <f t="shared" si="13"/>
        <v>0</v>
      </c>
      <c r="DC35" s="1">
        <f t="shared" si="15"/>
        <v>0</v>
      </c>
      <c r="DD35" s="1">
        <f t="shared" si="15"/>
        <v>0</v>
      </c>
      <c r="DE35" s="1">
        <f t="shared" si="15"/>
        <v>0</v>
      </c>
      <c r="DF35" s="1">
        <f t="shared" si="15"/>
        <v>0</v>
      </c>
      <c r="DG35" s="1">
        <f t="shared" si="15"/>
        <v>0</v>
      </c>
      <c r="DH35" s="1">
        <f t="shared" si="15"/>
        <v>0</v>
      </c>
      <c r="DI35" s="1">
        <f t="shared" si="15"/>
        <v>0</v>
      </c>
      <c r="DJ35" s="1">
        <f t="shared" si="15"/>
        <v>0</v>
      </c>
      <c r="DK35" s="1">
        <f t="shared" si="15"/>
        <v>0</v>
      </c>
      <c r="DL35" s="24">
        <v>603010.5</v>
      </c>
      <c r="DM35" s="25">
        <v>1058.9099999999999</v>
      </c>
      <c r="DN35" s="24"/>
      <c r="DO35" s="25"/>
      <c r="DP35" s="25"/>
      <c r="DQ35" s="25"/>
      <c r="DR35" s="25"/>
      <c r="DS35" s="25"/>
      <c r="DT35" s="25"/>
      <c r="DU35" s="25"/>
      <c r="DV35" s="25"/>
    </row>
    <row r="36" spans="1:126" x14ac:dyDescent="0.25">
      <c r="A36" s="252">
        <v>43040</v>
      </c>
      <c r="B36" s="253">
        <f t="shared" si="0"/>
        <v>2017</v>
      </c>
      <c r="C36" s="253">
        <f t="shared" si="1"/>
        <v>11</v>
      </c>
      <c r="D36" s="254">
        <v>37031594.965397902</v>
      </c>
      <c r="E36" s="254">
        <f>IFERROR(VLOOKUP($B36-1,CDM!$L$7:$T$18,2,FALSE)/12,0)+IFERROR(VLOOKUP($B36,CDM!$L$36:$T$46,2,FALSE)/24,0)+IFERROR(VLOOKUP($B36,CDM!$L$36:$T$46,2,FALSE)/2*$C36/78,0)</f>
        <v>2145818.532051282</v>
      </c>
      <c r="F36" s="254">
        <f t="shared" si="2"/>
        <v>39177413.497449182</v>
      </c>
      <c r="G36" s="255">
        <v>53045</v>
      </c>
      <c r="H36" s="254">
        <v>10639089.875551227</v>
      </c>
      <c r="I36" s="254">
        <f>IFERROR(VLOOKUP($B36-1,CDM!$L$7:$T$18,3,FALSE)/12,0)+IFERROR(VLOOKUP($B36,CDM!$L$36:$T$46,3,FALSE)/24,0)+IFERROR(VLOOKUP($B36,CDM!$L$36:$T$46,3,FALSE)/2*$C36/78,0)</f>
        <v>463900.42129928316</v>
      </c>
      <c r="J36" s="254">
        <f t="shared" si="6"/>
        <v>11102990.29685051</v>
      </c>
      <c r="K36" s="256">
        <v>4189</v>
      </c>
      <c r="L36" s="4">
        <v>28482842.750196904</v>
      </c>
      <c r="M36" s="257">
        <f>IFERROR(VLOOKUP($B36-1,CDM!$L$7:$T$18,4,FALSE)/12,0)+IFERROR(VLOOKUP($B36,CDM!$L$36:$T$46,4,FALSE)/24,0)+IFERROR(VLOOKUP($B36,CDM!$L$36:$T$46,4,FALSE)/2*$C36/78,0)</f>
        <v>475802.1172498198</v>
      </c>
      <c r="N36" s="254">
        <f t="shared" si="3"/>
        <v>28958644.867446724</v>
      </c>
      <c r="O36" s="4">
        <v>67935</v>
      </c>
      <c r="P36" s="256">
        <v>524</v>
      </c>
      <c r="Q36" s="256">
        <v>6408371.9903740743</v>
      </c>
      <c r="R36" s="256">
        <f>IFERROR(VLOOKUP($B36-1,CDM!$L$7:$T$18,5,FALSE)/12,0)+IFERROR(VLOOKUP($B36,CDM!$L$36:$T$46,5,FALSE)/24,0)+IFERROR(VLOOKUP($B36,CDM!$L$36:$T$46,5,FALSE)/2*$C36/78,0)</f>
        <v>864314.65032027871</v>
      </c>
      <c r="S36" s="256">
        <f t="shared" si="7"/>
        <v>7272686.6406943528</v>
      </c>
      <c r="T36" s="256">
        <v>14238</v>
      </c>
      <c r="U36" s="256">
        <v>11</v>
      </c>
      <c r="V36" s="256">
        <v>2918187.1957343561</v>
      </c>
      <c r="W36" s="256">
        <f>IFERROR(VLOOKUP($B36-1,CDM!$L$7:$T$18,6,FALSE)/12,0)+IFERROR(VLOOKUP($B36,CDM!$L$36:$T$46,6,FALSE)/24,0)+IFERROR(VLOOKUP($B36,CDM!$L$36:$T$46,6,FALSE)/2*$C36/78,0)</f>
        <v>15642.719951923074</v>
      </c>
      <c r="X36" s="256">
        <f t="shared" si="8"/>
        <v>2933829.9156862791</v>
      </c>
      <c r="Y36" s="256">
        <v>6691</v>
      </c>
      <c r="Z36" s="256">
        <v>1</v>
      </c>
      <c r="AA36" s="4">
        <v>472604.26797127485</v>
      </c>
      <c r="AB36" s="4">
        <v>992</v>
      </c>
      <c r="AC36" s="256">
        <v>13605</v>
      </c>
      <c r="AD36" s="256">
        <v>2134.3887087545299</v>
      </c>
      <c r="AE36" s="256">
        <v>0</v>
      </c>
      <c r="AF36" s="256">
        <v>23</v>
      </c>
      <c r="AG36" s="4">
        <v>209644</v>
      </c>
      <c r="AH36" s="4">
        <v>247</v>
      </c>
      <c r="AI36" s="28">
        <f>Economic!H38</f>
        <v>764464.8</v>
      </c>
      <c r="AJ36" s="28">
        <f>Economic!I38</f>
        <v>590729.4</v>
      </c>
      <c r="AK36" s="28">
        <f>Economic!J38</f>
        <v>53985.7</v>
      </c>
      <c r="AL36" s="28">
        <f>Economic!K38</f>
        <v>771453</v>
      </c>
      <c r="AM36" s="28">
        <f>Economic!L38</f>
        <v>596813</v>
      </c>
      <c r="AN36" s="28">
        <f>Economic!M38</f>
        <v>31522</v>
      </c>
      <c r="AO36" s="28">
        <f>Economic!D38</f>
        <v>7184.7</v>
      </c>
      <c r="AP36" s="28">
        <f>Economic!E38</f>
        <v>7186</v>
      </c>
      <c r="AQ36" s="28">
        <f>Economic!F38</f>
        <v>209</v>
      </c>
      <c r="AR36" s="28">
        <f>Economic!G38</f>
        <v>207.6</v>
      </c>
      <c r="AS36" s="28">
        <f>Economic!N38</f>
        <v>206.89999999999964</v>
      </c>
      <c r="AT36" s="28">
        <f>Economic!O38</f>
        <v>202.60000000000036</v>
      </c>
      <c r="AU36" s="28">
        <f>Economic!P38</f>
        <v>-6.0999999999999943</v>
      </c>
      <c r="AV36" s="28">
        <f>Economic!Q38</f>
        <v>-6.5</v>
      </c>
      <c r="AW36" s="28">
        <f>Economic!R38</f>
        <v>20488.600000000093</v>
      </c>
      <c r="AX36" s="28">
        <f>Economic!S38</f>
        <v>6393</v>
      </c>
      <c r="AY36" s="7">
        <f>Weather!D36</f>
        <v>3.2462752525252521</v>
      </c>
      <c r="AZ36" s="7">
        <f>Weather!E36</f>
        <v>502.61174242424244</v>
      </c>
      <c r="BA36" s="7">
        <f>Weather!F36</f>
        <v>0</v>
      </c>
      <c r="BB36" s="7">
        <f>Weather!G36</f>
        <v>442.61174242424244</v>
      </c>
      <c r="BC36" s="7">
        <f>Weather!H36</f>
        <v>0</v>
      </c>
      <c r="BD36" s="7">
        <f>Weather!I36</f>
        <v>382.61174242424244</v>
      </c>
      <c r="BE36" s="7">
        <f>Weather!J36</f>
        <v>0</v>
      </c>
      <c r="BF36" s="7">
        <f>Weather!K36</f>
        <v>322.61174242424249</v>
      </c>
      <c r="BG36" s="7">
        <f>Weather!L36</f>
        <v>0</v>
      </c>
      <c r="BH36" s="7">
        <f>Weather!M36</f>
        <v>262.61174242424244</v>
      </c>
      <c r="BI36" s="7">
        <f>Weather!N36</f>
        <v>0</v>
      </c>
      <c r="BJ36" s="7">
        <f>Weather!O36</f>
        <v>203.9075757575757</v>
      </c>
      <c r="BK36" s="7">
        <f>Weather!P36</f>
        <v>1.2958333333333325</v>
      </c>
      <c r="BL36" s="7">
        <f>Weather!Q36</f>
        <v>148.02424242424243</v>
      </c>
      <c r="BM36" s="7">
        <f>Weather!R36</f>
        <v>5.4124999999999979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</v>
      </c>
      <c r="BY36" s="1">
        <v>0</v>
      </c>
      <c r="BZ36" s="1">
        <v>0</v>
      </c>
      <c r="CA36" s="1">
        <v>1</v>
      </c>
      <c r="CB36" s="1">
        <v>1</v>
      </c>
      <c r="CC36" s="1">
        <f t="shared" si="9"/>
        <v>35</v>
      </c>
      <c r="CD36" s="1">
        <v>30</v>
      </c>
      <c r="CE36" s="1">
        <v>22</v>
      </c>
      <c r="CF36" s="1">
        <v>0</v>
      </c>
      <c r="CG36" s="1">
        <v>0</v>
      </c>
      <c r="CH36" s="1">
        <v>0</v>
      </c>
      <c r="CI36" s="1">
        <v>0</v>
      </c>
      <c r="CJ36" s="1">
        <f t="shared" si="12"/>
        <v>0</v>
      </c>
      <c r="CK36" s="1">
        <f t="shared" si="12"/>
        <v>0</v>
      </c>
      <c r="CL36" s="1">
        <f t="shared" si="12"/>
        <v>0</v>
      </c>
      <c r="CM36" s="1">
        <f t="shared" si="12"/>
        <v>0</v>
      </c>
      <c r="CN36" s="1">
        <f t="shared" si="12"/>
        <v>0</v>
      </c>
      <c r="CO36" s="1">
        <f t="shared" si="14"/>
        <v>0</v>
      </c>
      <c r="CP36" s="1">
        <f t="shared" si="14"/>
        <v>0</v>
      </c>
      <c r="CQ36" s="1">
        <f t="shared" si="14"/>
        <v>0</v>
      </c>
      <c r="CR36" s="1">
        <f t="shared" si="14"/>
        <v>0</v>
      </c>
      <c r="CS36" s="1">
        <f t="shared" si="14"/>
        <v>0</v>
      </c>
      <c r="CT36" s="1">
        <f t="shared" si="14"/>
        <v>0</v>
      </c>
      <c r="CU36" s="1">
        <f t="shared" si="14"/>
        <v>0</v>
      </c>
      <c r="CV36" s="1">
        <f t="shared" si="14"/>
        <v>0</v>
      </c>
      <c r="CW36" s="1">
        <f t="shared" si="14"/>
        <v>0</v>
      </c>
      <c r="CX36" s="1">
        <f t="shared" si="13"/>
        <v>0</v>
      </c>
      <c r="CY36" s="1">
        <f t="shared" si="13"/>
        <v>0</v>
      </c>
      <c r="CZ36" s="1">
        <f t="shared" si="13"/>
        <v>0</v>
      </c>
      <c r="DA36" s="1">
        <f t="shared" si="13"/>
        <v>0</v>
      </c>
      <c r="DB36" s="1">
        <f t="shared" si="13"/>
        <v>0</v>
      </c>
      <c r="DC36" s="1">
        <f t="shared" si="15"/>
        <v>0</v>
      </c>
      <c r="DD36" s="1">
        <f t="shared" si="15"/>
        <v>0</v>
      </c>
      <c r="DE36" s="1">
        <f t="shared" si="15"/>
        <v>0</v>
      </c>
      <c r="DF36" s="1">
        <f t="shared" si="15"/>
        <v>0</v>
      </c>
      <c r="DG36" s="1">
        <f t="shared" si="15"/>
        <v>0</v>
      </c>
      <c r="DH36" s="1">
        <f t="shared" si="15"/>
        <v>0</v>
      </c>
      <c r="DI36" s="1">
        <f t="shared" si="15"/>
        <v>0</v>
      </c>
      <c r="DJ36" s="1">
        <f t="shared" si="15"/>
        <v>0</v>
      </c>
      <c r="DK36" s="1">
        <f t="shared" si="15"/>
        <v>0</v>
      </c>
      <c r="DL36" s="24">
        <v>544129.66999999993</v>
      </c>
      <c r="DM36" s="25">
        <v>954.54</v>
      </c>
      <c r="DN36" s="24"/>
      <c r="DO36" s="25"/>
      <c r="DP36" s="25"/>
      <c r="DQ36" s="25"/>
      <c r="DR36" s="25"/>
      <c r="DS36" s="25"/>
      <c r="DT36" s="25"/>
      <c r="DU36" s="25"/>
      <c r="DV36" s="25"/>
    </row>
    <row r="37" spans="1:126" x14ac:dyDescent="0.25">
      <c r="A37" s="252">
        <v>43070</v>
      </c>
      <c r="B37" s="253">
        <f t="shared" si="0"/>
        <v>2017</v>
      </c>
      <c r="C37" s="253">
        <f t="shared" si="1"/>
        <v>12</v>
      </c>
      <c r="D37" s="254">
        <v>43513372.098919183</v>
      </c>
      <c r="E37" s="254">
        <f>IFERROR(VLOOKUP($B37-1,CDM!$L$7:$T$18,2,FALSE)/12,0)+IFERROR(VLOOKUP($B37,CDM!$L$36:$T$46,2,FALSE)/24,0)+IFERROR(VLOOKUP($B37,CDM!$L$36:$T$46,2,FALSE)/2*$C37/78,0)</f>
        <v>2229724.807692308</v>
      </c>
      <c r="F37" s="254">
        <f t="shared" si="2"/>
        <v>45743096.906611487</v>
      </c>
      <c r="G37" s="255">
        <v>52993</v>
      </c>
      <c r="H37" s="254">
        <v>12258286.975480078</v>
      </c>
      <c r="I37" s="254">
        <f>IFERROR(VLOOKUP($B37-1,CDM!$L$7:$T$18,3,FALSE)/12,0)+IFERROR(VLOOKUP($B37,CDM!$L$36:$T$46,3,FALSE)/24,0)+IFERROR(VLOOKUP($B37,CDM!$L$36:$T$46,3,FALSE)/2*$C37/78,0)</f>
        <v>479731.53506400413</v>
      </c>
      <c r="J37" s="254">
        <f t="shared" si="6"/>
        <v>12738018.510544082</v>
      </c>
      <c r="K37" s="256">
        <v>4186</v>
      </c>
      <c r="L37" s="256">
        <v>32111403.075963803</v>
      </c>
      <c r="M37" s="257">
        <f>IFERROR(VLOOKUP($B37-1,CDM!$L$7:$T$18,4,FALSE)/12,0)+IFERROR(VLOOKUP($B37,CDM!$L$36:$T$46,4,FALSE)/24,0)+IFERROR(VLOOKUP($B37,CDM!$L$36:$T$46,4,FALSE)/2*$C37/78,0)</f>
        <v>492290.90333076194</v>
      </c>
      <c r="N37" s="254">
        <f t="shared" si="3"/>
        <v>32603693.979294565</v>
      </c>
      <c r="O37" s="256">
        <v>49950.649965205288</v>
      </c>
      <c r="P37" s="256">
        <v>524</v>
      </c>
      <c r="Q37" s="256">
        <v>6034717.9005977446</v>
      </c>
      <c r="R37" s="256">
        <f>IFERROR(VLOOKUP($B37-1,CDM!$L$7:$T$18,5,FALSE)/12,0)+IFERROR(VLOOKUP($B37,CDM!$L$36:$T$46,5,FALSE)/24,0)+IFERROR(VLOOKUP($B37,CDM!$L$36:$T$46,5,FALSE)/2*$C37/78,0)</f>
        <v>866284.38745762804</v>
      </c>
      <c r="S37" s="256">
        <f t="shared" si="7"/>
        <v>6901002.2880553724</v>
      </c>
      <c r="T37" s="256">
        <v>13840</v>
      </c>
      <c r="U37" s="256">
        <v>11</v>
      </c>
      <c r="V37" s="256">
        <v>3038979.2685842598</v>
      </c>
      <c r="W37" s="256">
        <f>IFERROR(VLOOKUP($B37-1,CDM!$L$7:$T$18,6,FALSE)/12,0)+IFERROR(VLOOKUP($B37,CDM!$L$36:$T$46,6,FALSE)/24,0)+IFERROR(VLOOKUP($B37,CDM!$L$36:$T$46,6,FALSE)/2*$C37/78,0)</f>
        <v>16536.589663461538</v>
      </c>
      <c r="X37" s="256">
        <f t="shared" si="8"/>
        <v>3055515.8582477211</v>
      </c>
      <c r="Y37" s="256">
        <v>6182.923849603063</v>
      </c>
      <c r="Z37" s="256">
        <v>1</v>
      </c>
      <c r="AA37" s="4">
        <v>512517.33142262639</v>
      </c>
      <c r="AB37" s="4">
        <v>992</v>
      </c>
      <c r="AC37" s="256">
        <v>13605</v>
      </c>
      <c r="AD37" s="256">
        <v>2155.2736982643523</v>
      </c>
      <c r="AE37" s="256">
        <v>85</v>
      </c>
      <c r="AF37" s="256">
        <v>23</v>
      </c>
      <c r="AG37" s="4">
        <v>209773</v>
      </c>
      <c r="AH37" s="4">
        <v>247</v>
      </c>
      <c r="AI37" s="28">
        <f>Economic!H39</f>
        <v>764464.8</v>
      </c>
      <c r="AJ37" s="28">
        <f>Economic!I39</f>
        <v>590729.4</v>
      </c>
      <c r="AK37" s="28">
        <f>Economic!J39</f>
        <v>53985.7</v>
      </c>
      <c r="AL37" s="28">
        <f>Economic!K39</f>
        <v>771453</v>
      </c>
      <c r="AM37" s="28">
        <f>Economic!L39</f>
        <v>596813</v>
      </c>
      <c r="AN37" s="28">
        <f>Economic!M39</f>
        <v>31522</v>
      </c>
      <c r="AO37" s="28">
        <f>Economic!D39</f>
        <v>7199.5</v>
      </c>
      <c r="AP37" s="28">
        <f>Economic!E39</f>
        <v>7206.8</v>
      </c>
      <c r="AQ37" s="28">
        <f>Economic!F39</f>
        <v>208</v>
      </c>
      <c r="AR37" s="28">
        <f>Economic!G39</f>
        <v>207.1</v>
      </c>
      <c r="AS37" s="28">
        <f>Economic!N39</f>
        <v>207.10000000000036</v>
      </c>
      <c r="AT37" s="28">
        <f>Economic!O39</f>
        <v>206.90000000000055</v>
      </c>
      <c r="AU37" s="28">
        <f>Economic!P39</f>
        <v>-7.6999999999999886</v>
      </c>
      <c r="AV37" s="28">
        <f>Economic!Q39</f>
        <v>-8.3000000000000114</v>
      </c>
      <c r="AW37" s="28">
        <f>Economic!R39</f>
        <v>20488.600000000093</v>
      </c>
      <c r="AX37" s="28">
        <f>Economic!S39</f>
        <v>6393</v>
      </c>
      <c r="AY37" s="7">
        <f>Weather!D37</f>
        <v>-5.7520161290322589</v>
      </c>
      <c r="AZ37" s="7">
        <f>Weather!E37</f>
        <v>798.31250000000011</v>
      </c>
      <c r="BA37" s="7">
        <f>Weather!F37</f>
        <v>0</v>
      </c>
      <c r="BB37" s="7">
        <f>Weather!G37</f>
        <v>736.31250000000011</v>
      </c>
      <c r="BC37" s="7">
        <f>Weather!H37</f>
        <v>0</v>
      </c>
      <c r="BD37" s="7">
        <f>Weather!I37</f>
        <v>674.31250000000011</v>
      </c>
      <c r="BE37" s="7">
        <f>Weather!J37</f>
        <v>0</v>
      </c>
      <c r="BF37" s="7">
        <f>Weather!K37</f>
        <v>612.31250000000011</v>
      </c>
      <c r="BG37" s="7">
        <f>Weather!L37</f>
        <v>0</v>
      </c>
      <c r="BH37" s="7">
        <f>Weather!M37</f>
        <v>550.3125</v>
      </c>
      <c r="BI37" s="7">
        <f>Weather!N37</f>
        <v>0</v>
      </c>
      <c r="BJ37" s="7">
        <f>Weather!O37</f>
        <v>488.31250000000011</v>
      </c>
      <c r="BK37" s="7">
        <f>Weather!P37</f>
        <v>0</v>
      </c>
      <c r="BL37" s="7">
        <f>Weather!Q37</f>
        <v>426.3125</v>
      </c>
      <c r="BM37" s="7">
        <f>Weather!R37</f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1</v>
      </c>
      <c r="BZ37" s="1">
        <v>0</v>
      </c>
      <c r="CA37" s="1">
        <v>0</v>
      </c>
      <c r="CB37" s="1">
        <v>0</v>
      </c>
      <c r="CC37" s="1">
        <f t="shared" si="9"/>
        <v>36</v>
      </c>
      <c r="CD37" s="1">
        <v>31</v>
      </c>
      <c r="CE37" s="1">
        <v>19</v>
      </c>
      <c r="CF37" s="1">
        <v>0</v>
      </c>
      <c r="CG37" s="1">
        <v>0</v>
      </c>
      <c r="CH37" s="1">
        <v>0</v>
      </c>
      <c r="CI37" s="1">
        <v>0</v>
      </c>
      <c r="CJ37" s="1">
        <f t="shared" si="12"/>
        <v>0</v>
      </c>
      <c r="CK37" s="1">
        <f t="shared" si="12"/>
        <v>0</v>
      </c>
      <c r="CL37" s="1">
        <f t="shared" si="12"/>
        <v>0</v>
      </c>
      <c r="CM37" s="1">
        <f t="shared" si="12"/>
        <v>0</v>
      </c>
      <c r="CN37" s="1">
        <f t="shared" si="12"/>
        <v>0</v>
      </c>
      <c r="CO37" s="1">
        <f t="shared" si="14"/>
        <v>0</v>
      </c>
      <c r="CP37" s="1">
        <f t="shared" si="14"/>
        <v>0</v>
      </c>
      <c r="CQ37" s="1">
        <f t="shared" si="14"/>
        <v>0</v>
      </c>
      <c r="CR37" s="1">
        <f t="shared" si="14"/>
        <v>0</v>
      </c>
      <c r="CS37" s="1">
        <f t="shared" si="14"/>
        <v>0</v>
      </c>
      <c r="CT37" s="1">
        <f t="shared" si="14"/>
        <v>0</v>
      </c>
      <c r="CU37" s="1">
        <f t="shared" si="14"/>
        <v>0</v>
      </c>
      <c r="CV37" s="1">
        <f t="shared" si="14"/>
        <v>0</v>
      </c>
      <c r="CW37" s="1">
        <f t="shared" si="14"/>
        <v>0</v>
      </c>
      <c r="CX37" s="1">
        <f t="shared" si="13"/>
        <v>0</v>
      </c>
      <c r="CY37" s="1">
        <f t="shared" si="13"/>
        <v>0</v>
      </c>
      <c r="CZ37" s="1">
        <f t="shared" si="13"/>
        <v>0</v>
      </c>
      <c r="DA37" s="1">
        <f t="shared" si="13"/>
        <v>0</v>
      </c>
      <c r="DB37" s="1">
        <f t="shared" si="13"/>
        <v>0</v>
      </c>
      <c r="DC37" s="1">
        <f t="shared" si="15"/>
        <v>0</v>
      </c>
      <c r="DD37" s="1">
        <f t="shared" si="15"/>
        <v>0</v>
      </c>
      <c r="DE37" s="1">
        <f t="shared" si="15"/>
        <v>0</v>
      </c>
      <c r="DF37" s="1">
        <f t="shared" si="15"/>
        <v>0</v>
      </c>
      <c r="DG37" s="1">
        <f t="shared" si="15"/>
        <v>0</v>
      </c>
      <c r="DH37" s="1">
        <f t="shared" si="15"/>
        <v>0</v>
      </c>
      <c r="DI37" s="1">
        <f t="shared" si="15"/>
        <v>0</v>
      </c>
      <c r="DJ37" s="1">
        <f t="shared" si="15"/>
        <v>0</v>
      </c>
      <c r="DK37" s="1">
        <f t="shared" si="15"/>
        <v>0</v>
      </c>
      <c r="DL37" s="24">
        <v>554401.41999999993</v>
      </c>
      <c r="DM37" s="25">
        <v>919.84</v>
      </c>
      <c r="DN37" s="24"/>
      <c r="DO37" s="25"/>
      <c r="DP37" s="25"/>
      <c r="DQ37" s="25"/>
      <c r="DR37" s="25"/>
      <c r="DS37" s="25"/>
      <c r="DT37" s="25"/>
      <c r="DU37" s="25"/>
      <c r="DV37" s="25"/>
    </row>
    <row r="38" spans="1:126" x14ac:dyDescent="0.25">
      <c r="A38" s="252">
        <v>43101</v>
      </c>
      <c r="B38" s="253">
        <f t="shared" si="0"/>
        <v>2018</v>
      </c>
      <c r="C38" s="253">
        <f t="shared" si="1"/>
        <v>1</v>
      </c>
      <c r="D38" s="254">
        <v>47104982.939729713</v>
      </c>
      <c r="E38" s="254">
        <f>IFERROR(VLOOKUP($B38-1,CDM!$L$7:$T$18,2,FALSE)/12,0)+IFERROR(VLOOKUP($B38,CDM!$L$36:$T$46,2,FALSE)/24,0)+IFERROR(VLOOKUP($B38,CDM!$L$36:$T$46,2,FALSE)/2*$C38/78,0)</f>
        <v>2077561.029937906</v>
      </c>
      <c r="F38" s="254">
        <f t="shared" si="2"/>
        <v>49182543.969667621</v>
      </c>
      <c r="G38" s="255">
        <v>53059</v>
      </c>
      <c r="H38" s="254">
        <v>13270090.801917937</v>
      </c>
      <c r="I38" s="254">
        <f>IFERROR(VLOOKUP($B38-1,CDM!$L$7:$T$18,3,FALSE)/12,0)+IFERROR(VLOOKUP($B38,CDM!$L$36:$T$46,3,FALSE)/24,0)+IFERROR(VLOOKUP($B38,CDM!$L$36:$T$46,3,FALSE)/2*$C38/78,0)</f>
        <v>473756.43431905116</v>
      </c>
      <c r="J38" s="254">
        <f t="shared" si="6"/>
        <v>13743847.236236988</v>
      </c>
      <c r="K38" s="256">
        <v>4200</v>
      </c>
      <c r="L38" s="256">
        <v>33355385.943731386</v>
      </c>
      <c r="M38" s="257">
        <f>IFERROR(VLOOKUP($B38-1,CDM!$L$7:$T$18,4,FALSE)/12,0)+IFERROR(VLOOKUP($B38,CDM!$L$36:$T$46,4,FALSE)/24,0)+IFERROR(VLOOKUP($B38,CDM!$L$36:$T$46,4,FALSE)/2*$C38/78,0)</f>
        <v>517317.14637805161</v>
      </c>
      <c r="N38" s="254">
        <f t="shared" si="3"/>
        <v>33872703.090109438</v>
      </c>
      <c r="O38" s="256">
        <v>53776.350034794712</v>
      </c>
      <c r="P38" s="256">
        <v>521</v>
      </c>
      <c r="Q38" s="256">
        <v>6268500.4501299141</v>
      </c>
      <c r="R38" s="256">
        <f>IFERROR(VLOOKUP($B38-1,CDM!$L$7:$T$18,5,FALSE)/12,0)+IFERROR(VLOOKUP($B38,CDM!$L$36:$T$46,5,FALSE)/24,0)+IFERROR(VLOOKUP($B38,CDM!$L$36:$T$46,5,FALSE)/2*$C38/78,0)</f>
        <v>855530.44954836089</v>
      </c>
      <c r="S38" s="256">
        <f t="shared" si="7"/>
        <v>7124030.899678275</v>
      </c>
      <c r="T38" s="256">
        <v>14900</v>
      </c>
      <c r="U38" s="256">
        <v>11</v>
      </c>
      <c r="V38" s="256">
        <v>3601834.996090522</v>
      </c>
      <c r="W38" s="256">
        <f>IFERROR(VLOOKUP($B38-1,CDM!$L$7:$T$18,6,FALSE)/12,0)+IFERROR(VLOOKUP($B38,CDM!$L$36:$T$46,6,FALSE)/24,0)+IFERROR(VLOOKUP($B38,CDM!$L$36:$T$46,6,FALSE)/2*$C38/78,0)</f>
        <v>18325.615945512825</v>
      </c>
      <c r="X38" s="256">
        <f t="shared" si="8"/>
        <v>3620160.6120360349</v>
      </c>
      <c r="Y38" s="256">
        <v>7328.0761503969379</v>
      </c>
      <c r="Z38" s="256">
        <v>1</v>
      </c>
      <c r="AA38" s="4">
        <v>447794.21742972912</v>
      </c>
      <c r="AB38" s="4">
        <v>992</v>
      </c>
      <c r="AC38" s="256">
        <v>13605</v>
      </c>
      <c r="AD38" s="256">
        <v>2179.9923707800876</v>
      </c>
      <c r="AE38" s="256">
        <v>0</v>
      </c>
      <c r="AF38" s="256">
        <v>23</v>
      </c>
      <c r="AG38" s="4">
        <v>209837</v>
      </c>
      <c r="AH38" s="4">
        <v>247</v>
      </c>
      <c r="AI38" s="28">
        <f>Economic!H40</f>
        <v>789531.6</v>
      </c>
      <c r="AJ38" s="28">
        <f>Economic!I40</f>
        <v>608429.30000000005</v>
      </c>
      <c r="AK38" s="28">
        <f>Economic!J40</f>
        <v>57334.6</v>
      </c>
      <c r="AL38" s="28">
        <f>Economic!K40</f>
        <v>779459</v>
      </c>
      <c r="AM38" s="28">
        <f>Economic!L40</f>
        <v>600187</v>
      </c>
      <c r="AN38" s="28">
        <f>Economic!M40</f>
        <v>31723</v>
      </c>
      <c r="AO38" s="28">
        <f>Economic!D40</f>
        <v>7199.4</v>
      </c>
      <c r="AP38" s="28">
        <f>Economic!E40</f>
        <v>7167.3</v>
      </c>
      <c r="AQ38" s="28">
        <f>Economic!F40</f>
        <v>206.9</v>
      </c>
      <c r="AR38" s="28">
        <f>Economic!G40</f>
        <v>205.4</v>
      </c>
      <c r="AS38" s="28">
        <f>Economic!N40</f>
        <v>184.79999999999927</v>
      </c>
      <c r="AT38" s="28">
        <f>Economic!O40</f>
        <v>184.80000000000018</v>
      </c>
      <c r="AU38" s="28">
        <f>Economic!P40</f>
        <v>-8.5999999999999943</v>
      </c>
      <c r="AV38" s="28">
        <f>Economic!Q40</f>
        <v>-9</v>
      </c>
      <c r="AW38" s="28">
        <f>Economic!R40</f>
        <v>25066.79999999993</v>
      </c>
      <c r="AX38" s="28">
        <f>Economic!S40</f>
        <v>8006</v>
      </c>
      <c r="AY38" s="7">
        <f>Weather!D38</f>
        <v>-6.2108870967741945</v>
      </c>
      <c r="AZ38" s="7">
        <f>Weather!E38</f>
        <v>812.53750000000002</v>
      </c>
      <c r="BA38" s="7">
        <f>Weather!F38</f>
        <v>0</v>
      </c>
      <c r="BB38" s="7">
        <f>Weather!G38</f>
        <v>750.53750000000002</v>
      </c>
      <c r="BC38" s="7">
        <f>Weather!H38</f>
        <v>0</v>
      </c>
      <c r="BD38" s="7">
        <f>Weather!I38</f>
        <v>688.53749999999991</v>
      </c>
      <c r="BE38" s="7">
        <f>Weather!J38</f>
        <v>0</v>
      </c>
      <c r="BF38" s="7">
        <f>Weather!K38</f>
        <v>626.53750000000002</v>
      </c>
      <c r="BG38" s="7">
        <f>Weather!L38</f>
        <v>0</v>
      </c>
      <c r="BH38" s="7">
        <f>Weather!M38</f>
        <v>564.53750000000002</v>
      </c>
      <c r="BI38" s="7">
        <f>Weather!N38</f>
        <v>0</v>
      </c>
      <c r="BJ38" s="7">
        <f>Weather!O38</f>
        <v>502.53750000000002</v>
      </c>
      <c r="BK38" s="7">
        <f>Weather!P38</f>
        <v>0</v>
      </c>
      <c r="BL38" s="7">
        <f>Weather!Q38</f>
        <v>440.53750000000002</v>
      </c>
      <c r="BM38" s="7">
        <f>Weather!R38</f>
        <v>0</v>
      </c>
      <c r="BN38" s="1">
        <v>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f t="shared" si="9"/>
        <v>37</v>
      </c>
      <c r="CD38" s="1">
        <v>31</v>
      </c>
      <c r="CE38" s="1">
        <v>22</v>
      </c>
      <c r="CF38" s="1">
        <v>0</v>
      </c>
      <c r="CG38" s="1">
        <v>0</v>
      </c>
      <c r="CH38" s="1">
        <v>0</v>
      </c>
      <c r="CI38" s="1">
        <v>0</v>
      </c>
      <c r="CJ38" s="1">
        <f t="shared" si="12"/>
        <v>0</v>
      </c>
      <c r="CK38" s="1">
        <f t="shared" si="12"/>
        <v>0</v>
      </c>
      <c r="CL38" s="1">
        <f t="shared" si="12"/>
        <v>0</v>
      </c>
      <c r="CM38" s="1">
        <f t="shared" si="12"/>
        <v>0</v>
      </c>
      <c r="CN38" s="1">
        <f t="shared" si="12"/>
        <v>0</v>
      </c>
      <c r="CO38" s="1">
        <f t="shared" si="14"/>
        <v>0</v>
      </c>
      <c r="CP38" s="1">
        <f t="shared" si="14"/>
        <v>0</v>
      </c>
      <c r="CQ38" s="1">
        <f t="shared" si="14"/>
        <v>0</v>
      </c>
      <c r="CR38" s="1">
        <f t="shared" si="14"/>
        <v>0</v>
      </c>
      <c r="CS38" s="1">
        <f t="shared" si="14"/>
        <v>0</v>
      </c>
      <c r="CT38" s="1">
        <f t="shared" si="14"/>
        <v>0</v>
      </c>
      <c r="CU38" s="1">
        <f t="shared" si="14"/>
        <v>0</v>
      </c>
      <c r="CV38" s="1">
        <f t="shared" si="14"/>
        <v>0</v>
      </c>
      <c r="CW38" s="1">
        <f t="shared" si="14"/>
        <v>0</v>
      </c>
      <c r="CX38" s="1">
        <f t="shared" si="13"/>
        <v>0</v>
      </c>
      <c r="CY38" s="1">
        <f t="shared" si="13"/>
        <v>0</v>
      </c>
      <c r="CZ38" s="1">
        <f t="shared" si="13"/>
        <v>0</v>
      </c>
      <c r="DA38" s="1">
        <f t="shared" si="13"/>
        <v>0</v>
      </c>
      <c r="DB38" s="1">
        <f t="shared" si="13"/>
        <v>0</v>
      </c>
      <c r="DC38" s="1">
        <f t="shared" si="15"/>
        <v>0</v>
      </c>
      <c r="DD38" s="1">
        <f t="shared" si="15"/>
        <v>0</v>
      </c>
      <c r="DE38" s="1">
        <f t="shared" si="15"/>
        <v>0</v>
      </c>
      <c r="DF38" s="1">
        <f t="shared" si="15"/>
        <v>0</v>
      </c>
      <c r="DG38" s="1">
        <f t="shared" si="15"/>
        <v>0</v>
      </c>
      <c r="DH38" s="1">
        <f t="shared" si="15"/>
        <v>0</v>
      </c>
      <c r="DI38" s="1">
        <f t="shared" si="15"/>
        <v>0</v>
      </c>
      <c r="DJ38" s="1">
        <f t="shared" si="15"/>
        <v>0</v>
      </c>
      <c r="DK38" s="1">
        <f t="shared" si="15"/>
        <v>0</v>
      </c>
      <c r="DL38" s="24">
        <v>561012.59871857893</v>
      </c>
      <c r="DM38" s="25">
        <v>1077.7065748308655</v>
      </c>
      <c r="DN38" s="24"/>
      <c r="DO38" s="25"/>
      <c r="DP38" s="25"/>
      <c r="DQ38" s="25"/>
      <c r="DR38" s="25"/>
      <c r="DS38" s="25"/>
      <c r="DT38" s="25"/>
      <c r="DU38" s="25"/>
      <c r="DV38" s="25"/>
    </row>
    <row r="39" spans="1:126" x14ac:dyDescent="0.25">
      <c r="A39" s="252">
        <v>43132</v>
      </c>
      <c r="B39" s="253">
        <f t="shared" si="0"/>
        <v>2018</v>
      </c>
      <c r="C39" s="253">
        <f t="shared" si="1"/>
        <v>2</v>
      </c>
      <c r="D39" s="254">
        <v>40135686.845506817</v>
      </c>
      <c r="E39" s="254">
        <f>IFERROR(VLOOKUP($B39-1,CDM!$L$7:$T$18,2,FALSE)/12,0)+IFERROR(VLOOKUP($B39,CDM!$L$36:$T$46,2,FALSE)/24,0)+IFERROR(VLOOKUP($B39,CDM!$L$36:$T$46,2,FALSE)/2*$C39/78,0)</f>
        <v>2118803.7950407378</v>
      </c>
      <c r="F39" s="254">
        <f t="shared" si="2"/>
        <v>42254490.640547559</v>
      </c>
      <c r="G39" s="255">
        <v>53149</v>
      </c>
      <c r="H39" s="254">
        <v>11306748.789585166</v>
      </c>
      <c r="I39" s="254">
        <f>IFERROR(VLOOKUP($B39-1,CDM!$L$7:$T$18,3,FALSE)/12,0)+IFERROR(VLOOKUP($B39,CDM!$L$36:$T$46,3,FALSE)/24,0)+IFERROR(VLOOKUP($B39,CDM!$L$36:$T$46,3,FALSE)/2*$C39/78,0)</f>
        <v>484569.23764718615</v>
      </c>
      <c r="J39" s="254">
        <f t="shared" si="6"/>
        <v>11791318.027232353</v>
      </c>
      <c r="K39" s="256">
        <v>4210</v>
      </c>
      <c r="L39" s="4">
        <v>26506993.414944962</v>
      </c>
      <c r="M39" s="257">
        <f>IFERROR(VLOOKUP($B39-1,CDM!$L$7:$T$18,4,FALSE)/12,0)+IFERROR(VLOOKUP($B39,CDM!$L$36:$T$46,4,FALSE)/24,0)+IFERROR(VLOOKUP($B39,CDM!$L$36:$T$46,4,FALSE)/2*$C39/78,0)</f>
        <v>532745.75524371443</v>
      </c>
      <c r="N39" s="254">
        <f t="shared" si="3"/>
        <v>27039739.170188677</v>
      </c>
      <c r="O39" s="4">
        <v>69850</v>
      </c>
      <c r="P39" s="256">
        <v>521</v>
      </c>
      <c r="Q39" s="256">
        <v>5543973.6384187602</v>
      </c>
      <c r="R39" s="256">
        <f>IFERROR(VLOOKUP($B39-1,CDM!$L$7:$T$18,5,FALSE)/12,0)+IFERROR(VLOOKUP($B39,CDM!$L$36:$T$46,5,FALSE)/24,0)+IFERROR(VLOOKUP($B39,CDM!$L$36:$T$46,5,FALSE)/2*$C39/78,0)</f>
        <v>855541.06506118132</v>
      </c>
      <c r="S39" s="256">
        <f t="shared" si="7"/>
        <v>6399514.7034799419</v>
      </c>
      <c r="T39" s="256">
        <v>14216</v>
      </c>
      <c r="U39" s="256">
        <v>11</v>
      </c>
      <c r="V39" s="256">
        <v>3368081.2940163556</v>
      </c>
      <c r="W39" s="256">
        <f>IFERROR(VLOOKUP($B39-1,CDM!$L$7:$T$18,6,FALSE)/12,0)+IFERROR(VLOOKUP($B39,CDM!$L$36:$T$46,6,FALSE)/24,0)+IFERROR(VLOOKUP($B39,CDM!$L$36:$T$46,6,FALSE)/2*$C39/78,0)</f>
        <v>19219.657238247866</v>
      </c>
      <c r="X39" s="256">
        <f t="shared" si="8"/>
        <v>3387300.9512546035</v>
      </c>
      <c r="Y39" s="256">
        <v>6766</v>
      </c>
      <c r="Z39" s="256">
        <v>1</v>
      </c>
      <c r="AA39" s="4">
        <v>374015.20529359969</v>
      </c>
      <c r="AB39" s="4">
        <v>999</v>
      </c>
      <c r="AC39" s="256">
        <v>13605</v>
      </c>
      <c r="AD39" s="256">
        <v>2043.18138470341</v>
      </c>
      <c r="AE39" s="256">
        <v>0</v>
      </c>
      <c r="AF39" s="256">
        <v>23</v>
      </c>
      <c r="AG39" s="4">
        <v>209837</v>
      </c>
      <c r="AH39" s="4">
        <v>247</v>
      </c>
      <c r="AI39" s="28">
        <f>Economic!H41</f>
        <v>789531.6</v>
      </c>
      <c r="AJ39" s="28">
        <f>Economic!I41</f>
        <v>608429.30000000005</v>
      </c>
      <c r="AK39" s="28">
        <f>Economic!J41</f>
        <v>57334.6</v>
      </c>
      <c r="AL39" s="28">
        <f>Economic!K41</f>
        <v>779459</v>
      </c>
      <c r="AM39" s="28">
        <f>Economic!L41</f>
        <v>600187</v>
      </c>
      <c r="AN39" s="28">
        <f>Economic!M41</f>
        <v>31723</v>
      </c>
      <c r="AO39" s="28">
        <f>Economic!D41</f>
        <v>7188.9</v>
      </c>
      <c r="AP39" s="28">
        <f>Economic!E41</f>
        <v>7120.1</v>
      </c>
      <c r="AQ39" s="28">
        <f>Economic!F41</f>
        <v>207.4</v>
      </c>
      <c r="AR39" s="28">
        <f>Economic!G41</f>
        <v>205.6</v>
      </c>
      <c r="AS39" s="28">
        <f>Economic!N41</f>
        <v>157.59999999999945</v>
      </c>
      <c r="AT39" s="28">
        <f>Economic!O41</f>
        <v>157.60000000000036</v>
      </c>
      <c r="AU39" s="28">
        <f>Economic!P41</f>
        <v>-2.4000000000000057</v>
      </c>
      <c r="AV39" s="28">
        <f>Economic!Q41</f>
        <v>-2.4000000000000057</v>
      </c>
      <c r="AW39" s="28">
        <f>Economic!R41</f>
        <v>25066.79999999993</v>
      </c>
      <c r="AX39" s="28">
        <f>Economic!S41</f>
        <v>8006</v>
      </c>
      <c r="AY39" s="7">
        <f>Weather!D39</f>
        <v>-2.5891369047619053</v>
      </c>
      <c r="AZ39" s="7">
        <f>Weather!E39</f>
        <v>632.49583333333328</v>
      </c>
      <c r="BA39" s="7">
        <f>Weather!F39</f>
        <v>0</v>
      </c>
      <c r="BB39" s="7">
        <f>Weather!G39</f>
        <v>576.49583333333317</v>
      </c>
      <c r="BC39" s="7">
        <f>Weather!H39</f>
        <v>0</v>
      </c>
      <c r="BD39" s="7">
        <f>Weather!I39</f>
        <v>520.49583333333328</v>
      </c>
      <c r="BE39" s="7">
        <f>Weather!J39</f>
        <v>0</v>
      </c>
      <c r="BF39" s="7">
        <f>Weather!K39</f>
        <v>464.49583333333334</v>
      </c>
      <c r="BG39" s="7">
        <f>Weather!L39</f>
        <v>0</v>
      </c>
      <c r="BH39" s="7">
        <f>Weather!M39</f>
        <v>408.49583333333334</v>
      </c>
      <c r="BI39" s="7">
        <f>Weather!N39</f>
        <v>0</v>
      </c>
      <c r="BJ39" s="7">
        <f>Weather!O39</f>
        <v>352.49583333333334</v>
      </c>
      <c r="BK39" s="7">
        <f>Weather!P39</f>
        <v>0</v>
      </c>
      <c r="BL39" s="7">
        <f>Weather!Q39</f>
        <v>296.49583333333334</v>
      </c>
      <c r="BM39" s="7">
        <f>Weather!R39</f>
        <v>0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f t="shared" si="9"/>
        <v>38</v>
      </c>
      <c r="CD39" s="1">
        <v>28</v>
      </c>
      <c r="CE39" s="1">
        <v>19</v>
      </c>
      <c r="CF39" s="1">
        <v>0</v>
      </c>
      <c r="CG39" s="1">
        <v>0</v>
      </c>
      <c r="CH39" s="1">
        <v>0</v>
      </c>
      <c r="CI39" s="1">
        <v>0</v>
      </c>
      <c r="CJ39" s="1">
        <f t="shared" si="12"/>
        <v>0</v>
      </c>
      <c r="CK39" s="1">
        <f t="shared" si="12"/>
        <v>0</v>
      </c>
      <c r="CL39" s="1">
        <f t="shared" si="12"/>
        <v>0</v>
      </c>
      <c r="CM39" s="1">
        <f t="shared" si="12"/>
        <v>0</v>
      </c>
      <c r="CN39" s="1">
        <f t="shared" si="12"/>
        <v>0</v>
      </c>
      <c r="CO39" s="1">
        <f t="shared" si="14"/>
        <v>0</v>
      </c>
      <c r="CP39" s="1">
        <f t="shared" si="14"/>
        <v>0</v>
      </c>
      <c r="CQ39" s="1">
        <f t="shared" si="14"/>
        <v>0</v>
      </c>
      <c r="CR39" s="1">
        <f t="shared" si="14"/>
        <v>0</v>
      </c>
      <c r="CS39" s="1">
        <f t="shared" si="14"/>
        <v>0</v>
      </c>
      <c r="CT39" s="1">
        <f t="shared" si="14"/>
        <v>0</v>
      </c>
      <c r="CU39" s="1">
        <f t="shared" si="14"/>
        <v>0</v>
      </c>
      <c r="CV39" s="1">
        <f t="shared" si="14"/>
        <v>0</v>
      </c>
      <c r="CW39" s="1">
        <f t="shared" si="14"/>
        <v>0</v>
      </c>
      <c r="CX39" s="1">
        <f t="shared" si="13"/>
        <v>0</v>
      </c>
      <c r="CY39" s="1">
        <f t="shared" si="13"/>
        <v>0</v>
      </c>
      <c r="CZ39" s="1">
        <f t="shared" si="13"/>
        <v>0</v>
      </c>
      <c r="DA39" s="1">
        <f t="shared" si="13"/>
        <v>0</v>
      </c>
      <c r="DB39" s="1">
        <f t="shared" si="13"/>
        <v>0</v>
      </c>
      <c r="DC39" s="1">
        <f t="shared" si="15"/>
        <v>0</v>
      </c>
      <c r="DD39" s="1">
        <f t="shared" si="15"/>
        <v>0</v>
      </c>
      <c r="DE39" s="1">
        <f t="shared" si="15"/>
        <v>0</v>
      </c>
      <c r="DF39" s="1">
        <f t="shared" si="15"/>
        <v>0</v>
      </c>
      <c r="DG39" s="1">
        <f t="shared" si="15"/>
        <v>0</v>
      </c>
      <c r="DH39" s="1">
        <f t="shared" si="15"/>
        <v>0</v>
      </c>
      <c r="DI39" s="1">
        <f t="shared" si="15"/>
        <v>0</v>
      </c>
      <c r="DJ39" s="1">
        <f t="shared" si="15"/>
        <v>0</v>
      </c>
      <c r="DK39" s="1">
        <f t="shared" si="15"/>
        <v>0</v>
      </c>
      <c r="DL39" s="24">
        <v>502902.58460359741</v>
      </c>
      <c r="DM39" s="25">
        <v>966.07709553169389</v>
      </c>
      <c r="DN39" s="24"/>
      <c r="DO39" s="25"/>
      <c r="DP39" s="25"/>
      <c r="DQ39" s="25"/>
      <c r="DR39" s="25"/>
      <c r="DS39" s="25"/>
      <c r="DT39" s="25"/>
      <c r="DU39" s="25"/>
      <c r="DV39" s="25"/>
    </row>
    <row r="40" spans="1:126" x14ac:dyDescent="0.25">
      <c r="A40" s="252">
        <v>43160</v>
      </c>
      <c r="B40" s="253">
        <f t="shared" si="0"/>
        <v>2018</v>
      </c>
      <c r="C40" s="253">
        <f t="shared" si="1"/>
        <v>3</v>
      </c>
      <c r="D40" s="254">
        <v>41272519.576900333</v>
      </c>
      <c r="E40" s="254">
        <f>IFERROR(VLOOKUP($B40-1,CDM!$L$7:$T$18,2,FALSE)/12,0)+IFERROR(VLOOKUP($B40,CDM!$L$36:$T$46,2,FALSE)/24,0)+IFERROR(VLOOKUP($B40,CDM!$L$36:$T$46,2,FALSE)/2*$C40/78,0)</f>
        <v>2160046.56014357</v>
      </c>
      <c r="F40" s="254">
        <f t="shared" si="2"/>
        <v>43432566.137043901</v>
      </c>
      <c r="G40" s="255">
        <v>53273</v>
      </c>
      <c r="H40" s="254">
        <v>11627009.46331233</v>
      </c>
      <c r="I40" s="254">
        <f>IFERROR(VLOOKUP($B40-1,CDM!$L$7:$T$18,3,FALSE)/12,0)+IFERROR(VLOOKUP($B40,CDM!$L$36:$T$46,3,FALSE)/24,0)+IFERROR(VLOOKUP($B40,CDM!$L$36:$T$46,3,FALSE)/2*$C40/78,0)</f>
        <v>495382.04097532108</v>
      </c>
      <c r="J40" s="254">
        <f t="shared" si="6"/>
        <v>12122391.504287651</v>
      </c>
      <c r="K40" s="256">
        <v>4215</v>
      </c>
      <c r="L40" s="4">
        <v>28441162.948277812</v>
      </c>
      <c r="M40" s="257">
        <f>IFERROR(VLOOKUP($B40-1,CDM!$L$7:$T$18,4,FALSE)/12,0)+IFERROR(VLOOKUP($B40,CDM!$L$36:$T$46,4,FALSE)/24,0)+IFERROR(VLOOKUP($B40,CDM!$L$36:$T$46,4,FALSE)/2*$C40/78,0)</f>
        <v>548174.36410937726</v>
      </c>
      <c r="N40" s="254">
        <f t="shared" si="3"/>
        <v>28989337.312387191</v>
      </c>
      <c r="O40" s="4">
        <v>66844</v>
      </c>
      <c r="P40" s="256">
        <v>523</v>
      </c>
      <c r="Q40" s="256">
        <v>6024705.7843564888</v>
      </c>
      <c r="R40" s="256">
        <f>IFERROR(VLOOKUP($B40-1,CDM!$L$7:$T$18,5,FALSE)/12,0)+IFERROR(VLOOKUP($B40,CDM!$L$36:$T$46,5,FALSE)/24,0)+IFERROR(VLOOKUP($B40,CDM!$L$36:$T$46,5,FALSE)/2*$C40/78,0)</f>
        <v>855551.68057400186</v>
      </c>
      <c r="S40" s="256">
        <f t="shared" si="7"/>
        <v>6880257.4649304906</v>
      </c>
      <c r="T40" s="256">
        <v>14166</v>
      </c>
      <c r="U40" s="256">
        <v>11</v>
      </c>
      <c r="V40" s="256">
        <v>3716883.3500913847</v>
      </c>
      <c r="W40" s="256">
        <f>IFERROR(VLOOKUP($B40-1,CDM!$L$7:$T$18,6,FALSE)/12,0)+IFERROR(VLOOKUP($B40,CDM!$L$36:$T$46,6,FALSE)/24,0)+IFERROR(VLOOKUP($B40,CDM!$L$36:$T$46,6,FALSE)/2*$C40/78,0)</f>
        <v>20113.698530982911</v>
      </c>
      <c r="X40" s="256">
        <f t="shared" si="8"/>
        <v>3736997.0486223674</v>
      </c>
      <c r="Y40" s="256">
        <v>6566</v>
      </c>
      <c r="Z40" s="256">
        <v>1</v>
      </c>
      <c r="AA40" s="4">
        <v>378310.1464706384</v>
      </c>
      <c r="AB40" s="4">
        <v>1008</v>
      </c>
      <c r="AC40" s="256">
        <v>13838</v>
      </c>
      <c r="AD40" s="256">
        <v>2081.1176807171469</v>
      </c>
      <c r="AE40" s="256">
        <v>0</v>
      </c>
      <c r="AF40" s="256">
        <v>23</v>
      </c>
      <c r="AG40" s="4">
        <v>209837</v>
      </c>
      <c r="AH40" s="4">
        <v>247</v>
      </c>
      <c r="AI40" s="28">
        <f>Economic!H42</f>
        <v>789531.6</v>
      </c>
      <c r="AJ40" s="28">
        <f>Economic!I42</f>
        <v>608429.30000000005</v>
      </c>
      <c r="AK40" s="28">
        <f>Economic!J42</f>
        <v>57334.6</v>
      </c>
      <c r="AL40" s="28">
        <f>Economic!K42</f>
        <v>779459</v>
      </c>
      <c r="AM40" s="28">
        <f>Economic!L42</f>
        <v>600187</v>
      </c>
      <c r="AN40" s="28">
        <f>Economic!M42</f>
        <v>31723</v>
      </c>
      <c r="AO40" s="28">
        <f>Economic!D42</f>
        <v>7188.8</v>
      </c>
      <c r="AP40" s="28">
        <f>Economic!E42</f>
        <v>7084.1</v>
      </c>
      <c r="AQ40" s="28">
        <f>Economic!F42</f>
        <v>210.4</v>
      </c>
      <c r="AR40" s="28">
        <f>Economic!G42</f>
        <v>208.3</v>
      </c>
      <c r="AS40" s="28">
        <f>Economic!N42</f>
        <v>139.80000000000018</v>
      </c>
      <c r="AT40" s="28">
        <f>Economic!O42</f>
        <v>138.10000000000036</v>
      </c>
      <c r="AU40" s="28">
        <f>Economic!P42</f>
        <v>7.2000000000000171</v>
      </c>
      <c r="AV40" s="28">
        <f>Economic!Q42</f>
        <v>7.4000000000000057</v>
      </c>
      <c r="AW40" s="28">
        <f>Economic!R42</f>
        <v>25066.79999999993</v>
      </c>
      <c r="AX40" s="28">
        <f>Economic!S42</f>
        <v>8006</v>
      </c>
      <c r="AY40" s="7">
        <f>Weather!D40</f>
        <v>-0.29932795698924713</v>
      </c>
      <c r="AZ40" s="7">
        <f>Weather!E40</f>
        <v>629.27916666666681</v>
      </c>
      <c r="BA40" s="7">
        <f>Weather!F40</f>
        <v>0</v>
      </c>
      <c r="BB40" s="7">
        <f>Weather!G40</f>
        <v>567.2791666666667</v>
      </c>
      <c r="BC40" s="7">
        <f>Weather!H40</f>
        <v>0</v>
      </c>
      <c r="BD40" s="7">
        <f>Weather!I40</f>
        <v>505.2791666666667</v>
      </c>
      <c r="BE40" s="7">
        <f>Weather!J40</f>
        <v>0</v>
      </c>
      <c r="BF40" s="7">
        <f>Weather!K40</f>
        <v>443.2791666666667</v>
      </c>
      <c r="BG40" s="7">
        <f>Weather!L40</f>
        <v>0</v>
      </c>
      <c r="BH40" s="7">
        <f>Weather!M40</f>
        <v>381.27916666666664</v>
      </c>
      <c r="BI40" s="7">
        <f>Weather!N40</f>
        <v>0</v>
      </c>
      <c r="BJ40" s="7">
        <f>Weather!O40</f>
        <v>319.2791666666667</v>
      </c>
      <c r="BK40" s="7">
        <f>Weather!P40</f>
        <v>0</v>
      </c>
      <c r="BL40" s="7">
        <f>Weather!Q40</f>
        <v>257.2791666666667</v>
      </c>
      <c r="BM40" s="7">
        <f>Weather!R40</f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</v>
      </c>
      <c r="CA40" s="1">
        <v>0</v>
      </c>
      <c r="CB40" s="1">
        <v>1</v>
      </c>
      <c r="CC40" s="1">
        <f t="shared" si="9"/>
        <v>39</v>
      </c>
      <c r="CD40" s="1">
        <v>31</v>
      </c>
      <c r="CE40" s="1">
        <v>21</v>
      </c>
      <c r="CF40" s="1">
        <v>0</v>
      </c>
      <c r="CG40" s="1">
        <v>0</v>
      </c>
      <c r="CH40" s="1">
        <v>0</v>
      </c>
      <c r="CI40" s="1">
        <v>0</v>
      </c>
      <c r="CJ40" s="1">
        <f t="shared" si="12"/>
        <v>0</v>
      </c>
      <c r="CK40" s="1">
        <f t="shared" si="12"/>
        <v>0</v>
      </c>
      <c r="CL40" s="1">
        <f t="shared" si="12"/>
        <v>0</v>
      </c>
      <c r="CM40" s="1">
        <f t="shared" si="12"/>
        <v>0</v>
      </c>
      <c r="CN40" s="1">
        <f t="shared" si="12"/>
        <v>0</v>
      </c>
      <c r="CO40" s="1">
        <f t="shared" si="14"/>
        <v>0</v>
      </c>
      <c r="CP40" s="1">
        <f t="shared" si="14"/>
        <v>0</v>
      </c>
      <c r="CQ40" s="1">
        <f t="shared" si="14"/>
        <v>0</v>
      </c>
      <c r="CR40" s="1">
        <f t="shared" si="14"/>
        <v>0</v>
      </c>
      <c r="CS40" s="1">
        <f t="shared" si="14"/>
        <v>0</v>
      </c>
      <c r="CT40" s="1">
        <f t="shared" si="14"/>
        <v>0</v>
      </c>
      <c r="CU40" s="1">
        <f t="shared" si="14"/>
        <v>0</v>
      </c>
      <c r="CV40" s="1">
        <f t="shared" si="14"/>
        <v>0</v>
      </c>
      <c r="CW40" s="1">
        <f t="shared" si="14"/>
        <v>0</v>
      </c>
      <c r="CX40" s="1">
        <f t="shared" si="13"/>
        <v>0</v>
      </c>
      <c r="CY40" s="1">
        <f t="shared" si="13"/>
        <v>0</v>
      </c>
      <c r="CZ40" s="1">
        <f t="shared" si="13"/>
        <v>0</v>
      </c>
      <c r="DA40" s="1">
        <f t="shared" si="13"/>
        <v>0</v>
      </c>
      <c r="DB40" s="1">
        <f t="shared" si="13"/>
        <v>0</v>
      </c>
      <c r="DC40" s="1">
        <f t="shared" si="15"/>
        <v>0</v>
      </c>
      <c r="DD40" s="1">
        <f t="shared" si="15"/>
        <v>0</v>
      </c>
      <c r="DE40" s="1">
        <f t="shared" si="15"/>
        <v>0</v>
      </c>
      <c r="DF40" s="1">
        <f t="shared" si="15"/>
        <v>0</v>
      </c>
      <c r="DG40" s="1">
        <f t="shared" si="15"/>
        <v>0</v>
      </c>
      <c r="DH40" s="1">
        <f t="shared" si="15"/>
        <v>0</v>
      </c>
      <c r="DI40" s="1">
        <f t="shared" si="15"/>
        <v>0</v>
      </c>
      <c r="DJ40" s="1">
        <f t="shared" si="15"/>
        <v>0</v>
      </c>
      <c r="DK40" s="1">
        <f t="shared" si="15"/>
        <v>0</v>
      </c>
      <c r="DL40" s="24">
        <v>551249.14117651281</v>
      </c>
      <c r="DM40" s="25">
        <v>1058.9509490032094</v>
      </c>
      <c r="DN40" s="24"/>
      <c r="DO40" s="25"/>
      <c r="DP40" s="25"/>
      <c r="DQ40" s="25"/>
      <c r="DR40" s="25"/>
      <c r="DS40" s="25"/>
      <c r="DT40" s="25"/>
      <c r="DU40" s="25"/>
      <c r="DV40" s="25"/>
    </row>
    <row r="41" spans="1:126" x14ac:dyDescent="0.25">
      <c r="A41" s="252">
        <v>43191</v>
      </c>
      <c r="B41" s="253">
        <f t="shared" si="0"/>
        <v>2018</v>
      </c>
      <c r="C41" s="253">
        <f t="shared" si="1"/>
        <v>4</v>
      </c>
      <c r="D41" s="254">
        <v>38540195.979304031</v>
      </c>
      <c r="E41" s="254">
        <f>IFERROR(VLOOKUP($B41-1,CDM!$L$7:$T$18,2,FALSE)/12,0)+IFERROR(VLOOKUP($B41,CDM!$L$36:$T$46,2,FALSE)/24,0)+IFERROR(VLOOKUP($B41,CDM!$L$36:$T$46,2,FALSE)/2*$C41/78,0)</f>
        <v>2201289.3252464016</v>
      </c>
      <c r="F41" s="254">
        <f t="shared" si="2"/>
        <v>40741485.304550432</v>
      </c>
      <c r="G41" s="255">
        <v>53438</v>
      </c>
      <c r="H41" s="254">
        <v>10711692.214064522</v>
      </c>
      <c r="I41" s="254">
        <f>IFERROR(VLOOKUP($B41-1,CDM!$L$7:$T$18,3,FALSE)/12,0)+IFERROR(VLOOKUP($B41,CDM!$L$36:$T$46,3,FALSE)/24,0)+IFERROR(VLOOKUP($B41,CDM!$L$36:$T$46,3,FALSE)/2*$C41/78,0)</f>
        <v>506194.84430345608</v>
      </c>
      <c r="J41" s="254">
        <f t="shared" si="6"/>
        <v>11217887.058367977</v>
      </c>
      <c r="K41" s="256">
        <v>4218</v>
      </c>
      <c r="L41" s="4">
        <v>26729032.386794578</v>
      </c>
      <c r="M41" s="257">
        <f>IFERROR(VLOOKUP($B41-1,CDM!$L$7:$T$18,4,FALSE)/12,0)+IFERROR(VLOOKUP($B41,CDM!$L$36:$T$46,4,FALSE)/24,0)+IFERROR(VLOOKUP($B41,CDM!$L$36:$T$46,4,FALSE)/2*$C41/78,0)</f>
        <v>563602.97297504009</v>
      </c>
      <c r="N41" s="254">
        <f t="shared" si="3"/>
        <v>27292635.35976962</v>
      </c>
      <c r="O41" s="4">
        <v>69821</v>
      </c>
      <c r="P41" s="256">
        <v>523</v>
      </c>
      <c r="Q41" s="256">
        <v>6190102.7128541749</v>
      </c>
      <c r="R41" s="256">
        <f>IFERROR(VLOOKUP($B41-1,CDM!$L$7:$T$18,5,FALSE)/12,0)+IFERROR(VLOOKUP($B41,CDM!$L$36:$T$46,5,FALSE)/24,0)+IFERROR(VLOOKUP($B41,CDM!$L$36:$T$46,5,FALSE)/2*$C41/78,0)</f>
        <v>855562.2960868224</v>
      </c>
      <c r="S41" s="256">
        <f t="shared" si="7"/>
        <v>7045665.0089409975</v>
      </c>
      <c r="T41" s="256">
        <v>14513</v>
      </c>
      <c r="U41" s="256">
        <v>11</v>
      </c>
      <c r="V41" s="256">
        <v>3398029.7079421505</v>
      </c>
      <c r="W41" s="256">
        <f>IFERROR(VLOOKUP($B41-1,CDM!$L$7:$T$18,6,FALSE)/12,0)+IFERROR(VLOOKUP($B41,CDM!$L$36:$T$46,6,FALSE)/24,0)+IFERROR(VLOOKUP($B41,CDM!$L$36:$T$46,6,FALSE)/2*$C41/78,0)</f>
        <v>21007.739823717951</v>
      </c>
      <c r="X41" s="256">
        <f t="shared" si="8"/>
        <v>3419037.4477658686</v>
      </c>
      <c r="Y41" s="256">
        <v>6521</v>
      </c>
      <c r="Z41" s="256">
        <v>1</v>
      </c>
      <c r="AA41" s="4">
        <v>321678.86173279909</v>
      </c>
      <c r="AB41" s="4">
        <v>1008</v>
      </c>
      <c r="AC41" s="256">
        <v>13838</v>
      </c>
      <c r="AD41" s="256">
        <v>2134.3887087545299</v>
      </c>
      <c r="AE41" s="256">
        <v>0</v>
      </c>
      <c r="AF41" s="256">
        <v>23</v>
      </c>
      <c r="AG41" s="4">
        <v>209837</v>
      </c>
      <c r="AH41" s="4">
        <v>247</v>
      </c>
      <c r="AI41" s="28">
        <f>Economic!H43</f>
        <v>789531.6</v>
      </c>
      <c r="AJ41" s="28">
        <f>Economic!I43</f>
        <v>608429.30000000005</v>
      </c>
      <c r="AK41" s="28">
        <f>Economic!J43</f>
        <v>57334.6</v>
      </c>
      <c r="AL41" s="28">
        <f>Economic!K43</f>
        <v>784896</v>
      </c>
      <c r="AM41" s="28">
        <f>Economic!L43</f>
        <v>604446</v>
      </c>
      <c r="AN41" s="28">
        <f>Economic!M43</f>
        <v>31589</v>
      </c>
      <c r="AO41" s="28">
        <f>Economic!D43</f>
        <v>7201.1</v>
      </c>
      <c r="AP41" s="28">
        <f>Economic!E43</f>
        <v>7111.6</v>
      </c>
      <c r="AQ41" s="28">
        <f>Economic!F43</f>
        <v>214.5</v>
      </c>
      <c r="AR41" s="28">
        <f>Economic!G43</f>
        <v>213.3</v>
      </c>
      <c r="AS41" s="28">
        <f>Economic!N43</f>
        <v>146</v>
      </c>
      <c r="AT41" s="28">
        <f>Economic!O43</f>
        <v>148</v>
      </c>
      <c r="AU41" s="28">
        <f>Economic!P43</f>
        <v>14.5</v>
      </c>
      <c r="AV41" s="28">
        <f>Economic!Q43</f>
        <v>14.400000000000006</v>
      </c>
      <c r="AW41" s="28">
        <f>Economic!R43</f>
        <v>25066.79999999993</v>
      </c>
      <c r="AX41" s="28">
        <f>Economic!S43</f>
        <v>5437</v>
      </c>
      <c r="AY41" s="7">
        <f>Weather!D41</f>
        <v>2.9161111111111113</v>
      </c>
      <c r="AZ41" s="7">
        <f>Weather!E41</f>
        <v>512.51666666666677</v>
      </c>
      <c r="BA41" s="7">
        <f>Weather!F41</f>
        <v>0</v>
      </c>
      <c r="BB41" s="7">
        <f>Weather!G41</f>
        <v>452.51666666666677</v>
      </c>
      <c r="BC41" s="7">
        <f>Weather!H41</f>
        <v>0</v>
      </c>
      <c r="BD41" s="7">
        <f>Weather!I41</f>
        <v>392.51666666666677</v>
      </c>
      <c r="BE41" s="7">
        <f>Weather!J41</f>
        <v>0</v>
      </c>
      <c r="BF41" s="7">
        <f>Weather!K41</f>
        <v>332.51666666666671</v>
      </c>
      <c r="BG41" s="7">
        <f>Weather!L41</f>
        <v>0</v>
      </c>
      <c r="BH41" s="7">
        <f>Weather!M41</f>
        <v>272.51666666666665</v>
      </c>
      <c r="BI41" s="7">
        <f>Weather!N41</f>
        <v>0</v>
      </c>
      <c r="BJ41" s="7">
        <f>Weather!O41</f>
        <v>212.57916666666659</v>
      </c>
      <c r="BK41" s="7">
        <f>Weather!P41</f>
        <v>6.2499999999998224E-2</v>
      </c>
      <c r="BL41" s="7">
        <f>Weather!Q41</f>
        <v>158.6666666666666</v>
      </c>
      <c r="BM41" s="7">
        <f>Weather!R41</f>
        <v>6.15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</v>
      </c>
      <c r="CA41" s="1">
        <v>0</v>
      </c>
      <c r="CB41" s="1">
        <v>1</v>
      </c>
      <c r="CC41" s="1">
        <f t="shared" si="9"/>
        <v>40</v>
      </c>
      <c r="CD41" s="1">
        <v>30</v>
      </c>
      <c r="CE41" s="1">
        <v>21</v>
      </c>
      <c r="CF41" s="1">
        <v>0</v>
      </c>
      <c r="CG41" s="1">
        <v>0</v>
      </c>
      <c r="CH41" s="1">
        <v>0</v>
      </c>
      <c r="CI41" s="1">
        <v>0</v>
      </c>
      <c r="CJ41" s="1">
        <f t="shared" si="12"/>
        <v>0</v>
      </c>
      <c r="CK41" s="1">
        <f t="shared" si="12"/>
        <v>0</v>
      </c>
      <c r="CL41" s="1">
        <f t="shared" si="12"/>
        <v>0</v>
      </c>
      <c r="CM41" s="1">
        <f t="shared" si="12"/>
        <v>0</v>
      </c>
      <c r="CN41" s="1">
        <f t="shared" si="12"/>
        <v>0</v>
      </c>
      <c r="CO41" s="1">
        <f t="shared" si="14"/>
        <v>0</v>
      </c>
      <c r="CP41" s="1">
        <f t="shared" si="14"/>
        <v>0</v>
      </c>
      <c r="CQ41" s="1">
        <f t="shared" si="14"/>
        <v>0</v>
      </c>
      <c r="CR41" s="1">
        <f t="shared" si="14"/>
        <v>0</v>
      </c>
      <c r="CS41" s="1">
        <f t="shared" si="14"/>
        <v>0</v>
      </c>
      <c r="CT41" s="1">
        <f t="shared" si="14"/>
        <v>0</v>
      </c>
      <c r="CU41" s="1">
        <f t="shared" si="14"/>
        <v>0</v>
      </c>
      <c r="CV41" s="1">
        <f t="shared" si="14"/>
        <v>0</v>
      </c>
      <c r="CW41" s="1">
        <f t="shared" si="14"/>
        <v>0</v>
      </c>
      <c r="CX41" s="1">
        <f t="shared" si="13"/>
        <v>0</v>
      </c>
      <c r="CY41" s="1">
        <f t="shared" si="13"/>
        <v>0</v>
      </c>
      <c r="CZ41" s="1">
        <f t="shared" si="13"/>
        <v>0</v>
      </c>
      <c r="DA41" s="1">
        <f t="shared" si="13"/>
        <v>0</v>
      </c>
      <c r="DB41" s="1">
        <f t="shared" si="13"/>
        <v>0</v>
      </c>
      <c r="DC41" s="1">
        <f t="shared" si="15"/>
        <v>0</v>
      </c>
      <c r="DD41" s="1">
        <f t="shared" si="15"/>
        <v>0</v>
      </c>
      <c r="DE41" s="1">
        <f t="shared" si="15"/>
        <v>0</v>
      </c>
      <c r="DF41" s="1">
        <f t="shared" si="15"/>
        <v>0</v>
      </c>
      <c r="DG41" s="1">
        <f t="shared" si="15"/>
        <v>0</v>
      </c>
      <c r="DH41" s="1">
        <f t="shared" si="15"/>
        <v>0</v>
      </c>
      <c r="DI41" s="1">
        <f t="shared" si="15"/>
        <v>0</v>
      </c>
      <c r="DJ41" s="1">
        <f t="shared" si="15"/>
        <v>0</v>
      </c>
      <c r="DK41" s="1">
        <f t="shared" si="15"/>
        <v>0</v>
      </c>
      <c r="DL41" s="24">
        <v>522108.16500910628</v>
      </c>
      <c r="DM41" s="25">
        <v>1002.971062483125</v>
      </c>
      <c r="DN41" s="24"/>
      <c r="DO41" s="25"/>
      <c r="DP41" s="25"/>
      <c r="DQ41" s="25"/>
      <c r="DR41" s="25"/>
      <c r="DS41" s="25"/>
      <c r="DT41" s="25"/>
      <c r="DU41" s="25"/>
      <c r="DV41" s="25"/>
    </row>
    <row r="42" spans="1:126" x14ac:dyDescent="0.25">
      <c r="A42" s="252">
        <v>43221</v>
      </c>
      <c r="B42" s="253">
        <f t="shared" si="0"/>
        <v>2018</v>
      </c>
      <c r="C42" s="253">
        <f t="shared" si="1"/>
        <v>5</v>
      </c>
      <c r="D42" s="254">
        <v>30413800.927757658</v>
      </c>
      <c r="E42" s="254">
        <f>IFERROR(VLOOKUP($B42-1,CDM!$L$7:$T$18,2,FALSE)/12,0)+IFERROR(VLOOKUP($B42,CDM!$L$36:$T$46,2,FALSE)/24,0)+IFERROR(VLOOKUP($B42,CDM!$L$36:$T$46,2,FALSE)/2*$C42/78,0)</f>
        <v>2242532.0903492337</v>
      </c>
      <c r="F42" s="254">
        <f t="shared" si="2"/>
        <v>32656333.018106893</v>
      </c>
      <c r="G42" s="255">
        <v>53654</v>
      </c>
      <c r="H42" s="254">
        <v>10019307.538069537</v>
      </c>
      <c r="I42" s="254">
        <f>IFERROR(VLOOKUP($B42-1,CDM!$L$7:$T$18,3,FALSE)/12,0)+IFERROR(VLOOKUP($B42,CDM!$L$36:$T$46,3,FALSE)/24,0)+IFERROR(VLOOKUP($B42,CDM!$L$36:$T$46,3,FALSE)/2*$C42/78,0)</f>
        <v>517007.64763159101</v>
      </c>
      <c r="J42" s="254">
        <f t="shared" si="6"/>
        <v>10536315.185701128</v>
      </c>
      <c r="K42" s="256">
        <v>4162</v>
      </c>
      <c r="L42" s="4">
        <v>22529842.467323054</v>
      </c>
      <c r="M42" s="257">
        <f>IFERROR(VLOOKUP($B42-1,CDM!$L$7:$T$18,4,FALSE)/12,0)+IFERROR(VLOOKUP($B42,CDM!$L$36:$T$46,4,FALSE)/24,0)+IFERROR(VLOOKUP($B42,CDM!$L$36:$T$46,4,FALSE)/2*$C42/78,0)</f>
        <v>579031.58184070291</v>
      </c>
      <c r="N42" s="254">
        <f t="shared" si="3"/>
        <v>23108874.049163755</v>
      </c>
      <c r="O42" s="4">
        <v>65013</v>
      </c>
      <c r="P42" s="256">
        <v>521</v>
      </c>
      <c r="Q42" s="256">
        <v>6642974.7170314845</v>
      </c>
      <c r="R42" s="256">
        <f>IFERROR(VLOOKUP($B42-1,CDM!$L$7:$T$18,5,FALSE)/12,0)+IFERROR(VLOOKUP($B42,CDM!$L$36:$T$46,5,FALSE)/24,0)+IFERROR(VLOOKUP($B42,CDM!$L$36:$T$46,5,FALSE)/2*$C42/78,0)</f>
        <v>855572.91159964295</v>
      </c>
      <c r="S42" s="256">
        <f t="shared" si="7"/>
        <v>7498547.6286311271</v>
      </c>
      <c r="T42" s="256">
        <v>16828</v>
      </c>
      <c r="U42" s="256">
        <v>11</v>
      </c>
      <c r="V42" s="256">
        <v>3765155.0246874741</v>
      </c>
      <c r="W42" s="256">
        <f>IFERROR(VLOOKUP($B42-1,CDM!$L$7:$T$18,6,FALSE)/12,0)+IFERROR(VLOOKUP($B42,CDM!$L$36:$T$46,6,FALSE)/24,0)+IFERROR(VLOOKUP($B42,CDM!$L$36:$T$46,6,FALSE)/2*$C42/78,0)</f>
        <v>21901.781116452996</v>
      </c>
      <c r="X42" s="256">
        <f t="shared" si="8"/>
        <v>3787056.8058039271</v>
      </c>
      <c r="Y42" s="256">
        <v>7507</v>
      </c>
      <c r="Z42" s="256">
        <v>1</v>
      </c>
      <c r="AA42" s="4">
        <v>278140.15762641199</v>
      </c>
      <c r="AB42" s="4">
        <v>1008</v>
      </c>
      <c r="AC42" s="256">
        <v>13838</v>
      </c>
      <c r="AD42" s="256">
        <v>2155.2736982643523</v>
      </c>
      <c r="AE42" s="256">
        <v>0</v>
      </c>
      <c r="AF42" s="256">
        <v>23</v>
      </c>
      <c r="AG42" s="4">
        <v>207106.72131147541</v>
      </c>
      <c r="AH42" s="4">
        <v>247</v>
      </c>
      <c r="AI42" s="28">
        <f>Economic!H44</f>
        <v>789531.6</v>
      </c>
      <c r="AJ42" s="28">
        <f>Economic!I44</f>
        <v>608429.30000000005</v>
      </c>
      <c r="AK42" s="28">
        <f>Economic!J44</f>
        <v>57334.6</v>
      </c>
      <c r="AL42" s="28">
        <f>Economic!K44</f>
        <v>784896</v>
      </c>
      <c r="AM42" s="28">
        <f>Economic!L44</f>
        <v>604446</v>
      </c>
      <c r="AN42" s="28">
        <f>Economic!M44</f>
        <v>31589</v>
      </c>
      <c r="AO42" s="28">
        <f>Economic!D44</f>
        <v>7208.5</v>
      </c>
      <c r="AP42" s="28">
        <f>Economic!E44</f>
        <v>7176</v>
      </c>
      <c r="AQ42" s="28">
        <f>Economic!F44</f>
        <v>218.3</v>
      </c>
      <c r="AR42" s="28">
        <f>Economic!G44</f>
        <v>219.3</v>
      </c>
      <c r="AS42" s="28">
        <f>Economic!N44</f>
        <v>141.80000000000018</v>
      </c>
      <c r="AT42" s="28">
        <f>Economic!O44</f>
        <v>142.60000000000036</v>
      </c>
      <c r="AU42" s="28">
        <f>Economic!P44</f>
        <v>15.400000000000006</v>
      </c>
      <c r="AV42" s="28">
        <f>Economic!Q44</f>
        <v>15.400000000000006</v>
      </c>
      <c r="AW42" s="28">
        <f>Economic!R44</f>
        <v>25066.79999999993</v>
      </c>
      <c r="AX42" s="28">
        <f>Economic!S44</f>
        <v>5437</v>
      </c>
      <c r="AY42" s="7">
        <f>Weather!D42</f>
        <v>15.888323907275522</v>
      </c>
      <c r="AZ42" s="7">
        <f>Weather!E42</f>
        <v>140.84469696969697</v>
      </c>
      <c r="BA42" s="7">
        <f>Weather!F42</f>
        <v>13.3827380952381</v>
      </c>
      <c r="BB42" s="7">
        <f>Weather!G42</f>
        <v>95.407196969696969</v>
      </c>
      <c r="BC42" s="7">
        <f>Weather!H42</f>
        <v>29.9452380952381</v>
      </c>
      <c r="BD42" s="7">
        <f>Weather!I42</f>
        <v>53.462500000000013</v>
      </c>
      <c r="BE42" s="7">
        <f>Weather!J42</f>
        <v>50.000541125541133</v>
      </c>
      <c r="BF42" s="7">
        <f>Weather!K42</f>
        <v>22.062500000000014</v>
      </c>
      <c r="BG42" s="7">
        <f>Weather!L42</f>
        <v>80.600541125541127</v>
      </c>
      <c r="BH42" s="7">
        <f>Weather!M42</f>
        <v>6.9291666666666698</v>
      </c>
      <c r="BI42" s="7">
        <f>Weather!N42</f>
        <v>127.46720779220779</v>
      </c>
      <c r="BJ42" s="7">
        <f>Weather!O42</f>
        <v>2.7874999999999988</v>
      </c>
      <c r="BK42" s="7">
        <f>Weather!P42</f>
        <v>185.32554112554109</v>
      </c>
      <c r="BL42" s="7">
        <f>Weather!Q42</f>
        <v>0.50416666666666554</v>
      </c>
      <c r="BM42" s="7">
        <f>Weather!R42</f>
        <v>245.04220779220779</v>
      </c>
      <c r="BN42" s="1">
        <v>0</v>
      </c>
      <c r="BO42" s="1">
        <v>0</v>
      </c>
      <c r="BP42" s="1">
        <v>0</v>
      </c>
      <c r="BQ42" s="1">
        <v>0</v>
      </c>
      <c r="BR42" s="1">
        <v>1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</v>
      </c>
      <c r="CA42" s="1">
        <v>0</v>
      </c>
      <c r="CB42" s="1">
        <v>1</v>
      </c>
      <c r="CC42" s="1">
        <f t="shared" si="9"/>
        <v>41</v>
      </c>
      <c r="CD42" s="1">
        <v>31</v>
      </c>
      <c r="CE42" s="1">
        <v>22</v>
      </c>
      <c r="CF42" s="1">
        <v>0</v>
      </c>
      <c r="CG42" s="1">
        <v>0</v>
      </c>
      <c r="CH42" s="1">
        <v>0</v>
      </c>
      <c r="CI42" s="1">
        <v>0</v>
      </c>
      <c r="CJ42" s="1">
        <f t="shared" si="12"/>
        <v>0</v>
      </c>
      <c r="CK42" s="1">
        <f t="shared" si="12"/>
        <v>0</v>
      </c>
      <c r="CL42" s="1">
        <f t="shared" si="12"/>
        <v>0</v>
      </c>
      <c r="CM42" s="1">
        <f t="shared" si="12"/>
        <v>0</v>
      </c>
      <c r="CN42" s="1">
        <f t="shared" si="12"/>
        <v>0</v>
      </c>
      <c r="CO42" s="1">
        <f t="shared" si="14"/>
        <v>0</v>
      </c>
      <c r="CP42" s="1">
        <f t="shared" si="14"/>
        <v>0</v>
      </c>
      <c r="CQ42" s="1">
        <f t="shared" si="14"/>
        <v>0</v>
      </c>
      <c r="CR42" s="1">
        <f t="shared" si="14"/>
        <v>0</v>
      </c>
      <c r="CS42" s="1">
        <f t="shared" si="14"/>
        <v>0</v>
      </c>
      <c r="CT42" s="1">
        <f t="shared" si="14"/>
        <v>0</v>
      </c>
      <c r="CU42" s="1">
        <f t="shared" si="14"/>
        <v>0</v>
      </c>
      <c r="CV42" s="1">
        <f t="shared" si="14"/>
        <v>0</v>
      </c>
      <c r="CW42" s="1">
        <f t="shared" si="14"/>
        <v>0</v>
      </c>
      <c r="CX42" s="1">
        <f t="shared" si="13"/>
        <v>0</v>
      </c>
      <c r="CY42" s="1">
        <f t="shared" si="13"/>
        <v>0</v>
      </c>
      <c r="CZ42" s="1">
        <f t="shared" si="13"/>
        <v>0</v>
      </c>
      <c r="DA42" s="1">
        <f t="shared" si="13"/>
        <v>0</v>
      </c>
      <c r="DB42" s="1">
        <f t="shared" si="13"/>
        <v>0</v>
      </c>
      <c r="DC42" s="1">
        <f t="shared" si="15"/>
        <v>0</v>
      </c>
      <c r="DD42" s="1">
        <f t="shared" si="15"/>
        <v>0</v>
      </c>
      <c r="DE42" s="1">
        <f t="shared" si="15"/>
        <v>0</v>
      </c>
      <c r="DF42" s="1">
        <f t="shared" si="15"/>
        <v>0</v>
      </c>
      <c r="DG42" s="1">
        <f t="shared" si="15"/>
        <v>0</v>
      </c>
      <c r="DH42" s="1">
        <f t="shared" si="15"/>
        <v>0</v>
      </c>
      <c r="DI42" s="1">
        <f t="shared" si="15"/>
        <v>0</v>
      </c>
      <c r="DJ42" s="1">
        <f t="shared" si="15"/>
        <v>0</v>
      </c>
      <c r="DK42" s="1">
        <f t="shared" si="15"/>
        <v>0</v>
      </c>
      <c r="DL42" s="24">
        <v>570558.992851894</v>
      </c>
      <c r="DM42" s="25">
        <v>1096.0452213191975</v>
      </c>
      <c r="DN42" s="24"/>
      <c r="DO42" s="25"/>
      <c r="DP42" s="25"/>
      <c r="DQ42" s="25"/>
      <c r="DR42" s="25"/>
      <c r="DS42" s="25"/>
      <c r="DT42" s="25"/>
      <c r="DU42" s="25"/>
      <c r="DV42" s="25"/>
    </row>
    <row r="43" spans="1:126" x14ac:dyDescent="0.25">
      <c r="A43" s="252">
        <v>43252</v>
      </c>
      <c r="B43" s="253">
        <f t="shared" si="0"/>
        <v>2018</v>
      </c>
      <c r="C43" s="253">
        <f t="shared" si="1"/>
        <v>6</v>
      </c>
      <c r="D43" s="254">
        <v>37143809.244124122</v>
      </c>
      <c r="E43" s="254">
        <f>IFERROR(VLOOKUP($B43-1,CDM!$L$7:$T$18,2,FALSE)/12,0)+IFERROR(VLOOKUP($B43,CDM!$L$36:$T$46,2,FALSE)/24,0)+IFERROR(VLOOKUP($B43,CDM!$L$36:$T$46,2,FALSE)/2*$C43/78,0)</f>
        <v>2283774.8554520654</v>
      </c>
      <c r="F43" s="254">
        <f t="shared" si="2"/>
        <v>39427584.09957619</v>
      </c>
      <c r="G43" s="255">
        <v>53773</v>
      </c>
      <c r="H43" s="254">
        <v>10206822.921257066</v>
      </c>
      <c r="I43" s="254">
        <f>IFERROR(VLOOKUP($B43-1,CDM!$L$7:$T$18,3,FALSE)/12,0)+IFERROR(VLOOKUP($B43,CDM!$L$36:$T$46,3,FALSE)/24,0)+IFERROR(VLOOKUP($B43,CDM!$L$36:$T$46,3,FALSE)/2*$C43/78,0)</f>
        <v>527820.450959726</v>
      </c>
      <c r="J43" s="254">
        <f t="shared" si="6"/>
        <v>10734643.372216791</v>
      </c>
      <c r="K43" s="256">
        <v>4160</v>
      </c>
      <c r="L43" s="4">
        <v>26404358.700618006</v>
      </c>
      <c r="M43" s="257">
        <f>IFERROR(VLOOKUP($B43-1,CDM!$L$7:$T$18,4,FALSE)/12,0)+IFERROR(VLOOKUP($B43,CDM!$L$36:$T$46,4,FALSE)/24,0)+IFERROR(VLOOKUP($B43,CDM!$L$36:$T$46,4,FALSE)/2*$C43/78,0)</f>
        <v>594460.19070636574</v>
      </c>
      <c r="N43" s="254">
        <f t="shared" si="3"/>
        <v>26998818.891324371</v>
      </c>
      <c r="O43" s="4">
        <v>74560</v>
      </c>
      <c r="P43" s="256">
        <v>521</v>
      </c>
      <c r="Q43" s="256">
        <v>6363309.0500700744</v>
      </c>
      <c r="R43" s="256">
        <f>IFERROR(VLOOKUP($B43-1,CDM!$L$7:$T$18,5,FALSE)/12,0)+IFERROR(VLOOKUP($B43,CDM!$L$36:$T$46,5,FALSE)/24,0)+IFERROR(VLOOKUP($B43,CDM!$L$36:$T$46,5,FALSE)/2*$C43/78,0)</f>
        <v>855583.52711246337</v>
      </c>
      <c r="S43" s="256">
        <f t="shared" si="7"/>
        <v>7218892.5771825379</v>
      </c>
      <c r="T43" s="256">
        <v>17159</v>
      </c>
      <c r="U43" s="256">
        <v>12</v>
      </c>
      <c r="V43" s="256">
        <v>3542268.7592087607</v>
      </c>
      <c r="W43" s="256">
        <f>IFERROR(VLOOKUP($B43-1,CDM!$L$7:$T$18,6,FALSE)/12,0)+IFERROR(VLOOKUP($B43,CDM!$L$36:$T$46,6,FALSE)/24,0)+IFERROR(VLOOKUP($B43,CDM!$L$36:$T$46,6,FALSE)/2*$C43/78,0)</f>
        <v>22795.82240918804</v>
      </c>
      <c r="X43" s="256">
        <f t="shared" si="8"/>
        <v>3565064.5816179486</v>
      </c>
      <c r="Y43" s="256">
        <v>7064</v>
      </c>
      <c r="Z43" s="256">
        <v>1</v>
      </c>
      <c r="AA43" s="4">
        <v>267609.59095657943</v>
      </c>
      <c r="AB43" s="4">
        <v>1012</v>
      </c>
      <c r="AC43" s="256">
        <v>13838</v>
      </c>
      <c r="AD43" s="256">
        <v>2134.3887087545299</v>
      </c>
      <c r="AE43" s="256">
        <v>0</v>
      </c>
      <c r="AF43" s="256">
        <v>23</v>
      </c>
      <c r="AG43" s="4">
        <v>214010.27868852459</v>
      </c>
      <c r="AH43" s="4">
        <v>248</v>
      </c>
      <c r="AI43" s="28">
        <f>Economic!H45</f>
        <v>789531.6</v>
      </c>
      <c r="AJ43" s="28">
        <f>Economic!I45</f>
        <v>608429.30000000005</v>
      </c>
      <c r="AK43" s="28">
        <f>Economic!J45</f>
        <v>57334.6</v>
      </c>
      <c r="AL43" s="28">
        <f>Economic!K45</f>
        <v>784896</v>
      </c>
      <c r="AM43" s="28">
        <f>Economic!L45</f>
        <v>604446</v>
      </c>
      <c r="AN43" s="28">
        <f>Economic!M45</f>
        <v>31589</v>
      </c>
      <c r="AO43" s="28">
        <f>Economic!D45</f>
        <v>7221.1</v>
      </c>
      <c r="AP43" s="28">
        <f>Economic!E45</f>
        <v>7264.3</v>
      </c>
      <c r="AQ43" s="28">
        <f>Economic!F45</f>
        <v>220.4</v>
      </c>
      <c r="AR43" s="28">
        <f>Economic!G45</f>
        <v>223.6</v>
      </c>
      <c r="AS43" s="28">
        <f>Economic!N45</f>
        <v>141.30000000000018</v>
      </c>
      <c r="AT43" s="28">
        <f>Economic!O45</f>
        <v>141.30000000000018</v>
      </c>
      <c r="AU43" s="28">
        <f>Economic!P45</f>
        <v>13.700000000000017</v>
      </c>
      <c r="AV43" s="28">
        <f>Economic!Q45</f>
        <v>13.799999999999983</v>
      </c>
      <c r="AW43" s="28">
        <f>Economic!R45</f>
        <v>25066.79999999993</v>
      </c>
      <c r="AX43" s="28">
        <f>Economic!S45</f>
        <v>5437</v>
      </c>
      <c r="AY43" s="7">
        <f>Weather!D43</f>
        <v>18.606464646464644</v>
      </c>
      <c r="AZ43" s="7">
        <f>Weather!E43</f>
        <v>63.468560606060585</v>
      </c>
      <c r="BA43" s="7">
        <f>Weather!F43</f>
        <v>21.662499999999998</v>
      </c>
      <c r="BB43" s="7">
        <f>Weather!G43</f>
        <v>23.060227272727261</v>
      </c>
      <c r="BC43" s="7">
        <f>Weather!H43</f>
        <v>41.254166666666663</v>
      </c>
      <c r="BD43" s="7">
        <f>Weather!I43</f>
        <v>7.645833333333325</v>
      </c>
      <c r="BE43" s="7">
        <f>Weather!J43</f>
        <v>85.839772727272717</v>
      </c>
      <c r="BF43" s="7">
        <f>Weather!K43</f>
        <v>3.3208333333333275</v>
      </c>
      <c r="BG43" s="7">
        <f>Weather!L43</f>
        <v>141.51477272727271</v>
      </c>
      <c r="BH43" s="7">
        <f>Weather!M43</f>
        <v>0</v>
      </c>
      <c r="BI43" s="7">
        <f>Weather!N43</f>
        <v>198.19393939393944</v>
      </c>
      <c r="BJ43" s="7">
        <f>Weather!O43</f>
        <v>0</v>
      </c>
      <c r="BK43" s="7">
        <f>Weather!P43</f>
        <v>258.19393939393944</v>
      </c>
      <c r="BL43" s="7">
        <f>Weather!Q43</f>
        <v>0</v>
      </c>
      <c r="BM43" s="7">
        <f>Weather!R43</f>
        <v>318.19393939393939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f t="shared" si="9"/>
        <v>42</v>
      </c>
      <c r="CD43" s="1">
        <v>30</v>
      </c>
      <c r="CE43" s="1">
        <v>21</v>
      </c>
      <c r="CF43" s="1">
        <v>0</v>
      </c>
      <c r="CG43" s="1">
        <v>0</v>
      </c>
      <c r="CH43" s="1">
        <v>0</v>
      </c>
      <c r="CI43" s="1">
        <v>0</v>
      </c>
      <c r="CJ43" s="1">
        <f t="shared" si="12"/>
        <v>0</v>
      </c>
      <c r="CK43" s="1">
        <f t="shared" si="12"/>
        <v>0</v>
      </c>
      <c r="CL43" s="1">
        <f t="shared" si="12"/>
        <v>0</v>
      </c>
      <c r="CM43" s="1">
        <f t="shared" si="12"/>
        <v>0</v>
      </c>
      <c r="CN43" s="1">
        <f t="shared" si="12"/>
        <v>0</v>
      </c>
      <c r="CO43" s="1">
        <f t="shared" si="14"/>
        <v>0</v>
      </c>
      <c r="CP43" s="1">
        <f t="shared" si="14"/>
        <v>0</v>
      </c>
      <c r="CQ43" s="1">
        <f t="shared" si="14"/>
        <v>0</v>
      </c>
      <c r="CR43" s="1">
        <f t="shared" si="14"/>
        <v>0</v>
      </c>
      <c r="CS43" s="1">
        <f t="shared" si="14"/>
        <v>0</v>
      </c>
      <c r="CT43" s="1">
        <f t="shared" si="14"/>
        <v>0</v>
      </c>
      <c r="CU43" s="1">
        <f t="shared" si="14"/>
        <v>0</v>
      </c>
      <c r="CV43" s="1">
        <f t="shared" si="14"/>
        <v>0</v>
      </c>
      <c r="CW43" s="1">
        <f t="shared" si="14"/>
        <v>0</v>
      </c>
      <c r="CX43" s="1">
        <f t="shared" si="13"/>
        <v>0</v>
      </c>
      <c r="CY43" s="1">
        <f t="shared" si="13"/>
        <v>0</v>
      </c>
      <c r="CZ43" s="1">
        <f t="shared" si="13"/>
        <v>0</v>
      </c>
      <c r="DA43" s="1">
        <f t="shared" si="13"/>
        <v>0</v>
      </c>
      <c r="DB43" s="1">
        <f t="shared" si="13"/>
        <v>0</v>
      </c>
      <c r="DC43" s="1">
        <f t="shared" si="15"/>
        <v>0</v>
      </c>
      <c r="DD43" s="1">
        <f t="shared" si="15"/>
        <v>0</v>
      </c>
      <c r="DE43" s="1">
        <f t="shared" si="15"/>
        <v>0</v>
      </c>
      <c r="DF43" s="1">
        <f t="shared" si="15"/>
        <v>0</v>
      </c>
      <c r="DG43" s="1">
        <f t="shared" si="15"/>
        <v>0</v>
      </c>
      <c r="DH43" s="1">
        <f t="shared" si="15"/>
        <v>0</v>
      </c>
      <c r="DI43" s="1">
        <f t="shared" si="15"/>
        <v>0</v>
      </c>
      <c r="DJ43" s="1">
        <f t="shared" si="15"/>
        <v>0</v>
      </c>
      <c r="DK43" s="1">
        <f t="shared" si="15"/>
        <v>0</v>
      </c>
      <c r="DL43" s="24">
        <v>587602.6475396828</v>
      </c>
      <c r="DM43" s="25">
        <v>1128.7861236770621</v>
      </c>
      <c r="DN43" s="24"/>
      <c r="DO43" s="25"/>
      <c r="DP43" s="25"/>
      <c r="DQ43" s="25"/>
      <c r="DR43" s="25"/>
      <c r="DS43" s="25"/>
      <c r="DT43" s="25"/>
      <c r="DU43" s="25"/>
      <c r="DV43" s="25"/>
    </row>
    <row r="44" spans="1:126" x14ac:dyDescent="0.25">
      <c r="A44" s="252">
        <v>43282</v>
      </c>
      <c r="B44" s="253">
        <f t="shared" si="0"/>
        <v>2018</v>
      </c>
      <c r="C44" s="253">
        <f t="shared" si="1"/>
        <v>7</v>
      </c>
      <c r="D44" s="254">
        <v>46557899.268803574</v>
      </c>
      <c r="E44" s="254">
        <f>IFERROR(VLOOKUP($B44-1,CDM!$L$7:$T$18,2,FALSE)/12,0)+IFERROR(VLOOKUP($B44,CDM!$L$36:$T$46,2,FALSE)/24,0)+IFERROR(VLOOKUP($B44,CDM!$L$36:$T$46,2,FALSE)/2*$C44/78,0)</f>
        <v>2325017.6205548975</v>
      </c>
      <c r="F44" s="254">
        <f t="shared" si="2"/>
        <v>48882916.889358468</v>
      </c>
      <c r="G44" s="255">
        <v>53843</v>
      </c>
      <c r="H44" s="254">
        <v>11728627.771998335</v>
      </c>
      <c r="I44" s="254">
        <f>IFERROR(VLOOKUP($B44-1,CDM!$L$7:$T$18,3,FALSE)/12,0)+IFERROR(VLOOKUP($B44,CDM!$L$36:$T$46,3,FALSE)/24,0)+IFERROR(VLOOKUP($B44,CDM!$L$36:$T$46,3,FALSE)/2*$C44/78,0)</f>
        <v>538633.25428786094</v>
      </c>
      <c r="J44" s="254">
        <f t="shared" si="6"/>
        <v>12267261.026286196</v>
      </c>
      <c r="K44" s="256">
        <v>4168</v>
      </c>
      <c r="L44" s="4">
        <v>28731743.312940642</v>
      </c>
      <c r="M44" s="257">
        <f>IFERROR(VLOOKUP($B44-1,CDM!$L$7:$T$18,4,FALSE)/12,0)+IFERROR(VLOOKUP($B44,CDM!$L$36:$T$46,4,FALSE)/24,0)+IFERROR(VLOOKUP($B44,CDM!$L$36:$T$46,4,FALSE)/2*$C44/78,0)</f>
        <v>609888.79957202857</v>
      </c>
      <c r="N44" s="254">
        <f t="shared" si="3"/>
        <v>29341632.11251267</v>
      </c>
      <c r="O44" s="4">
        <v>74338</v>
      </c>
      <c r="P44" s="256">
        <v>521</v>
      </c>
      <c r="Q44" s="256">
        <v>6819249.9838342695</v>
      </c>
      <c r="R44" s="256">
        <f>IFERROR(VLOOKUP($B44-1,CDM!$L$7:$T$18,5,FALSE)/12,0)+IFERROR(VLOOKUP($B44,CDM!$L$36:$T$46,5,FALSE)/24,0)+IFERROR(VLOOKUP($B44,CDM!$L$36:$T$46,5,FALSE)/2*$C44/78,0)</f>
        <v>855594.14262528392</v>
      </c>
      <c r="S44" s="256">
        <f t="shared" si="7"/>
        <v>7674844.1264595538</v>
      </c>
      <c r="T44" s="256">
        <v>17317</v>
      </c>
      <c r="U44" s="256">
        <v>12</v>
      </c>
      <c r="V44" s="256">
        <v>3944834.7222399656</v>
      </c>
      <c r="W44" s="256">
        <f>IFERROR(VLOOKUP($B44-1,CDM!$L$7:$T$18,6,FALSE)/12,0)+IFERROR(VLOOKUP($B44,CDM!$L$36:$T$46,6,FALSE)/24,0)+IFERROR(VLOOKUP($B44,CDM!$L$36:$T$46,6,FALSE)/2*$C44/78,0)</f>
        <v>23689.863701923081</v>
      </c>
      <c r="X44" s="256">
        <f t="shared" si="8"/>
        <v>3968524.5859418889</v>
      </c>
      <c r="Y44" s="256">
        <v>7648</v>
      </c>
      <c r="Z44" s="256">
        <v>1</v>
      </c>
      <c r="AA44" s="4">
        <v>285289.33186414104</v>
      </c>
      <c r="AB44" s="4">
        <v>1012</v>
      </c>
      <c r="AC44" s="256">
        <v>13895</v>
      </c>
      <c r="AD44" s="256">
        <v>2155.2736982643523</v>
      </c>
      <c r="AE44" s="256">
        <v>0</v>
      </c>
      <c r="AF44" s="256">
        <v>23</v>
      </c>
      <c r="AG44" s="4">
        <v>210418</v>
      </c>
      <c r="AH44" s="4">
        <v>248</v>
      </c>
      <c r="AI44" s="28">
        <f>Economic!H46</f>
        <v>789531.6</v>
      </c>
      <c r="AJ44" s="28">
        <f>Economic!I46</f>
        <v>608429.30000000005</v>
      </c>
      <c r="AK44" s="28">
        <f>Economic!J46</f>
        <v>57334.6</v>
      </c>
      <c r="AL44" s="28">
        <f>Economic!K46</f>
        <v>794140</v>
      </c>
      <c r="AM44" s="28">
        <f>Economic!L46</f>
        <v>611579</v>
      </c>
      <c r="AN44" s="28">
        <f>Economic!M46</f>
        <v>31769</v>
      </c>
      <c r="AO44" s="28">
        <f>Economic!D46</f>
        <v>7255</v>
      </c>
      <c r="AP44" s="28">
        <f>Economic!E46</f>
        <v>7345.7</v>
      </c>
      <c r="AQ44" s="28">
        <f>Economic!F46</f>
        <v>219.9</v>
      </c>
      <c r="AR44" s="28">
        <f>Economic!G46</f>
        <v>224.7</v>
      </c>
      <c r="AS44" s="28">
        <f>Economic!N46</f>
        <v>153.10000000000036</v>
      </c>
      <c r="AT44" s="28">
        <f>Economic!O46</f>
        <v>149.69999999999982</v>
      </c>
      <c r="AU44" s="28">
        <f>Economic!P46</f>
        <v>12.900000000000006</v>
      </c>
      <c r="AV44" s="28">
        <f>Economic!Q46</f>
        <v>14.799999999999983</v>
      </c>
      <c r="AW44" s="28">
        <f>Economic!R46</f>
        <v>25066.79999999993</v>
      </c>
      <c r="AX44" s="28">
        <f>Economic!S46</f>
        <v>9244</v>
      </c>
      <c r="AY44" s="7">
        <f>Weather!D44</f>
        <v>22.270923040260342</v>
      </c>
      <c r="AZ44" s="7">
        <f>Weather!E44</f>
        <v>4.9668995859213254</v>
      </c>
      <c r="BA44" s="7">
        <f>Weather!F44</f>
        <v>75.365513833992097</v>
      </c>
      <c r="BB44" s="7">
        <f>Weather!G44</f>
        <v>0.19999999999999574</v>
      </c>
      <c r="BC44" s="7">
        <f>Weather!H44</f>
        <v>132.59861424807079</v>
      </c>
      <c r="BD44" s="7">
        <f>Weather!I44</f>
        <v>0</v>
      </c>
      <c r="BE44" s="7">
        <f>Weather!J44</f>
        <v>194.39861424807077</v>
      </c>
      <c r="BF44" s="7">
        <f>Weather!K44</f>
        <v>0</v>
      </c>
      <c r="BG44" s="7">
        <f>Weather!L44</f>
        <v>256.39861424807077</v>
      </c>
      <c r="BH44" s="7">
        <f>Weather!M44</f>
        <v>0</v>
      </c>
      <c r="BI44" s="7">
        <f>Weather!N44</f>
        <v>318.39861424807077</v>
      </c>
      <c r="BJ44" s="7">
        <f>Weather!O44</f>
        <v>0</v>
      </c>
      <c r="BK44" s="7">
        <f>Weather!P44</f>
        <v>380.39861424807083</v>
      </c>
      <c r="BL44" s="7">
        <f>Weather!Q44</f>
        <v>0</v>
      </c>
      <c r="BM44" s="7">
        <f>Weather!R44</f>
        <v>442.39861424807088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f t="shared" si="9"/>
        <v>43</v>
      </c>
      <c r="CD44" s="1">
        <v>31</v>
      </c>
      <c r="CE44" s="1">
        <v>21</v>
      </c>
      <c r="CF44" s="1">
        <v>0</v>
      </c>
      <c r="CG44" s="1">
        <v>0</v>
      </c>
      <c r="CH44" s="1">
        <v>0</v>
      </c>
      <c r="CI44" s="1">
        <v>0</v>
      </c>
      <c r="CJ44" s="1">
        <f t="shared" si="12"/>
        <v>0</v>
      </c>
      <c r="CK44" s="1">
        <f t="shared" si="12"/>
        <v>0</v>
      </c>
      <c r="CL44" s="1">
        <f t="shared" si="12"/>
        <v>0</v>
      </c>
      <c r="CM44" s="1">
        <f t="shared" si="12"/>
        <v>0</v>
      </c>
      <c r="CN44" s="1">
        <f t="shared" si="12"/>
        <v>0</v>
      </c>
      <c r="CO44" s="1">
        <f t="shared" si="14"/>
        <v>0</v>
      </c>
      <c r="CP44" s="1">
        <f t="shared" si="14"/>
        <v>0</v>
      </c>
      <c r="CQ44" s="1">
        <f t="shared" si="14"/>
        <v>0</v>
      </c>
      <c r="CR44" s="1">
        <f t="shared" si="14"/>
        <v>0</v>
      </c>
      <c r="CS44" s="1">
        <f t="shared" si="14"/>
        <v>0</v>
      </c>
      <c r="CT44" s="1">
        <f t="shared" si="14"/>
        <v>0</v>
      </c>
      <c r="CU44" s="1">
        <f t="shared" si="14"/>
        <v>0</v>
      </c>
      <c r="CV44" s="1">
        <f t="shared" si="14"/>
        <v>0</v>
      </c>
      <c r="CW44" s="1">
        <f t="shared" si="14"/>
        <v>0</v>
      </c>
      <c r="CX44" s="1">
        <f t="shared" si="13"/>
        <v>0</v>
      </c>
      <c r="CY44" s="1">
        <f t="shared" si="13"/>
        <v>0</v>
      </c>
      <c r="CZ44" s="1">
        <f t="shared" si="13"/>
        <v>0</v>
      </c>
      <c r="DA44" s="1">
        <f t="shared" si="13"/>
        <v>0</v>
      </c>
      <c r="DB44" s="1">
        <f t="shared" si="13"/>
        <v>0</v>
      </c>
      <c r="DC44" s="1">
        <f t="shared" si="15"/>
        <v>0</v>
      </c>
      <c r="DD44" s="1">
        <f t="shared" si="15"/>
        <v>0</v>
      </c>
      <c r="DE44" s="1">
        <f t="shared" si="15"/>
        <v>0</v>
      </c>
      <c r="DF44" s="1">
        <f t="shared" si="15"/>
        <v>0</v>
      </c>
      <c r="DG44" s="1">
        <f t="shared" si="15"/>
        <v>0</v>
      </c>
      <c r="DH44" s="1">
        <f t="shared" si="15"/>
        <v>0</v>
      </c>
      <c r="DI44" s="1">
        <f t="shared" si="15"/>
        <v>0</v>
      </c>
      <c r="DJ44" s="1">
        <f t="shared" si="15"/>
        <v>0</v>
      </c>
      <c r="DK44" s="1">
        <f t="shared" si="15"/>
        <v>0</v>
      </c>
      <c r="DL44" s="24">
        <v>639733.63662305695</v>
      </c>
      <c r="DM44" s="25">
        <v>1228.9298812609643</v>
      </c>
      <c r="DN44" s="24"/>
      <c r="DO44" s="25"/>
      <c r="DP44" s="25"/>
      <c r="DQ44" s="25"/>
      <c r="DR44" s="25"/>
      <c r="DS44" s="25"/>
      <c r="DT44" s="25"/>
      <c r="DU44" s="25"/>
      <c r="DV44" s="25"/>
    </row>
    <row r="45" spans="1:126" x14ac:dyDescent="0.25">
      <c r="A45" s="252">
        <v>43313</v>
      </c>
      <c r="B45" s="253">
        <f t="shared" si="0"/>
        <v>2018</v>
      </c>
      <c r="C45" s="253">
        <f t="shared" si="1"/>
        <v>8</v>
      </c>
      <c r="D45" s="254">
        <v>48985491.792184487</v>
      </c>
      <c r="E45" s="254">
        <f>IFERROR(VLOOKUP($B45-1,CDM!$L$7:$T$18,2,FALSE)/12,0)+IFERROR(VLOOKUP($B45,CDM!$L$36:$T$46,2,FALSE)/24,0)+IFERROR(VLOOKUP($B45,CDM!$L$36:$T$46,2,FALSE)/2*$C45/78,0)</f>
        <v>2366260.3856577296</v>
      </c>
      <c r="F45" s="254">
        <f t="shared" si="2"/>
        <v>51351752.177842215</v>
      </c>
      <c r="G45" s="255">
        <v>54153</v>
      </c>
      <c r="H45" s="254">
        <v>12155213.527342433</v>
      </c>
      <c r="I45" s="254">
        <f>IFERROR(VLOOKUP($B45-1,CDM!$L$7:$T$18,3,FALSE)/12,0)+IFERROR(VLOOKUP($B45,CDM!$L$36:$T$46,3,FALSE)/24,0)+IFERROR(VLOOKUP($B45,CDM!$L$36:$T$46,3,FALSE)/2*$C45/78,0)</f>
        <v>549446.05761599587</v>
      </c>
      <c r="J45" s="254">
        <f t="shared" si="6"/>
        <v>12704659.584958429</v>
      </c>
      <c r="K45" s="256">
        <v>4184</v>
      </c>
      <c r="L45" s="4">
        <v>25744132.989959773</v>
      </c>
      <c r="M45" s="257">
        <f>IFERROR(VLOOKUP($B45-1,CDM!$L$7:$T$18,4,FALSE)/12,0)+IFERROR(VLOOKUP($B45,CDM!$L$36:$T$46,4,FALSE)/24,0)+IFERROR(VLOOKUP($B45,CDM!$L$36:$T$46,4,FALSE)/2*$C45/78,0)</f>
        <v>625317.4084376914</v>
      </c>
      <c r="N45" s="254">
        <f t="shared" si="3"/>
        <v>26369450.398397464</v>
      </c>
      <c r="O45" s="4">
        <v>70604</v>
      </c>
      <c r="P45" s="256">
        <v>522</v>
      </c>
      <c r="Q45" s="256">
        <v>7703736.5202633347</v>
      </c>
      <c r="R45" s="256">
        <f>IFERROR(VLOOKUP($B45-1,CDM!$L$7:$T$18,5,FALSE)/12,0)+IFERROR(VLOOKUP($B45,CDM!$L$36:$T$46,5,FALSE)/24,0)+IFERROR(VLOOKUP($B45,CDM!$L$36:$T$46,5,FALSE)/2*$C45/78,0)</f>
        <v>855604.75813810446</v>
      </c>
      <c r="S45" s="256">
        <f t="shared" si="7"/>
        <v>8559341.27840144</v>
      </c>
      <c r="T45" s="256">
        <v>18310</v>
      </c>
      <c r="U45" s="256">
        <v>13</v>
      </c>
      <c r="V45" s="256">
        <v>4464883.9792863484</v>
      </c>
      <c r="W45" s="256">
        <f>IFERROR(VLOOKUP($B45-1,CDM!$L$7:$T$18,6,FALSE)/12,0)+IFERROR(VLOOKUP($B45,CDM!$L$36:$T$46,6,FALSE)/24,0)+IFERROR(VLOOKUP($B45,CDM!$L$36:$T$46,6,FALSE)/2*$C45/78,0)</f>
        <v>24583.904994658125</v>
      </c>
      <c r="X45" s="256">
        <f t="shared" si="8"/>
        <v>4489467.8842810066</v>
      </c>
      <c r="Y45" s="256">
        <v>9061</v>
      </c>
      <c r="Z45" s="256">
        <v>1</v>
      </c>
      <c r="AA45" s="4">
        <v>274173.35616859543</v>
      </c>
      <c r="AB45" s="4">
        <v>1012</v>
      </c>
      <c r="AC45" s="256">
        <v>13895</v>
      </c>
      <c r="AD45" s="256">
        <v>2179.9923707800881</v>
      </c>
      <c r="AE45" s="256">
        <v>0</v>
      </c>
      <c r="AF45" s="256">
        <v>23</v>
      </c>
      <c r="AG45" s="4">
        <v>210418</v>
      </c>
      <c r="AH45" s="4">
        <v>248</v>
      </c>
      <c r="AI45" s="28">
        <f>Economic!H47</f>
        <v>789531.6</v>
      </c>
      <c r="AJ45" s="28">
        <f>Economic!I47</f>
        <v>608429.30000000005</v>
      </c>
      <c r="AK45" s="28">
        <f>Economic!J47</f>
        <v>57334.6</v>
      </c>
      <c r="AL45" s="28">
        <f>Economic!K47</f>
        <v>794140</v>
      </c>
      <c r="AM45" s="28">
        <f>Economic!L47</f>
        <v>611579</v>
      </c>
      <c r="AN45" s="28">
        <f>Economic!M47</f>
        <v>31769</v>
      </c>
      <c r="AO45" s="28">
        <f>Economic!D47</f>
        <v>7266.2</v>
      </c>
      <c r="AP45" s="28">
        <f>Economic!E47</f>
        <v>7359.5</v>
      </c>
      <c r="AQ45" s="28">
        <f>Economic!F47</f>
        <v>218.3</v>
      </c>
      <c r="AR45" s="28">
        <f>Economic!G47</f>
        <v>221.7</v>
      </c>
      <c r="AS45" s="28">
        <f>Economic!N47</f>
        <v>145.09999999999945</v>
      </c>
      <c r="AT45" s="28">
        <f>Economic!O47</f>
        <v>142.80000000000018</v>
      </c>
      <c r="AU45" s="28">
        <f>Economic!P47</f>
        <v>10.200000000000017</v>
      </c>
      <c r="AV45" s="28">
        <f>Economic!Q47</f>
        <v>11.699999999999989</v>
      </c>
      <c r="AW45" s="28">
        <f>Economic!R47</f>
        <v>25066.79999999993</v>
      </c>
      <c r="AX45" s="28">
        <f>Economic!S47</f>
        <v>9244</v>
      </c>
      <c r="AY45" s="7">
        <f>Weather!D45</f>
        <v>22.136962365591401</v>
      </c>
      <c r="AZ45" s="7">
        <f>Weather!E45</f>
        <v>7.2291666666666679</v>
      </c>
      <c r="BA45" s="7">
        <f>Weather!F45</f>
        <v>73.474999999999994</v>
      </c>
      <c r="BB45" s="7">
        <f>Weather!G45</f>
        <v>0.90833333333333144</v>
      </c>
      <c r="BC45" s="7">
        <f>Weather!H45</f>
        <v>129.1541666666667</v>
      </c>
      <c r="BD45" s="7">
        <f>Weather!I45</f>
        <v>0</v>
      </c>
      <c r="BE45" s="7">
        <f>Weather!J45</f>
        <v>190.24583333333339</v>
      </c>
      <c r="BF45" s="7">
        <f>Weather!K45</f>
        <v>0</v>
      </c>
      <c r="BG45" s="7">
        <f>Weather!L45</f>
        <v>252.24583333333339</v>
      </c>
      <c r="BH45" s="7">
        <f>Weather!M45</f>
        <v>0</v>
      </c>
      <c r="BI45" s="7">
        <f>Weather!N45</f>
        <v>314.24583333333334</v>
      </c>
      <c r="BJ45" s="7">
        <f>Weather!O45</f>
        <v>0</v>
      </c>
      <c r="BK45" s="7">
        <f>Weather!P45</f>
        <v>376.24583333333334</v>
      </c>
      <c r="BL45" s="7">
        <f>Weather!Q45</f>
        <v>0</v>
      </c>
      <c r="BM45" s="7">
        <f>Weather!R45</f>
        <v>438.24583333333322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f t="shared" si="9"/>
        <v>44</v>
      </c>
      <c r="CD45" s="1">
        <v>31</v>
      </c>
      <c r="CE45" s="1">
        <v>22</v>
      </c>
      <c r="CF45" s="1">
        <v>0</v>
      </c>
      <c r="CG45" s="1">
        <v>0</v>
      </c>
      <c r="CH45" s="1">
        <v>0</v>
      </c>
      <c r="CI45" s="1">
        <v>0</v>
      </c>
      <c r="CJ45" s="1">
        <f t="shared" si="12"/>
        <v>0</v>
      </c>
      <c r="CK45" s="1">
        <f t="shared" si="12"/>
        <v>0</v>
      </c>
      <c r="CL45" s="1">
        <f t="shared" si="12"/>
        <v>0</v>
      </c>
      <c r="CM45" s="1">
        <f t="shared" si="12"/>
        <v>0</v>
      </c>
      <c r="CN45" s="1">
        <f t="shared" si="12"/>
        <v>0</v>
      </c>
      <c r="CO45" s="1">
        <f t="shared" si="14"/>
        <v>0</v>
      </c>
      <c r="CP45" s="1">
        <f t="shared" si="14"/>
        <v>0</v>
      </c>
      <c r="CQ45" s="1">
        <f t="shared" si="14"/>
        <v>0</v>
      </c>
      <c r="CR45" s="1">
        <f t="shared" si="14"/>
        <v>0</v>
      </c>
      <c r="CS45" s="1">
        <f t="shared" si="14"/>
        <v>0</v>
      </c>
      <c r="CT45" s="1">
        <f t="shared" si="14"/>
        <v>0</v>
      </c>
      <c r="CU45" s="1">
        <f t="shared" si="14"/>
        <v>0</v>
      </c>
      <c r="CV45" s="1">
        <f t="shared" si="14"/>
        <v>0</v>
      </c>
      <c r="CW45" s="1">
        <f t="shared" si="14"/>
        <v>0</v>
      </c>
      <c r="CX45" s="1">
        <f t="shared" si="13"/>
        <v>0</v>
      </c>
      <c r="CY45" s="1">
        <f t="shared" si="13"/>
        <v>0</v>
      </c>
      <c r="CZ45" s="1">
        <f t="shared" si="13"/>
        <v>0</v>
      </c>
      <c r="DA45" s="1">
        <f t="shared" si="13"/>
        <v>0</v>
      </c>
      <c r="DB45" s="1">
        <f t="shared" si="13"/>
        <v>0</v>
      </c>
      <c r="DC45" s="1">
        <f t="shared" si="15"/>
        <v>0</v>
      </c>
      <c r="DD45" s="1">
        <f t="shared" si="15"/>
        <v>0</v>
      </c>
      <c r="DE45" s="1">
        <f t="shared" si="15"/>
        <v>0</v>
      </c>
      <c r="DF45" s="1">
        <f t="shared" si="15"/>
        <v>0</v>
      </c>
      <c r="DG45" s="1">
        <f t="shared" si="15"/>
        <v>0</v>
      </c>
      <c r="DH45" s="1">
        <f t="shared" si="15"/>
        <v>0</v>
      </c>
      <c r="DI45" s="1">
        <f t="shared" si="15"/>
        <v>0</v>
      </c>
      <c r="DJ45" s="1">
        <f t="shared" si="15"/>
        <v>0</v>
      </c>
      <c r="DK45" s="1">
        <f t="shared" si="15"/>
        <v>0</v>
      </c>
      <c r="DL45" s="24">
        <v>678104.81810003193</v>
      </c>
      <c r="DM45" s="25">
        <v>1302.6410147653082</v>
      </c>
      <c r="DN45" s="24"/>
      <c r="DO45" s="25"/>
      <c r="DP45" s="25"/>
      <c r="DQ45" s="25"/>
      <c r="DR45" s="25"/>
      <c r="DS45" s="25"/>
      <c r="DT45" s="25"/>
      <c r="DU45" s="25"/>
      <c r="DV45" s="25"/>
    </row>
    <row r="46" spans="1:126" x14ac:dyDescent="0.25">
      <c r="A46" s="252">
        <v>43344</v>
      </c>
      <c r="B46" s="253">
        <f t="shared" si="0"/>
        <v>2018</v>
      </c>
      <c r="C46" s="253">
        <f t="shared" si="1"/>
        <v>9</v>
      </c>
      <c r="D46" s="254">
        <v>42687286.884268224</v>
      </c>
      <c r="E46" s="254">
        <f>IFERROR(VLOOKUP($B46-1,CDM!$L$7:$T$18,2,FALSE)/12,0)+IFERROR(VLOOKUP($B46,CDM!$L$36:$T$46,2,FALSE)/24,0)+IFERROR(VLOOKUP($B46,CDM!$L$36:$T$46,2,FALSE)/2*$C46/78,0)</f>
        <v>2407503.1507605612</v>
      </c>
      <c r="F46" s="254">
        <f t="shared" si="2"/>
        <v>45094790.035028785</v>
      </c>
      <c r="G46" s="255">
        <v>54087</v>
      </c>
      <c r="H46" s="254">
        <v>10619042.298746258</v>
      </c>
      <c r="I46" s="254">
        <f>IFERROR(VLOOKUP($B46-1,CDM!$L$7:$T$18,3,FALSE)/12,0)+IFERROR(VLOOKUP($B46,CDM!$L$36:$T$46,3,FALSE)/24,0)+IFERROR(VLOOKUP($B46,CDM!$L$36:$T$46,3,FALSE)/2*$C46/78,0)</f>
        <v>560258.86094413092</v>
      </c>
      <c r="J46" s="254">
        <f t="shared" si="6"/>
        <v>11179301.159690389</v>
      </c>
      <c r="K46" s="256">
        <v>4221</v>
      </c>
      <c r="L46" s="4">
        <v>24577708.815642342</v>
      </c>
      <c r="M46" s="257">
        <f>IFERROR(VLOOKUP($B46-1,CDM!$L$7:$T$18,4,FALSE)/12,0)+IFERROR(VLOOKUP($B46,CDM!$L$36:$T$46,4,FALSE)/24,0)+IFERROR(VLOOKUP($B46,CDM!$L$36:$T$46,4,FALSE)/2*$C46/78,0)</f>
        <v>640746.01730335422</v>
      </c>
      <c r="N46" s="254">
        <f t="shared" si="3"/>
        <v>25218454.832945697</v>
      </c>
      <c r="O46" s="4">
        <v>71965</v>
      </c>
      <c r="P46" s="256">
        <v>490</v>
      </c>
      <c r="Q46" s="256">
        <v>7008020.1080489168</v>
      </c>
      <c r="R46" s="256">
        <f>IFERROR(VLOOKUP($B46-1,CDM!$L$7:$T$18,5,FALSE)/12,0)+IFERROR(VLOOKUP($B46,CDM!$L$36:$T$46,5,FALSE)/24,0)+IFERROR(VLOOKUP($B46,CDM!$L$36:$T$46,5,FALSE)/2*$C46/78,0)</f>
        <v>855615.37365092488</v>
      </c>
      <c r="S46" s="256">
        <f t="shared" si="7"/>
        <v>7863635.481699842</v>
      </c>
      <c r="T46" s="256">
        <v>17872</v>
      </c>
      <c r="U46" s="256">
        <v>13</v>
      </c>
      <c r="V46" s="256">
        <v>4269800.7918802854</v>
      </c>
      <c r="W46" s="256">
        <f>IFERROR(VLOOKUP($B46-1,CDM!$L$7:$T$18,6,FALSE)/12,0)+IFERROR(VLOOKUP($B46,CDM!$L$36:$T$46,6,FALSE)/24,0)+IFERROR(VLOOKUP($B46,CDM!$L$36:$T$46,6,FALSE)/2*$C46/78,0)</f>
        <v>25477.94628739317</v>
      </c>
      <c r="X46" s="256">
        <f t="shared" si="8"/>
        <v>4295278.7381676789</v>
      </c>
      <c r="Y46" s="256">
        <v>9155</v>
      </c>
      <c r="Z46" s="256">
        <v>1</v>
      </c>
      <c r="AA46" s="4">
        <v>290903.62771107029</v>
      </c>
      <c r="AB46" s="4">
        <v>1012</v>
      </c>
      <c r="AC46" s="256">
        <v>13895</v>
      </c>
      <c r="AD46" s="256">
        <v>2134.3887087545299</v>
      </c>
      <c r="AE46" s="256">
        <v>0</v>
      </c>
      <c r="AF46" s="256">
        <v>23</v>
      </c>
      <c r="AG46" s="4">
        <v>210418</v>
      </c>
      <c r="AH46" s="4">
        <v>249</v>
      </c>
      <c r="AI46" s="28">
        <f>Economic!H48</f>
        <v>789531.6</v>
      </c>
      <c r="AJ46" s="28">
        <f>Economic!I48</f>
        <v>608429.30000000005</v>
      </c>
      <c r="AK46" s="28">
        <f>Economic!J48</f>
        <v>57334.6</v>
      </c>
      <c r="AL46" s="28">
        <f>Economic!K48</f>
        <v>794140</v>
      </c>
      <c r="AM46" s="28">
        <f>Economic!L48</f>
        <v>611579</v>
      </c>
      <c r="AN46" s="28">
        <f>Economic!M48</f>
        <v>31769</v>
      </c>
      <c r="AO46" s="28">
        <f>Economic!D48</f>
        <v>7279.6</v>
      </c>
      <c r="AP46" s="28">
        <f>Economic!E48</f>
        <v>7324.4</v>
      </c>
      <c r="AQ46" s="28">
        <f>Economic!F48</f>
        <v>216.6</v>
      </c>
      <c r="AR46" s="28">
        <f>Economic!G48</f>
        <v>217.3</v>
      </c>
      <c r="AS46" s="28">
        <f>Economic!N48</f>
        <v>134.80000000000018</v>
      </c>
      <c r="AT46" s="28">
        <f>Economic!O48</f>
        <v>131</v>
      </c>
      <c r="AU46" s="28">
        <f>Economic!P48</f>
        <v>8.5</v>
      </c>
      <c r="AV46" s="28">
        <f>Economic!Q48</f>
        <v>9.6000000000000227</v>
      </c>
      <c r="AW46" s="28">
        <f>Economic!R48</f>
        <v>25066.79999999993</v>
      </c>
      <c r="AX46" s="28">
        <f>Economic!S48</f>
        <v>9244</v>
      </c>
      <c r="AY46" s="7">
        <f>Weather!D46</f>
        <v>18.045555555555556</v>
      </c>
      <c r="AZ46" s="7">
        <f>Weather!E46</f>
        <v>92.370833333333337</v>
      </c>
      <c r="BA46" s="7">
        <f>Weather!F46</f>
        <v>33.737500000000011</v>
      </c>
      <c r="BB46" s="7">
        <f>Weather!G46</f>
        <v>59.1875</v>
      </c>
      <c r="BC46" s="7">
        <f>Weather!H46</f>
        <v>60.55416666666666</v>
      </c>
      <c r="BD46" s="7">
        <f>Weather!I46</f>
        <v>33.279166666666669</v>
      </c>
      <c r="BE46" s="7">
        <f>Weather!J46</f>
        <v>94.645833333333329</v>
      </c>
      <c r="BF46" s="7">
        <f>Weather!K46</f>
        <v>13.695833333333338</v>
      </c>
      <c r="BG46" s="7">
        <f>Weather!L46</f>
        <v>135.06250000000003</v>
      </c>
      <c r="BH46" s="7">
        <f>Weather!M46</f>
        <v>2.1166666666666636</v>
      </c>
      <c r="BI46" s="7">
        <f>Weather!N46</f>
        <v>183.48333333333329</v>
      </c>
      <c r="BJ46" s="7">
        <f>Weather!O46</f>
        <v>0</v>
      </c>
      <c r="BK46" s="7">
        <f>Weather!P46</f>
        <v>241.36666666666665</v>
      </c>
      <c r="BL46" s="7">
        <f>Weather!Q46</f>
        <v>0</v>
      </c>
      <c r="BM46" s="7">
        <f>Weather!R46</f>
        <v>301.3666666666665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1</v>
      </c>
      <c r="CB46" s="1">
        <v>1</v>
      </c>
      <c r="CC46" s="1">
        <f t="shared" si="9"/>
        <v>45</v>
      </c>
      <c r="CD46" s="1">
        <v>30</v>
      </c>
      <c r="CE46" s="1">
        <v>19</v>
      </c>
      <c r="CF46" s="1">
        <v>0</v>
      </c>
      <c r="CG46" s="1">
        <v>0</v>
      </c>
      <c r="CH46" s="1">
        <v>0</v>
      </c>
      <c r="CI46" s="1">
        <v>0</v>
      </c>
      <c r="CJ46" s="1">
        <f t="shared" si="12"/>
        <v>0</v>
      </c>
      <c r="CK46" s="1">
        <f t="shared" si="12"/>
        <v>0</v>
      </c>
      <c r="CL46" s="1">
        <f t="shared" si="12"/>
        <v>0</v>
      </c>
      <c r="CM46" s="1">
        <f t="shared" si="12"/>
        <v>0</v>
      </c>
      <c r="CN46" s="1">
        <f t="shared" si="12"/>
        <v>0</v>
      </c>
      <c r="CO46" s="1">
        <f t="shared" si="14"/>
        <v>0</v>
      </c>
      <c r="CP46" s="1">
        <f t="shared" si="14"/>
        <v>0</v>
      </c>
      <c r="CQ46" s="1">
        <f t="shared" si="14"/>
        <v>0</v>
      </c>
      <c r="CR46" s="1">
        <f t="shared" si="14"/>
        <v>0</v>
      </c>
      <c r="CS46" s="1">
        <f t="shared" si="14"/>
        <v>0</v>
      </c>
      <c r="CT46" s="1">
        <f t="shared" si="14"/>
        <v>0</v>
      </c>
      <c r="CU46" s="1">
        <f t="shared" si="14"/>
        <v>0</v>
      </c>
      <c r="CV46" s="1">
        <f t="shared" si="14"/>
        <v>0</v>
      </c>
      <c r="CW46" s="1">
        <f t="shared" si="14"/>
        <v>0</v>
      </c>
      <c r="CX46" s="1">
        <f t="shared" si="13"/>
        <v>0</v>
      </c>
      <c r="CY46" s="1">
        <f t="shared" si="13"/>
        <v>0</v>
      </c>
      <c r="CZ46" s="1">
        <f t="shared" si="13"/>
        <v>0</v>
      </c>
      <c r="DA46" s="1">
        <f t="shared" si="13"/>
        <v>0</v>
      </c>
      <c r="DB46" s="1">
        <f t="shared" si="13"/>
        <v>0</v>
      </c>
      <c r="DC46" s="1">
        <f t="shared" si="15"/>
        <v>0</v>
      </c>
      <c r="DD46" s="1">
        <f t="shared" si="15"/>
        <v>0</v>
      </c>
      <c r="DE46" s="1">
        <f t="shared" si="15"/>
        <v>0</v>
      </c>
      <c r="DF46" s="1">
        <f t="shared" si="15"/>
        <v>0</v>
      </c>
      <c r="DG46" s="1">
        <f t="shared" si="15"/>
        <v>0</v>
      </c>
      <c r="DH46" s="1">
        <f t="shared" si="15"/>
        <v>0</v>
      </c>
      <c r="DI46" s="1">
        <f t="shared" si="15"/>
        <v>0</v>
      </c>
      <c r="DJ46" s="1">
        <f t="shared" si="15"/>
        <v>0</v>
      </c>
      <c r="DK46" s="1">
        <f t="shared" si="15"/>
        <v>0</v>
      </c>
      <c r="DL46" s="24">
        <v>630598.39004437334</v>
      </c>
      <c r="DM46" s="25">
        <v>1211.3810502310803</v>
      </c>
      <c r="DN46" s="24"/>
      <c r="DO46" s="25"/>
      <c r="DP46" s="25"/>
      <c r="DQ46" s="25"/>
      <c r="DR46" s="25"/>
      <c r="DS46" s="25"/>
      <c r="DT46" s="25"/>
      <c r="DU46" s="25"/>
      <c r="DV46" s="25"/>
    </row>
    <row r="47" spans="1:126" x14ac:dyDescent="0.25">
      <c r="A47" s="252">
        <v>43374</v>
      </c>
      <c r="B47" s="253">
        <f t="shared" si="0"/>
        <v>2018</v>
      </c>
      <c r="C47" s="253">
        <f t="shared" si="1"/>
        <v>10</v>
      </c>
      <c r="D47" s="254">
        <v>32423829.897117812</v>
      </c>
      <c r="E47" s="254">
        <f>IFERROR(VLOOKUP($B47-1,CDM!$L$7:$T$18,2,FALSE)/12,0)+IFERROR(VLOOKUP($B47,CDM!$L$36:$T$46,2,FALSE)/24,0)+IFERROR(VLOOKUP($B47,CDM!$L$36:$T$46,2,FALSE)/2*$C47/78,0)</f>
        <v>2448745.9158633933</v>
      </c>
      <c r="F47" s="254">
        <f t="shared" si="2"/>
        <v>34872575.812981203</v>
      </c>
      <c r="G47" s="255">
        <v>54386</v>
      </c>
      <c r="H47" s="254">
        <v>10446929.600252006</v>
      </c>
      <c r="I47" s="254">
        <f>IFERROR(VLOOKUP($B47-1,CDM!$L$7:$T$18,3,FALSE)/12,0)+IFERROR(VLOOKUP($B47,CDM!$L$36:$T$46,3,FALSE)/24,0)+IFERROR(VLOOKUP($B47,CDM!$L$36:$T$46,3,FALSE)/2*$C47/78,0)</f>
        <v>571071.66427226586</v>
      </c>
      <c r="J47" s="254">
        <f t="shared" si="6"/>
        <v>11018001.264524272</v>
      </c>
      <c r="K47" s="256">
        <v>4238</v>
      </c>
      <c r="L47" s="4">
        <v>24711135.025222406</v>
      </c>
      <c r="M47" s="257">
        <f>IFERROR(VLOOKUP($B47-1,CDM!$L$7:$T$18,4,FALSE)/12,0)+IFERROR(VLOOKUP($B47,CDM!$L$36:$T$46,4,FALSE)/24,0)+IFERROR(VLOOKUP($B47,CDM!$L$36:$T$46,4,FALSE)/2*$C47/78,0)</f>
        <v>656174.62616901705</v>
      </c>
      <c r="N47" s="254">
        <f t="shared" si="3"/>
        <v>25367309.651391424</v>
      </c>
      <c r="O47" s="4">
        <v>69051</v>
      </c>
      <c r="P47" s="256">
        <v>476</v>
      </c>
      <c r="Q47" s="256">
        <v>6383879.6242110515</v>
      </c>
      <c r="R47" s="256">
        <f>IFERROR(VLOOKUP($B47-1,CDM!$L$7:$T$18,5,FALSE)/12,0)+IFERROR(VLOOKUP($B47,CDM!$L$36:$T$46,5,FALSE)/24,0)+IFERROR(VLOOKUP($B47,CDM!$L$36:$T$46,5,FALSE)/2*$C47/78,0)</f>
        <v>855625.98916374543</v>
      </c>
      <c r="S47" s="256">
        <f t="shared" si="7"/>
        <v>7239505.6133747967</v>
      </c>
      <c r="T47" s="256">
        <v>16248</v>
      </c>
      <c r="U47" s="256">
        <v>13</v>
      </c>
      <c r="V47" s="256">
        <v>3882440.9348609606</v>
      </c>
      <c r="W47" s="256">
        <f>IFERROR(VLOOKUP($B47-1,CDM!$L$7:$T$18,6,FALSE)/12,0)+IFERROR(VLOOKUP($B47,CDM!$L$36:$T$46,6,FALSE)/24,0)+IFERROR(VLOOKUP($B47,CDM!$L$36:$T$46,6,FALSE)/2*$C47/78,0)</f>
        <v>26371.987580128211</v>
      </c>
      <c r="X47" s="256">
        <f t="shared" si="8"/>
        <v>3908812.9224410886</v>
      </c>
      <c r="Y47" s="256">
        <v>8030</v>
      </c>
      <c r="Z47" s="256">
        <v>1</v>
      </c>
      <c r="AA47" s="4">
        <v>402749.75975969207</v>
      </c>
      <c r="AB47" s="4">
        <v>1013</v>
      </c>
      <c r="AC47" s="256">
        <v>13895</v>
      </c>
      <c r="AD47" s="256">
        <v>2155.2736982643528</v>
      </c>
      <c r="AE47" s="256">
        <v>0</v>
      </c>
      <c r="AF47" s="256">
        <v>23</v>
      </c>
      <c r="AG47" s="4">
        <v>210615</v>
      </c>
      <c r="AH47" s="4">
        <v>249</v>
      </c>
      <c r="AI47" s="28">
        <f>Economic!H49</f>
        <v>789531.6</v>
      </c>
      <c r="AJ47" s="28">
        <f>Economic!I49</f>
        <v>608429.30000000005</v>
      </c>
      <c r="AK47" s="28">
        <f>Economic!J49</f>
        <v>57334.6</v>
      </c>
      <c r="AL47" s="28">
        <f>Economic!K49</f>
        <v>799632</v>
      </c>
      <c r="AM47" s="28">
        <f>Economic!L49</f>
        <v>617505</v>
      </c>
      <c r="AN47" s="28">
        <f>Economic!M49</f>
        <v>31552</v>
      </c>
      <c r="AO47" s="28">
        <f>Economic!D49</f>
        <v>7270.3</v>
      </c>
      <c r="AP47" s="28">
        <f>Economic!E49</f>
        <v>7290.6</v>
      </c>
      <c r="AQ47" s="28">
        <f>Economic!F49</f>
        <v>215.2</v>
      </c>
      <c r="AR47" s="28">
        <f>Economic!G49</f>
        <v>214</v>
      </c>
      <c r="AS47" s="28">
        <f>Economic!N49</f>
        <v>109.30000000000018</v>
      </c>
      <c r="AT47" s="28">
        <f>Economic!O49</f>
        <v>105.40000000000055</v>
      </c>
      <c r="AU47" s="28">
        <f>Economic!P49</f>
        <v>5.2999999999999829</v>
      </c>
      <c r="AV47" s="28">
        <f>Economic!Q49</f>
        <v>5.1999999999999886</v>
      </c>
      <c r="AW47" s="28">
        <f>Economic!R49</f>
        <v>25066.79999999993</v>
      </c>
      <c r="AX47" s="28">
        <f>Economic!S49</f>
        <v>5492</v>
      </c>
      <c r="AY47" s="7">
        <f>Weather!D47</f>
        <v>8.2325268817204318</v>
      </c>
      <c r="AZ47" s="7">
        <f>Weather!E47</f>
        <v>364.80833333333339</v>
      </c>
      <c r="BA47" s="7">
        <f>Weather!F47</f>
        <v>1.6666666666665719E-2</v>
      </c>
      <c r="BB47" s="7">
        <f>Weather!G47</f>
        <v>305.10000000000002</v>
      </c>
      <c r="BC47" s="7">
        <f>Weather!H47</f>
        <v>2.30833333333333</v>
      </c>
      <c r="BD47" s="7">
        <f>Weather!I47</f>
        <v>248.88749999999993</v>
      </c>
      <c r="BE47" s="7">
        <f>Weather!J47</f>
        <v>8.0958333333333314</v>
      </c>
      <c r="BF47" s="7">
        <f>Weather!K47</f>
        <v>194.17916666666662</v>
      </c>
      <c r="BG47" s="7">
        <f>Weather!L47</f>
        <v>15.387500000000001</v>
      </c>
      <c r="BH47" s="7">
        <f>Weather!M47</f>
        <v>142.14999999999998</v>
      </c>
      <c r="BI47" s="7">
        <f>Weather!N47</f>
        <v>25.358333333333334</v>
      </c>
      <c r="BJ47" s="7">
        <f>Weather!O47</f>
        <v>96.316666666666663</v>
      </c>
      <c r="BK47" s="7">
        <f>Weather!P47</f>
        <v>41.524999999999999</v>
      </c>
      <c r="BL47" s="7">
        <f>Weather!Q47</f>
        <v>55.56666666666667</v>
      </c>
      <c r="BM47" s="7">
        <f>Weather!R47</f>
        <v>62.774999999999991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1</v>
      </c>
      <c r="CB47" s="1">
        <v>1</v>
      </c>
      <c r="CC47" s="1">
        <f t="shared" si="9"/>
        <v>46</v>
      </c>
      <c r="CD47" s="1">
        <v>31</v>
      </c>
      <c r="CE47" s="1">
        <v>22</v>
      </c>
      <c r="CF47" s="1">
        <v>0</v>
      </c>
      <c r="CG47" s="1">
        <v>0</v>
      </c>
      <c r="CH47" s="1">
        <v>0</v>
      </c>
      <c r="CI47" s="1">
        <v>0</v>
      </c>
      <c r="CJ47" s="1">
        <f t="shared" si="12"/>
        <v>0</v>
      </c>
      <c r="CK47" s="1">
        <f t="shared" si="12"/>
        <v>0</v>
      </c>
      <c r="CL47" s="1">
        <f t="shared" si="12"/>
        <v>0</v>
      </c>
      <c r="CM47" s="1">
        <f t="shared" si="12"/>
        <v>0</v>
      </c>
      <c r="CN47" s="1">
        <f t="shared" si="12"/>
        <v>0</v>
      </c>
      <c r="CO47" s="1">
        <f t="shared" si="14"/>
        <v>0</v>
      </c>
      <c r="CP47" s="1">
        <f t="shared" si="14"/>
        <v>0</v>
      </c>
      <c r="CQ47" s="1">
        <f t="shared" si="14"/>
        <v>0</v>
      </c>
      <c r="CR47" s="1">
        <f t="shared" si="14"/>
        <v>0</v>
      </c>
      <c r="CS47" s="1">
        <f t="shared" si="14"/>
        <v>0</v>
      </c>
      <c r="CT47" s="1">
        <f t="shared" si="14"/>
        <v>0</v>
      </c>
      <c r="CU47" s="1">
        <f t="shared" si="14"/>
        <v>0</v>
      </c>
      <c r="CV47" s="1">
        <f t="shared" si="14"/>
        <v>0</v>
      </c>
      <c r="CW47" s="1">
        <f t="shared" si="14"/>
        <v>0</v>
      </c>
      <c r="CX47" s="1">
        <f t="shared" si="13"/>
        <v>0</v>
      </c>
      <c r="CY47" s="1">
        <f t="shared" si="13"/>
        <v>0</v>
      </c>
      <c r="CZ47" s="1">
        <f t="shared" si="13"/>
        <v>0</v>
      </c>
      <c r="DA47" s="1">
        <f t="shared" si="13"/>
        <v>0</v>
      </c>
      <c r="DB47" s="1">
        <f t="shared" si="13"/>
        <v>0</v>
      </c>
      <c r="DC47" s="1">
        <f t="shared" si="15"/>
        <v>0</v>
      </c>
      <c r="DD47" s="1">
        <f t="shared" si="15"/>
        <v>0</v>
      </c>
      <c r="DE47" s="1">
        <f t="shared" si="15"/>
        <v>0</v>
      </c>
      <c r="DF47" s="1">
        <f t="shared" si="15"/>
        <v>0</v>
      </c>
      <c r="DG47" s="1">
        <f t="shared" si="15"/>
        <v>0</v>
      </c>
      <c r="DH47" s="1">
        <f t="shared" si="15"/>
        <v>0</v>
      </c>
      <c r="DI47" s="1">
        <f t="shared" si="15"/>
        <v>0</v>
      </c>
      <c r="DJ47" s="1">
        <f t="shared" si="15"/>
        <v>0</v>
      </c>
      <c r="DK47" s="1">
        <f t="shared" si="15"/>
        <v>0</v>
      </c>
      <c r="DL47" s="24">
        <v>562530.39673961361</v>
      </c>
      <c r="DM47" s="25">
        <v>1080.6222685430398</v>
      </c>
      <c r="DN47" s="24"/>
      <c r="DO47" s="25"/>
      <c r="DP47" s="25"/>
      <c r="DQ47" s="25"/>
      <c r="DR47" s="25"/>
      <c r="DS47" s="25"/>
      <c r="DT47" s="25"/>
      <c r="DU47" s="25"/>
      <c r="DV47" s="25"/>
    </row>
    <row r="48" spans="1:126" x14ac:dyDescent="0.25">
      <c r="A48" s="252">
        <v>43405</v>
      </c>
      <c r="B48" s="253">
        <f t="shared" si="0"/>
        <v>2018</v>
      </c>
      <c r="C48" s="253">
        <f t="shared" si="1"/>
        <v>11</v>
      </c>
      <c r="D48" s="254">
        <v>37206156.552890733</v>
      </c>
      <c r="E48" s="254">
        <f>IFERROR(VLOOKUP($B48-1,CDM!$L$7:$T$18,2,FALSE)/12,0)+IFERROR(VLOOKUP($B48,CDM!$L$36:$T$46,2,FALSE)/24,0)+IFERROR(VLOOKUP($B48,CDM!$L$36:$T$46,2,FALSE)/2*$C48/78,0)</f>
        <v>2489988.680966225</v>
      </c>
      <c r="F48" s="254">
        <f t="shared" si="2"/>
        <v>39696145.233856961</v>
      </c>
      <c r="G48" s="255">
        <v>54368</v>
      </c>
      <c r="H48" s="254">
        <v>10829221.661439378</v>
      </c>
      <c r="I48" s="254">
        <f>IFERROR(VLOOKUP($B48-1,CDM!$L$7:$T$18,3,FALSE)/12,0)+IFERROR(VLOOKUP($B48,CDM!$L$36:$T$46,3,FALSE)/24,0)+IFERROR(VLOOKUP($B48,CDM!$L$36:$T$46,3,FALSE)/2*$C48/78,0)</f>
        <v>581884.46760040079</v>
      </c>
      <c r="J48" s="254">
        <f t="shared" si="6"/>
        <v>11411106.129039779</v>
      </c>
      <c r="K48" s="256">
        <v>4206</v>
      </c>
      <c r="L48" s="4">
        <v>27781762.694184732</v>
      </c>
      <c r="M48" s="257">
        <f>IFERROR(VLOOKUP($B48-1,CDM!$L$7:$T$18,4,FALSE)/12,0)+IFERROR(VLOOKUP($B48,CDM!$L$36:$T$46,4,FALSE)/24,0)+IFERROR(VLOOKUP($B48,CDM!$L$36:$T$46,4,FALSE)/2*$C48/78,0)</f>
        <v>671603.23503467976</v>
      </c>
      <c r="N48" s="254">
        <f t="shared" si="3"/>
        <v>28453365.92921941</v>
      </c>
      <c r="O48" s="4">
        <v>71065</v>
      </c>
      <c r="P48" s="256">
        <v>522</v>
      </c>
      <c r="Q48" s="256">
        <v>6040173.2680893028</v>
      </c>
      <c r="R48" s="256">
        <f>IFERROR(VLOOKUP($B48-1,CDM!$L$7:$T$18,5,FALSE)/12,0)+IFERROR(VLOOKUP($B48,CDM!$L$36:$T$46,5,FALSE)/24,0)+IFERROR(VLOOKUP($B48,CDM!$L$36:$T$46,5,FALSE)/2*$C48/78,0)</f>
        <v>855636.60467656597</v>
      </c>
      <c r="S48" s="256">
        <f t="shared" si="7"/>
        <v>6895809.8727658689</v>
      </c>
      <c r="T48" s="256">
        <v>14782</v>
      </c>
      <c r="U48" s="256">
        <v>13</v>
      </c>
      <c r="V48" s="256">
        <v>3615531.6010835604</v>
      </c>
      <c r="W48" s="256">
        <f>IFERROR(VLOOKUP($B48-1,CDM!$L$7:$T$18,6,FALSE)/12,0)+IFERROR(VLOOKUP($B48,CDM!$L$36:$T$46,6,FALSE)/24,0)+IFERROR(VLOOKUP($B48,CDM!$L$36:$T$46,6,FALSE)/2*$C48/78,0)</f>
        <v>27266.028872863255</v>
      </c>
      <c r="X48" s="256">
        <f t="shared" si="8"/>
        <v>3642797.6299564238</v>
      </c>
      <c r="Y48" s="256">
        <v>6580</v>
      </c>
      <c r="Z48" s="256">
        <v>1</v>
      </c>
      <c r="AA48" s="4">
        <v>434706.49093613523</v>
      </c>
      <c r="AB48" s="4">
        <v>1017</v>
      </c>
      <c r="AC48" s="256">
        <v>13895</v>
      </c>
      <c r="AD48" s="256">
        <v>2134.3887087545299</v>
      </c>
      <c r="AE48" s="256">
        <v>0</v>
      </c>
      <c r="AF48" s="256">
        <v>23</v>
      </c>
      <c r="AG48" s="4">
        <v>210276</v>
      </c>
      <c r="AH48" s="4">
        <v>249</v>
      </c>
      <c r="AI48" s="28">
        <f>Economic!H50</f>
        <v>789531.6</v>
      </c>
      <c r="AJ48" s="28">
        <f>Economic!I50</f>
        <v>608429.30000000005</v>
      </c>
      <c r="AK48" s="28">
        <f>Economic!J50</f>
        <v>57334.6</v>
      </c>
      <c r="AL48" s="28">
        <f>Economic!K50</f>
        <v>799632</v>
      </c>
      <c r="AM48" s="28">
        <f>Economic!L50</f>
        <v>617505</v>
      </c>
      <c r="AN48" s="28">
        <f>Economic!M50</f>
        <v>31552</v>
      </c>
      <c r="AO48" s="28">
        <f>Economic!D50</f>
        <v>7290</v>
      </c>
      <c r="AP48" s="28">
        <f>Economic!E50</f>
        <v>7288.9</v>
      </c>
      <c r="AQ48" s="28">
        <f>Economic!F50</f>
        <v>215.3</v>
      </c>
      <c r="AR48" s="28">
        <f>Economic!G50</f>
        <v>213.5</v>
      </c>
      <c r="AS48" s="28">
        <f>Economic!N50</f>
        <v>105.30000000000018</v>
      </c>
      <c r="AT48" s="28">
        <f>Economic!O50</f>
        <v>102.89999999999964</v>
      </c>
      <c r="AU48" s="28">
        <f>Economic!P50</f>
        <v>6.3000000000000114</v>
      </c>
      <c r="AV48" s="28">
        <f>Economic!Q50</f>
        <v>5.9000000000000057</v>
      </c>
      <c r="AW48" s="28">
        <f>Economic!R50</f>
        <v>25066.79999999993</v>
      </c>
      <c r="AX48" s="28">
        <f>Economic!S50</f>
        <v>5492</v>
      </c>
      <c r="AY48" s="7">
        <f>Weather!D48</f>
        <v>1.2158333333333335</v>
      </c>
      <c r="AZ48" s="7">
        <f>Weather!E48</f>
        <v>563.52499999999998</v>
      </c>
      <c r="BA48" s="7">
        <f>Weather!F48</f>
        <v>0</v>
      </c>
      <c r="BB48" s="7">
        <f>Weather!G48</f>
        <v>503.52500000000003</v>
      </c>
      <c r="BC48" s="7">
        <f>Weather!H48</f>
        <v>0</v>
      </c>
      <c r="BD48" s="7">
        <f>Weather!I48</f>
        <v>443.52500000000003</v>
      </c>
      <c r="BE48" s="7">
        <f>Weather!J48</f>
        <v>0</v>
      </c>
      <c r="BF48" s="7">
        <f>Weather!K48</f>
        <v>383.52500000000003</v>
      </c>
      <c r="BG48" s="7">
        <f>Weather!L48</f>
        <v>0</v>
      </c>
      <c r="BH48" s="7">
        <f>Weather!M48</f>
        <v>323.52500000000003</v>
      </c>
      <c r="BI48" s="7">
        <f>Weather!N48</f>
        <v>0</v>
      </c>
      <c r="BJ48" s="7">
        <f>Weather!O48</f>
        <v>263.86666666666662</v>
      </c>
      <c r="BK48" s="7">
        <f>Weather!P48</f>
        <v>0.34166666666666856</v>
      </c>
      <c r="BL48" s="7">
        <f>Weather!Q48</f>
        <v>206.24583333333334</v>
      </c>
      <c r="BM48" s="7">
        <f>Weather!R48</f>
        <v>2.7208333333333368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1</v>
      </c>
      <c r="CB48" s="1">
        <v>1</v>
      </c>
      <c r="CC48" s="1">
        <f t="shared" si="9"/>
        <v>47</v>
      </c>
      <c r="CD48" s="1">
        <v>30</v>
      </c>
      <c r="CE48" s="1">
        <v>22</v>
      </c>
      <c r="CF48" s="1">
        <v>0</v>
      </c>
      <c r="CG48" s="1">
        <v>0</v>
      </c>
      <c r="CH48" s="1">
        <v>0</v>
      </c>
      <c r="CI48" s="1">
        <v>0</v>
      </c>
      <c r="CJ48" s="1">
        <f t="shared" si="12"/>
        <v>0</v>
      </c>
      <c r="CK48" s="1">
        <f t="shared" si="12"/>
        <v>0</v>
      </c>
      <c r="CL48" s="1">
        <f t="shared" si="12"/>
        <v>0</v>
      </c>
      <c r="CM48" s="1">
        <f t="shared" si="12"/>
        <v>0</v>
      </c>
      <c r="CN48" s="1">
        <f t="shared" si="12"/>
        <v>0</v>
      </c>
      <c r="CO48" s="1">
        <f t="shared" si="14"/>
        <v>0</v>
      </c>
      <c r="CP48" s="1">
        <f t="shared" si="14"/>
        <v>0</v>
      </c>
      <c r="CQ48" s="1">
        <f t="shared" si="14"/>
        <v>0</v>
      </c>
      <c r="CR48" s="1">
        <f t="shared" si="14"/>
        <v>0</v>
      </c>
      <c r="CS48" s="1">
        <f t="shared" si="14"/>
        <v>0</v>
      </c>
      <c r="CT48" s="1">
        <f t="shared" si="14"/>
        <v>0</v>
      </c>
      <c r="CU48" s="1">
        <f t="shared" si="14"/>
        <v>0</v>
      </c>
      <c r="CV48" s="1">
        <f t="shared" si="14"/>
        <v>0</v>
      </c>
      <c r="CW48" s="1">
        <f t="shared" si="14"/>
        <v>0</v>
      </c>
      <c r="CX48" s="1">
        <f t="shared" si="13"/>
        <v>0</v>
      </c>
      <c r="CY48" s="1">
        <f t="shared" si="13"/>
        <v>0</v>
      </c>
      <c r="CZ48" s="1">
        <f t="shared" si="13"/>
        <v>0</v>
      </c>
      <c r="DA48" s="1">
        <f t="shared" si="13"/>
        <v>0</v>
      </c>
      <c r="DB48" s="1">
        <f t="shared" si="13"/>
        <v>0</v>
      </c>
      <c r="DC48" s="1">
        <f t="shared" si="15"/>
        <v>0</v>
      </c>
      <c r="DD48" s="1">
        <f t="shared" si="15"/>
        <v>0</v>
      </c>
      <c r="DE48" s="1">
        <f t="shared" si="15"/>
        <v>0</v>
      </c>
      <c r="DF48" s="1">
        <f t="shared" si="15"/>
        <v>0</v>
      </c>
      <c r="DG48" s="1">
        <f t="shared" si="15"/>
        <v>0</v>
      </c>
      <c r="DH48" s="1">
        <f t="shared" si="15"/>
        <v>0</v>
      </c>
      <c r="DI48" s="1">
        <f t="shared" si="15"/>
        <v>0</v>
      </c>
      <c r="DJ48" s="1">
        <f t="shared" si="15"/>
        <v>0</v>
      </c>
      <c r="DK48" s="1">
        <f t="shared" si="15"/>
        <v>0</v>
      </c>
      <c r="DL48" s="24">
        <v>525363.11613618734</v>
      </c>
      <c r="DM48" s="25">
        <v>1009.223831562502</v>
      </c>
      <c r="DN48" s="24"/>
      <c r="DO48" s="25"/>
      <c r="DP48" s="25"/>
      <c r="DQ48" s="25"/>
      <c r="DR48" s="25"/>
      <c r="DS48" s="25"/>
      <c r="DT48" s="25"/>
      <c r="DU48" s="25"/>
      <c r="DV48" s="25"/>
    </row>
    <row r="49" spans="1:126" x14ac:dyDescent="0.25">
      <c r="A49" s="252">
        <v>43435</v>
      </c>
      <c r="B49" s="253">
        <f t="shared" si="0"/>
        <v>2018</v>
      </c>
      <c r="C49" s="253">
        <f t="shared" si="1"/>
        <v>12</v>
      </c>
      <c r="D49" s="254">
        <v>40939122.005612098</v>
      </c>
      <c r="E49" s="254">
        <f>IFERROR(VLOOKUP($B49-1,CDM!$L$7:$T$18,2,FALSE)/12,0)+IFERROR(VLOOKUP($B49,CDM!$L$36:$T$46,2,FALSE)/24,0)+IFERROR(VLOOKUP($B49,CDM!$L$36:$T$46,2,FALSE)/2*$C49/78,0)</f>
        <v>2531231.4460690571</v>
      </c>
      <c r="F49" s="254">
        <f t="shared" si="2"/>
        <v>43470353.451681152</v>
      </c>
      <c r="G49" s="255">
        <v>54178</v>
      </c>
      <c r="H49" s="254">
        <v>11286886.412015036</v>
      </c>
      <c r="I49" s="254">
        <f>IFERROR(VLOOKUP($B49-1,CDM!$L$7:$T$18,3,FALSE)/12,0)+IFERROR(VLOOKUP($B49,CDM!$L$36:$T$46,3,FALSE)/24,0)+IFERROR(VLOOKUP($B49,CDM!$L$36:$T$46,3,FALSE)/2*$C49/78,0)</f>
        <v>592697.27092853573</v>
      </c>
      <c r="J49" s="254">
        <f t="shared" si="6"/>
        <v>11879583.682943571</v>
      </c>
      <c r="K49" s="256">
        <v>4210</v>
      </c>
      <c r="L49" s="4">
        <v>29119823.855557878</v>
      </c>
      <c r="M49" s="257">
        <f>IFERROR(VLOOKUP($B49-1,CDM!$L$7:$T$18,4,FALSE)/12,0)+IFERROR(VLOOKUP($B49,CDM!$L$36:$T$46,4,FALSE)/24,0)+IFERROR(VLOOKUP($B49,CDM!$L$36:$T$46,4,FALSE)/2*$C49/78,0)</f>
        <v>687031.8439003427</v>
      </c>
      <c r="N49" s="254">
        <f t="shared" si="3"/>
        <v>29806855.699458219</v>
      </c>
      <c r="O49" s="4">
        <v>72947</v>
      </c>
      <c r="P49" s="256">
        <v>524</v>
      </c>
      <c r="Q49" s="256">
        <v>5776938.1175200548</v>
      </c>
      <c r="R49" s="256">
        <f>IFERROR(VLOOKUP($B49-1,CDM!$L$7:$T$18,5,FALSE)/12,0)+IFERROR(VLOOKUP($B49,CDM!$L$36:$T$46,5,FALSE)/24,0)+IFERROR(VLOOKUP($B49,CDM!$L$36:$T$46,5,FALSE)/2*$C49/78,0)</f>
        <v>855647.22018938651</v>
      </c>
      <c r="S49" s="256">
        <f t="shared" si="7"/>
        <v>6632585.3377094418</v>
      </c>
      <c r="T49" s="256">
        <v>13837</v>
      </c>
      <c r="U49" s="256">
        <v>13</v>
      </c>
      <c r="V49" s="256">
        <v>3303674.8386122286</v>
      </c>
      <c r="W49" s="256">
        <f>IFERROR(VLOOKUP($B49-1,CDM!$L$7:$T$18,6,FALSE)/12,0)+IFERROR(VLOOKUP($B49,CDM!$L$36:$T$46,6,FALSE)/24,0)+IFERROR(VLOOKUP($B49,CDM!$L$36:$T$46,6,FALSE)/2*$C49/78,0)</f>
        <v>28160.070165598299</v>
      </c>
      <c r="X49" s="256">
        <f t="shared" si="8"/>
        <v>3331834.9087778269</v>
      </c>
      <c r="Y49" s="256">
        <v>6664</v>
      </c>
      <c r="Z49" s="256">
        <v>1</v>
      </c>
      <c r="AA49" s="4">
        <v>466196.25405060826</v>
      </c>
      <c r="AB49" s="4">
        <v>1018</v>
      </c>
      <c r="AC49" s="256">
        <v>13895</v>
      </c>
      <c r="AD49" s="256">
        <v>2159.7367919130265</v>
      </c>
      <c r="AE49" s="256">
        <v>85</v>
      </c>
      <c r="AF49" s="256">
        <v>23</v>
      </c>
      <c r="AG49" s="4">
        <v>210276</v>
      </c>
      <c r="AH49" s="4">
        <v>249</v>
      </c>
      <c r="AI49" s="28">
        <f>Economic!H51</f>
        <v>789531.6</v>
      </c>
      <c r="AJ49" s="28">
        <f>Economic!I51</f>
        <v>608429.30000000005</v>
      </c>
      <c r="AK49" s="28">
        <f>Economic!J51</f>
        <v>57334.6</v>
      </c>
      <c r="AL49" s="28">
        <f>Economic!K51</f>
        <v>799632</v>
      </c>
      <c r="AM49" s="28">
        <f>Economic!L51</f>
        <v>617505</v>
      </c>
      <c r="AN49" s="28">
        <f>Economic!M51</f>
        <v>31552</v>
      </c>
      <c r="AO49" s="28">
        <f>Economic!D51</f>
        <v>7300.1</v>
      </c>
      <c r="AP49" s="28">
        <f>Economic!E51</f>
        <v>7310.7</v>
      </c>
      <c r="AQ49" s="28">
        <f>Economic!F51</f>
        <v>214.3</v>
      </c>
      <c r="AR49" s="28">
        <f>Economic!G51</f>
        <v>212.8</v>
      </c>
      <c r="AS49" s="28">
        <f>Economic!N51</f>
        <v>100.60000000000036</v>
      </c>
      <c r="AT49" s="28">
        <f>Economic!O51</f>
        <v>103.89999999999964</v>
      </c>
      <c r="AU49" s="28">
        <f>Economic!P51</f>
        <v>6.3000000000000114</v>
      </c>
      <c r="AV49" s="28">
        <f>Economic!Q51</f>
        <v>5.7000000000000171</v>
      </c>
      <c r="AW49" s="28">
        <f>Economic!R51</f>
        <v>25066.79999999993</v>
      </c>
      <c r="AX49" s="28">
        <f>Economic!S51</f>
        <v>5492</v>
      </c>
      <c r="AY49" s="7">
        <f>Weather!D49</f>
        <v>-0.86827956989247324</v>
      </c>
      <c r="AZ49" s="7">
        <f>Weather!E49</f>
        <v>646.91666666666663</v>
      </c>
      <c r="BA49" s="7">
        <f>Weather!F49</f>
        <v>0</v>
      </c>
      <c r="BB49" s="7">
        <f>Weather!G49</f>
        <v>584.91666666666663</v>
      </c>
      <c r="BC49" s="7">
        <f>Weather!H49</f>
        <v>0</v>
      </c>
      <c r="BD49" s="7">
        <f>Weather!I49</f>
        <v>522.91666666666663</v>
      </c>
      <c r="BE49" s="7">
        <f>Weather!J49</f>
        <v>0</v>
      </c>
      <c r="BF49" s="7">
        <f>Weather!K49</f>
        <v>460.91666666666657</v>
      </c>
      <c r="BG49" s="7">
        <f>Weather!L49</f>
        <v>0</v>
      </c>
      <c r="BH49" s="7">
        <f>Weather!M49</f>
        <v>398.91666666666657</v>
      </c>
      <c r="BI49" s="7">
        <f>Weather!N49</f>
        <v>0</v>
      </c>
      <c r="BJ49" s="7">
        <f>Weather!O49</f>
        <v>336.91666666666657</v>
      </c>
      <c r="BK49" s="7">
        <f>Weather!P49</f>
        <v>0</v>
      </c>
      <c r="BL49" s="7">
        <f>Weather!Q49</f>
        <v>274.91666666666663</v>
      </c>
      <c r="BM49" s="7">
        <f>Weather!R49</f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0</v>
      </c>
      <c r="CA49" s="1">
        <v>0</v>
      </c>
      <c r="CB49" s="1">
        <v>0</v>
      </c>
      <c r="CC49" s="1">
        <f t="shared" si="9"/>
        <v>48</v>
      </c>
      <c r="CD49" s="1">
        <v>31</v>
      </c>
      <c r="CE49" s="1">
        <v>19</v>
      </c>
      <c r="CF49" s="1">
        <v>0</v>
      </c>
      <c r="CG49" s="1">
        <v>0</v>
      </c>
      <c r="CH49" s="1">
        <v>0</v>
      </c>
      <c r="CI49" s="1">
        <v>0</v>
      </c>
      <c r="CJ49" s="1">
        <f t="shared" si="12"/>
        <v>0</v>
      </c>
      <c r="CK49" s="1">
        <f t="shared" si="12"/>
        <v>0</v>
      </c>
      <c r="CL49" s="1">
        <f t="shared" si="12"/>
        <v>0</v>
      </c>
      <c r="CM49" s="1">
        <f t="shared" si="12"/>
        <v>0</v>
      </c>
      <c r="CN49" s="1">
        <f t="shared" si="12"/>
        <v>0</v>
      </c>
      <c r="CO49" s="1">
        <f t="shared" si="14"/>
        <v>0</v>
      </c>
      <c r="CP49" s="1">
        <f t="shared" si="14"/>
        <v>0</v>
      </c>
      <c r="CQ49" s="1">
        <f t="shared" si="14"/>
        <v>0</v>
      </c>
      <c r="CR49" s="1">
        <f t="shared" si="14"/>
        <v>0</v>
      </c>
      <c r="CS49" s="1">
        <f t="shared" si="14"/>
        <v>0</v>
      </c>
      <c r="CT49" s="1">
        <f t="shared" si="14"/>
        <v>0</v>
      </c>
      <c r="CU49" s="1">
        <f t="shared" si="14"/>
        <v>0</v>
      </c>
      <c r="CV49" s="1">
        <f t="shared" si="14"/>
        <v>0</v>
      </c>
      <c r="CW49" s="1">
        <f t="shared" si="14"/>
        <v>0</v>
      </c>
      <c r="CX49" s="1">
        <f t="shared" si="13"/>
        <v>0</v>
      </c>
      <c r="CY49" s="1">
        <f t="shared" si="13"/>
        <v>0</v>
      </c>
      <c r="CZ49" s="1">
        <f t="shared" si="13"/>
        <v>0</v>
      </c>
      <c r="DA49" s="1">
        <f t="shared" si="13"/>
        <v>0</v>
      </c>
      <c r="DB49" s="1">
        <f t="shared" si="13"/>
        <v>0</v>
      </c>
      <c r="DC49" s="1">
        <f t="shared" si="15"/>
        <v>0</v>
      </c>
      <c r="DD49" s="1">
        <f t="shared" si="15"/>
        <v>0</v>
      </c>
      <c r="DE49" s="1">
        <f t="shared" si="15"/>
        <v>0</v>
      </c>
      <c r="DF49" s="1">
        <f t="shared" si="15"/>
        <v>0</v>
      </c>
      <c r="DG49" s="1">
        <f t="shared" si="15"/>
        <v>0</v>
      </c>
      <c r="DH49" s="1">
        <f t="shared" si="15"/>
        <v>0</v>
      </c>
      <c r="DI49" s="1">
        <f t="shared" si="15"/>
        <v>0</v>
      </c>
      <c r="DJ49" s="1">
        <f t="shared" si="15"/>
        <v>0</v>
      </c>
      <c r="DK49" s="1">
        <f t="shared" si="15"/>
        <v>0</v>
      </c>
      <c r="DL49" s="24">
        <v>549564.5924573649</v>
      </c>
      <c r="DM49" s="25">
        <v>1055.7149267919519</v>
      </c>
      <c r="DN49" s="24"/>
      <c r="DO49" s="25"/>
      <c r="DP49" s="25"/>
      <c r="DQ49" s="25"/>
      <c r="DR49" s="25"/>
      <c r="DS49" s="25"/>
      <c r="DT49" s="25"/>
      <c r="DU49" s="25"/>
      <c r="DV49" s="25"/>
    </row>
    <row r="50" spans="1:126" x14ac:dyDescent="0.25">
      <c r="A50" s="252">
        <v>43466</v>
      </c>
      <c r="B50" s="253">
        <f t="shared" si="0"/>
        <v>2019</v>
      </c>
      <c r="C50" s="253">
        <f t="shared" si="1"/>
        <v>1</v>
      </c>
      <c r="D50" s="254">
        <v>47406215.02522663</v>
      </c>
      <c r="E50" s="254">
        <f>IFERROR(VLOOKUP($B50-1,CDM!$L$7:$T$18,2,FALSE)/12,0)+IFERROR(VLOOKUP($B50,CDM!$L$36:$T$46,2,FALSE)/24,0)+IFERROR(VLOOKUP($B50,CDM!$L$36:$T$46,2,FALSE)/2*$C50/78,0)</f>
        <v>2380330.5718476269</v>
      </c>
      <c r="F50" s="254">
        <f t="shared" si="2"/>
        <v>49786545.597074255</v>
      </c>
      <c r="G50" s="255">
        <v>54222</v>
      </c>
      <c r="H50" s="254">
        <v>11880569.836559178</v>
      </c>
      <c r="I50" s="254">
        <f>IFERROR(VLOOKUP($B50-1,CDM!$L$7:$T$18,3,FALSE)/12,0)+IFERROR(VLOOKUP($B50,CDM!$L$36:$T$46,3,FALSE)/24,0)+IFERROR(VLOOKUP($B50,CDM!$L$36:$T$46,3,FALSE)/2*$C50/78,0)</f>
        <v>546449.5211962685</v>
      </c>
      <c r="J50" s="254">
        <f t="shared" si="6"/>
        <v>12427019.357755447</v>
      </c>
      <c r="K50" s="256">
        <v>4216</v>
      </c>
      <c r="L50" s="4">
        <v>33962270.109880403</v>
      </c>
      <c r="M50" s="257">
        <f>IFERROR(VLOOKUP($B50-1,CDM!$L$7:$T$18,4,FALSE)/12,0)+IFERROR(VLOOKUP($B50,CDM!$L$36:$T$46,4,FALSE)/24,0)+IFERROR(VLOOKUP($B50,CDM!$L$36:$T$46,4,FALSE)/2*$C50/78,0)</f>
        <v>630519.47361883929</v>
      </c>
      <c r="N50" s="254">
        <f t="shared" si="3"/>
        <v>34592789.583499245</v>
      </c>
      <c r="O50" s="4">
        <v>78759</v>
      </c>
      <c r="P50" s="256">
        <v>520</v>
      </c>
      <c r="Q50" s="256">
        <v>6507277.4201095467</v>
      </c>
      <c r="R50" s="256">
        <f>IFERROR(VLOOKUP($B50-1,CDM!$L$7:$T$18,5,FALSE)/12,0)+IFERROR(VLOOKUP($B50,CDM!$L$36:$T$46,5,FALSE)/24,0)+IFERROR(VLOOKUP($B50,CDM!$L$36:$T$46,5,FALSE)/2*$C50/78,0)</f>
        <v>855588.83486887359</v>
      </c>
      <c r="S50" s="256">
        <f t="shared" si="7"/>
        <v>7362866.2549784202</v>
      </c>
      <c r="T50" s="256">
        <v>15255</v>
      </c>
      <c r="U50" s="256">
        <v>14</v>
      </c>
      <c r="V50" s="256">
        <v>3372037.1290001231</v>
      </c>
      <c r="W50" s="256">
        <f>IFERROR(VLOOKUP($B50-1,CDM!$L$7:$T$18,6,FALSE)/12,0)+IFERROR(VLOOKUP($B50,CDM!$L$36:$T$46,6,FALSE)/24,0)+IFERROR(VLOOKUP($B50,CDM!$L$36:$T$46,6,FALSE)/2*$C50/78,0)</f>
        <v>23232.271741452994</v>
      </c>
      <c r="X50" s="256">
        <f t="shared" si="8"/>
        <v>3395269.4007415762</v>
      </c>
      <c r="Y50" s="256">
        <v>6426</v>
      </c>
      <c r="Z50" s="256">
        <v>1</v>
      </c>
      <c r="AA50" s="4">
        <v>462697.48187284026</v>
      </c>
      <c r="AB50" s="4">
        <v>1018</v>
      </c>
      <c r="AC50" s="256">
        <v>13895</v>
      </c>
      <c r="AD50" s="256">
        <v>2200.2479496471492</v>
      </c>
      <c r="AE50" s="256">
        <v>0</v>
      </c>
      <c r="AF50" s="256">
        <v>19</v>
      </c>
      <c r="AG50" s="4">
        <v>210484</v>
      </c>
      <c r="AH50" s="4">
        <v>246</v>
      </c>
      <c r="AI50" s="28">
        <f>Economic!H52</f>
        <v>807274.5</v>
      </c>
      <c r="AJ50" s="28">
        <f>Economic!I52</f>
        <v>626103.1</v>
      </c>
      <c r="AK50" s="28">
        <f>Economic!J52</f>
        <v>59751.3</v>
      </c>
      <c r="AL50" s="28">
        <f>Economic!K52</f>
        <v>800724</v>
      </c>
      <c r="AM50" s="28">
        <f>Economic!L52</f>
        <v>619045</v>
      </c>
      <c r="AN50" s="28">
        <f>Economic!M52</f>
        <v>31743</v>
      </c>
      <c r="AO50" s="28">
        <f>Economic!D52</f>
        <v>7318</v>
      </c>
      <c r="AP50" s="28">
        <f>Economic!E52</f>
        <v>7289.4</v>
      </c>
      <c r="AQ50" s="28">
        <f>Economic!F52</f>
        <v>217.1</v>
      </c>
      <c r="AR50" s="28">
        <f>Economic!G52</f>
        <v>215</v>
      </c>
      <c r="AS50" s="28">
        <f>Economic!N52</f>
        <v>118.60000000000036</v>
      </c>
      <c r="AT50" s="28">
        <f>Economic!O52</f>
        <v>122.09999999999945</v>
      </c>
      <c r="AU50" s="28">
        <f>Economic!P52</f>
        <v>10.199999999999989</v>
      </c>
      <c r="AV50" s="28">
        <f>Economic!Q52</f>
        <v>9.5999999999999943</v>
      </c>
      <c r="AW50" s="28">
        <f>Economic!R52</f>
        <v>17742.900000000023</v>
      </c>
      <c r="AX50" s="28">
        <f>Economic!S52</f>
        <v>1092</v>
      </c>
      <c r="AY50" s="7">
        <f>Weather!D50</f>
        <v>-7.1591397849462366</v>
      </c>
      <c r="AZ50" s="7">
        <f>Weather!E50</f>
        <v>841.93333333333351</v>
      </c>
      <c r="BA50" s="7">
        <f>Weather!F50</f>
        <v>0</v>
      </c>
      <c r="BB50" s="7">
        <f>Weather!G50</f>
        <v>779.93333333333351</v>
      </c>
      <c r="BC50" s="7">
        <f>Weather!H50</f>
        <v>0</v>
      </c>
      <c r="BD50" s="7">
        <f>Weather!I50</f>
        <v>717.93333333333339</v>
      </c>
      <c r="BE50" s="7">
        <f>Weather!J50</f>
        <v>0</v>
      </c>
      <c r="BF50" s="7">
        <f>Weather!K50</f>
        <v>655.93333333333339</v>
      </c>
      <c r="BG50" s="7">
        <f>Weather!L50</f>
        <v>0</v>
      </c>
      <c r="BH50" s="7">
        <f>Weather!M50</f>
        <v>593.93333333333339</v>
      </c>
      <c r="BI50" s="7">
        <f>Weather!N50</f>
        <v>0</v>
      </c>
      <c r="BJ50" s="7">
        <f>Weather!O50</f>
        <v>531.93333333333328</v>
      </c>
      <c r="BK50" s="7">
        <f>Weather!P50</f>
        <v>0</v>
      </c>
      <c r="BL50" s="7">
        <f>Weather!Q50</f>
        <v>469.93333333333328</v>
      </c>
      <c r="BM50" s="7">
        <f>Weather!R50</f>
        <v>0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f>BZ38</f>
        <v>0</v>
      </c>
      <c r="CA50" s="1">
        <f>CA38</f>
        <v>0</v>
      </c>
      <c r="CB50" s="1">
        <f>CB38</f>
        <v>0</v>
      </c>
      <c r="CC50" s="1">
        <f t="shared" si="9"/>
        <v>49</v>
      </c>
      <c r="CD50" s="1">
        <f>CD2</f>
        <v>31</v>
      </c>
      <c r="CE50" s="1">
        <v>22</v>
      </c>
      <c r="CF50" s="1">
        <v>0</v>
      </c>
      <c r="CG50" s="1">
        <v>0</v>
      </c>
      <c r="CH50" s="1">
        <v>0</v>
      </c>
      <c r="CI50" s="1">
        <v>0</v>
      </c>
      <c r="CJ50" s="1">
        <f t="shared" si="12"/>
        <v>0</v>
      </c>
      <c r="CK50" s="1">
        <f t="shared" si="12"/>
        <v>0</v>
      </c>
      <c r="CL50" s="1">
        <f t="shared" si="12"/>
        <v>0</v>
      </c>
      <c r="CM50" s="1">
        <f t="shared" si="12"/>
        <v>0</v>
      </c>
      <c r="CN50" s="1">
        <f t="shared" si="12"/>
        <v>0</v>
      </c>
      <c r="CO50" s="1">
        <f t="shared" si="14"/>
        <v>0</v>
      </c>
      <c r="CP50" s="1">
        <f t="shared" si="14"/>
        <v>0</v>
      </c>
      <c r="CQ50" s="1">
        <f t="shared" si="14"/>
        <v>0</v>
      </c>
      <c r="CR50" s="1">
        <f t="shared" si="14"/>
        <v>0</v>
      </c>
      <c r="CS50" s="1">
        <f t="shared" si="14"/>
        <v>0</v>
      </c>
      <c r="CT50" s="1">
        <f t="shared" si="14"/>
        <v>0</v>
      </c>
      <c r="CU50" s="1">
        <f t="shared" si="14"/>
        <v>0</v>
      </c>
      <c r="CV50" s="1">
        <f t="shared" si="14"/>
        <v>0</v>
      </c>
      <c r="CW50" s="1">
        <f t="shared" si="14"/>
        <v>0</v>
      </c>
      <c r="CX50" s="1">
        <f t="shared" si="13"/>
        <v>0</v>
      </c>
      <c r="CY50" s="1">
        <f t="shared" si="13"/>
        <v>0</v>
      </c>
      <c r="CZ50" s="1">
        <f t="shared" si="13"/>
        <v>0</v>
      </c>
      <c r="DA50" s="1">
        <f t="shared" si="13"/>
        <v>0</v>
      </c>
      <c r="DB50" s="1">
        <f t="shared" si="13"/>
        <v>0</v>
      </c>
      <c r="DC50" s="1">
        <f t="shared" si="15"/>
        <v>0</v>
      </c>
      <c r="DD50" s="1">
        <f t="shared" si="15"/>
        <v>0</v>
      </c>
      <c r="DE50" s="1">
        <f t="shared" si="15"/>
        <v>0</v>
      </c>
      <c r="DF50" s="1">
        <f t="shared" si="15"/>
        <v>0</v>
      </c>
      <c r="DG50" s="1">
        <f t="shared" si="15"/>
        <v>0</v>
      </c>
      <c r="DH50" s="1">
        <f t="shared" si="15"/>
        <v>0</v>
      </c>
      <c r="DI50" s="1">
        <f t="shared" si="15"/>
        <v>0</v>
      </c>
      <c r="DJ50" s="1">
        <f t="shared" si="15"/>
        <v>0</v>
      </c>
      <c r="DK50" s="1">
        <f t="shared" si="15"/>
        <v>0</v>
      </c>
      <c r="DL50" s="24">
        <v>470641.79000000004</v>
      </c>
      <c r="DM50" s="25">
        <v>888.40000000000009</v>
      </c>
      <c r="DN50" s="24"/>
      <c r="DO50" s="25"/>
      <c r="DP50" s="25"/>
      <c r="DQ50" s="25"/>
      <c r="DR50" s="25"/>
      <c r="DS50" s="25"/>
      <c r="DT50" s="25"/>
      <c r="DU50" s="25"/>
      <c r="DV50" s="25"/>
    </row>
    <row r="51" spans="1:126" x14ac:dyDescent="0.25">
      <c r="A51" s="252">
        <v>43497</v>
      </c>
      <c r="B51" s="253">
        <f t="shared" si="0"/>
        <v>2019</v>
      </c>
      <c r="C51" s="253">
        <f t="shared" si="1"/>
        <v>2</v>
      </c>
      <c r="D51" s="254">
        <v>44572482.950340904</v>
      </c>
      <c r="E51" s="254">
        <f>IFERROR(VLOOKUP($B51-1,CDM!$L$7:$T$18,2,FALSE)/12,0)+IFERROR(VLOOKUP($B51,CDM!$L$36:$T$46,2,FALSE)/24,0)+IFERROR(VLOOKUP($B51,CDM!$L$36:$T$46,2,FALSE)/2*$C51/78,0)</f>
        <v>2390455.1496935133</v>
      </c>
      <c r="F51" s="254">
        <f t="shared" si="2"/>
        <v>46962938.100034416</v>
      </c>
      <c r="G51" s="255">
        <v>54249</v>
      </c>
      <c r="H51" s="254">
        <v>10269721.470326371</v>
      </c>
      <c r="I51" s="254">
        <f>IFERROR(VLOOKUP($B51-1,CDM!$L$7:$T$18,3,FALSE)/12,0)+IFERROR(VLOOKUP($B51,CDM!$L$36:$T$46,3,FALSE)/24,0)+IFERROR(VLOOKUP($B51,CDM!$L$36:$T$46,3,FALSE)/2*$C51/78,0)</f>
        <v>548212.54367259843</v>
      </c>
      <c r="J51" s="254">
        <f t="shared" si="6"/>
        <v>10817934.01399897</v>
      </c>
      <c r="K51" s="256">
        <v>4209</v>
      </c>
      <c r="L51" s="4">
        <v>29467933.777831599</v>
      </c>
      <c r="M51" s="257">
        <f>IFERROR(VLOOKUP($B51-1,CDM!$L$7:$T$18,4,FALSE)/12,0)+IFERROR(VLOOKUP($B51,CDM!$L$36:$T$46,4,FALSE)/24,0)+IFERROR(VLOOKUP($B51,CDM!$L$36:$T$46,4,FALSE)/2*$C51/78,0)</f>
        <v>634298.80408279155</v>
      </c>
      <c r="N51" s="254">
        <f t="shared" si="3"/>
        <v>30102232.581914391</v>
      </c>
      <c r="O51" s="4">
        <v>73286</v>
      </c>
      <c r="P51" s="256">
        <v>522</v>
      </c>
      <c r="Q51" s="256">
        <v>5844706.2231507879</v>
      </c>
      <c r="R51" s="256">
        <f>IFERROR(VLOOKUP($B51-1,CDM!$L$7:$T$18,5,FALSE)/12,0)+IFERROR(VLOOKUP($B51,CDM!$L$36:$T$46,5,FALSE)/24,0)+IFERROR(VLOOKUP($B51,CDM!$L$36:$T$46,5,FALSE)/2*$C51/78,0)</f>
        <v>855588.83486887359</v>
      </c>
      <c r="S51" s="256">
        <f t="shared" si="7"/>
        <v>6700295.0580196613</v>
      </c>
      <c r="T51" s="256">
        <v>14867</v>
      </c>
      <c r="U51" s="256">
        <v>14</v>
      </c>
      <c r="V51" s="256">
        <v>2864073.6348337554</v>
      </c>
      <c r="W51" s="256">
        <f>IFERROR(VLOOKUP($B51-1,CDM!$L$7:$T$18,6,FALSE)/12,0)+IFERROR(VLOOKUP($B51,CDM!$L$36:$T$46,6,FALSE)/24,0)+IFERROR(VLOOKUP($B51,CDM!$L$36:$T$46,6,FALSE)/2*$C51/78,0)</f>
        <v>23230.862232905984</v>
      </c>
      <c r="X51" s="256">
        <f t="shared" si="8"/>
        <v>2887304.4970666612</v>
      </c>
      <c r="Y51" s="256">
        <v>7648</v>
      </c>
      <c r="Z51" s="256">
        <v>1</v>
      </c>
      <c r="AA51" s="4">
        <v>382526.50938625319</v>
      </c>
      <c r="AB51" s="4">
        <v>1018</v>
      </c>
      <c r="AC51" s="256">
        <v>13895</v>
      </c>
      <c r="AD51" s="256">
        <v>2043.1813847034146</v>
      </c>
      <c r="AE51" s="256">
        <v>0</v>
      </c>
      <c r="AF51" s="256">
        <v>19</v>
      </c>
      <c r="AG51" s="4">
        <v>211680</v>
      </c>
      <c r="AH51" s="4">
        <v>246</v>
      </c>
      <c r="AI51" s="28">
        <f>Economic!H53</f>
        <v>807274.5</v>
      </c>
      <c r="AJ51" s="28">
        <f>Economic!I53</f>
        <v>626103.1</v>
      </c>
      <c r="AK51" s="28">
        <f>Economic!J53</f>
        <v>59751.3</v>
      </c>
      <c r="AL51" s="28">
        <f>Economic!K53</f>
        <v>800724</v>
      </c>
      <c r="AM51" s="28">
        <f>Economic!L53</f>
        <v>619045</v>
      </c>
      <c r="AN51" s="28">
        <f>Economic!M53</f>
        <v>31743</v>
      </c>
      <c r="AO51" s="28">
        <f>Economic!D53</f>
        <v>7345.4</v>
      </c>
      <c r="AP51" s="28">
        <f>Economic!E53</f>
        <v>7278.4</v>
      </c>
      <c r="AQ51" s="28">
        <f>Economic!F53</f>
        <v>219.1</v>
      </c>
      <c r="AR51" s="28">
        <f>Economic!G53</f>
        <v>217</v>
      </c>
      <c r="AS51" s="28">
        <f>Economic!N53</f>
        <v>156.5</v>
      </c>
      <c r="AT51" s="28">
        <f>Economic!O53</f>
        <v>158.29999999999927</v>
      </c>
      <c r="AU51" s="28">
        <f>Economic!P53</f>
        <v>11.699999999999989</v>
      </c>
      <c r="AV51" s="28">
        <f>Economic!Q53</f>
        <v>11.400000000000006</v>
      </c>
      <c r="AW51" s="28">
        <f>Economic!R53</f>
        <v>17742.900000000023</v>
      </c>
      <c r="AX51" s="28">
        <f>Economic!S53</f>
        <v>1092</v>
      </c>
      <c r="AY51" s="7">
        <f>Weather!D51</f>
        <v>-4.8322916666666682</v>
      </c>
      <c r="AZ51" s="7">
        <f>Weather!E51</f>
        <v>695.30416666666645</v>
      </c>
      <c r="BA51" s="7">
        <f>Weather!F51</f>
        <v>0</v>
      </c>
      <c r="BB51" s="7">
        <f>Weather!G51</f>
        <v>639.30416666666645</v>
      </c>
      <c r="BC51" s="7">
        <f>Weather!H51</f>
        <v>0</v>
      </c>
      <c r="BD51" s="7">
        <f>Weather!I51</f>
        <v>583.30416666666656</v>
      </c>
      <c r="BE51" s="7">
        <f>Weather!J51</f>
        <v>0</v>
      </c>
      <c r="BF51" s="7">
        <f>Weather!K51</f>
        <v>527.30416666666656</v>
      </c>
      <c r="BG51" s="7">
        <f>Weather!L51</f>
        <v>0</v>
      </c>
      <c r="BH51" s="7">
        <f>Weather!M51</f>
        <v>471.30416666666662</v>
      </c>
      <c r="BI51" s="7">
        <f>Weather!N51</f>
        <v>0</v>
      </c>
      <c r="BJ51" s="7">
        <f>Weather!O51</f>
        <v>415.30416666666656</v>
      </c>
      <c r="BK51" s="7">
        <f>Weather!P51</f>
        <v>0</v>
      </c>
      <c r="BL51" s="7">
        <f>Weather!Q51</f>
        <v>359.30416666666662</v>
      </c>
      <c r="BM51" s="7">
        <f>Weather!R51</f>
        <v>0</v>
      </c>
      <c r="BN51" s="1">
        <v>0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f t="shared" ref="BZ51:CB66" si="16">BZ39</f>
        <v>0</v>
      </c>
      <c r="CA51" s="1">
        <f t="shared" si="16"/>
        <v>0</v>
      </c>
      <c r="CB51" s="1">
        <f t="shared" si="16"/>
        <v>0</v>
      </c>
      <c r="CC51" s="1">
        <f t="shared" si="9"/>
        <v>50</v>
      </c>
      <c r="CD51" s="1">
        <f t="shared" ref="CD51:CD114" si="17">CD3</f>
        <v>28</v>
      </c>
      <c r="CE51" s="1">
        <v>19</v>
      </c>
      <c r="CF51" s="1">
        <v>0</v>
      </c>
      <c r="CG51" s="1">
        <v>0</v>
      </c>
      <c r="CH51" s="1">
        <v>0</v>
      </c>
      <c r="CI51" s="1">
        <v>0</v>
      </c>
      <c r="CJ51" s="1">
        <f t="shared" si="12"/>
        <v>0</v>
      </c>
      <c r="CK51" s="1">
        <f t="shared" si="12"/>
        <v>0</v>
      </c>
      <c r="CL51" s="1">
        <f t="shared" si="12"/>
        <v>0</v>
      </c>
      <c r="CM51" s="1">
        <f t="shared" si="12"/>
        <v>0</v>
      </c>
      <c r="CN51" s="1">
        <f t="shared" si="12"/>
        <v>0</v>
      </c>
      <c r="CO51" s="1">
        <f t="shared" si="14"/>
        <v>0</v>
      </c>
      <c r="CP51" s="1">
        <f t="shared" si="14"/>
        <v>0</v>
      </c>
      <c r="CQ51" s="1">
        <f t="shared" si="14"/>
        <v>0</v>
      </c>
      <c r="CR51" s="1">
        <f t="shared" si="14"/>
        <v>0</v>
      </c>
      <c r="CS51" s="1">
        <f t="shared" si="14"/>
        <v>0</v>
      </c>
      <c r="CT51" s="1">
        <f t="shared" si="14"/>
        <v>0</v>
      </c>
      <c r="CU51" s="1">
        <f t="shared" si="14"/>
        <v>0</v>
      </c>
      <c r="CV51" s="1">
        <f t="shared" si="14"/>
        <v>0</v>
      </c>
      <c r="CW51" s="1">
        <f t="shared" si="14"/>
        <v>0</v>
      </c>
      <c r="CX51" s="1">
        <f t="shared" si="13"/>
        <v>0</v>
      </c>
      <c r="CY51" s="1">
        <f t="shared" si="13"/>
        <v>0</v>
      </c>
      <c r="CZ51" s="1">
        <f t="shared" si="13"/>
        <v>0</v>
      </c>
      <c r="DA51" s="1">
        <f t="shared" si="13"/>
        <v>0</v>
      </c>
      <c r="DB51" s="1">
        <f t="shared" si="13"/>
        <v>0</v>
      </c>
      <c r="DC51" s="1">
        <f t="shared" si="15"/>
        <v>0</v>
      </c>
      <c r="DD51" s="1">
        <f t="shared" si="15"/>
        <v>0</v>
      </c>
      <c r="DE51" s="1">
        <f t="shared" si="15"/>
        <v>0</v>
      </c>
      <c r="DF51" s="1">
        <f t="shared" si="15"/>
        <v>0</v>
      </c>
      <c r="DG51" s="1">
        <f t="shared" si="15"/>
        <v>0</v>
      </c>
      <c r="DH51" s="1">
        <f t="shared" si="15"/>
        <v>0</v>
      </c>
      <c r="DI51" s="1">
        <f t="shared" si="15"/>
        <v>0</v>
      </c>
      <c r="DJ51" s="1">
        <f t="shared" si="15"/>
        <v>0</v>
      </c>
      <c r="DK51" s="1">
        <f t="shared" si="15"/>
        <v>0</v>
      </c>
      <c r="DL51" s="24">
        <v>494921.12</v>
      </c>
      <c r="DM51" s="25">
        <v>905.81999999999994</v>
      </c>
      <c r="DN51" s="24"/>
      <c r="DO51" s="25"/>
      <c r="DP51" s="25"/>
      <c r="DQ51" s="25"/>
      <c r="DR51" s="25"/>
      <c r="DS51" s="25"/>
      <c r="DT51" s="25"/>
      <c r="DU51" s="25"/>
      <c r="DV51" s="25"/>
    </row>
    <row r="52" spans="1:126" x14ac:dyDescent="0.25">
      <c r="A52" s="252">
        <v>43525</v>
      </c>
      <c r="B52" s="253">
        <f t="shared" si="0"/>
        <v>2019</v>
      </c>
      <c r="C52" s="253">
        <f t="shared" si="1"/>
        <v>3</v>
      </c>
      <c r="D52" s="254">
        <v>38128680.029112987</v>
      </c>
      <c r="E52" s="254">
        <f>IFERROR(VLOOKUP($B52-1,CDM!$L$7:$T$18,2,FALSE)/12,0)+IFERROR(VLOOKUP($B52,CDM!$L$36:$T$46,2,FALSE)/24,0)+IFERROR(VLOOKUP($B52,CDM!$L$36:$T$46,2,FALSE)/2*$C52/78,0)</f>
        <v>2400579.7275393992</v>
      </c>
      <c r="F52" s="254">
        <f t="shared" si="2"/>
        <v>40529259.756652385</v>
      </c>
      <c r="G52" s="255">
        <v>54346</v>
      </c>
      <c r="H52" s="254">
        <v>10628150.658613529</v>
      </c>
      <c r="I52" s="254">
        <f>IFERROR(VLOOKUP($B52-1,CDM!$L$7:$T$18,3,FALSE)/12,0)+IFERROR(VLOOKUP($B52,CDM!$L$36:$T$46,3,FALSE)/24,0)+IFERROR(VLOOKUP($B52,CDM!$L$36:$T$46,3,FALSE)/2*$C52/78,0)</f>
        <v>549975.56614892848</v>
      </c>
      <c r="J52" s="254">
        <f t="shared" si="6"/>
        <v>11178126.224762458</v>
      </c>
      <c r="K52" s="256">
        <v>4202</v>
      </c>
      <c r="L52" s="4">
        <v>30052388.375604767</v>
      </c>
      <c r="M52" s="257">
        <f>IFERROR(VLOOKUP($B52-1,CDM!$L$7:$T$18,4,FALSE)/12,0)+IFERROR(VLOOKUP($B52,CDM!$L$36:$T$46,4,FALSE)/24,0)+IFERROR(VLOOKUP($B52,CDM!$L$36:$T$46,4,FALSE)/2*$C52/78,0)</f>
        <v>638078.13454674394</v>
      </c>
      <c r="N52" s="254">
        <f t="shared" si="3"/>
        <v>30690466.510151513</v>
      </c>
      <c r="O52" s="4">
        <v>69093</v>
      </c>
      <c r="P52" s="256">
        <v>521</v>
      </c>
      <c r="Q52" s="256">
        <v>6344637.4476081757</v>
      </c>
      <c r="R52" s="256">
        <f>IFERROR(VLOOKUP($B52-1,CDM!$L$7:$T$18,5,FALSE)/12,0)+IFERROR(VLOOKUP($B52,CDM!$L$36:$T$46,5,FALSE)/24,0)+IFERROR(VLOOKUP($B52,CDM!$L$36:$T$46,5,FALSE)/2*$C52/78,0)</f>
        <v>855588.83486887359</v>
      </c>
      <c r="S52" s="256">
        <f t="shared" si="7"/>
        <v>7200226.2824770492</v>
      </c>
      <c r="T52" s="256">
        <v>14642</v>
      </c>
      <c r="U52" s="256">
        <v>14</v>
      </c>
      <c r="V52" s="256">
        <v>3271187.2445928664</v>
      </c>
      <c r="W52" s="256">
        <f>IFERROR(VLOOKUP($B52-1,CDM!$L$7:$T$18,6,FALSE)/12,0)+IFERROR(VLOOKUP($B52,CDM!$L$36:$T$46,6,FALSE)/24,0)+IFERROR(VLOOKUP($B52,CDM!$L$36:$T$46,6,FALSE)/2*$C52/78,0)</f>
        <v>23229.452724358976</v>
      </c>
      <c r="X52" s="256">
        <f t="shared" si="8"/>
        <v>3294416.6973172254</v>
      </c>
      <c r="Y52" s="256">
        <v>6827</v>
      </c>
      <c r="Z52" s="256">
        <v>1</v>
      </c>
      <c r="AA52" s="4">
        <v>383105.59658160026</v>
      </c>
      <c r="AB52" s="4">
        <v>1018</v>
      </c>
      <c r="AC52" s="256">
        <v>13895</v>
      </c>
      <c r="AD52" s="256">
        <v>2081.1176807171469</v>
      </c>
      <c r="AE52" s="256">
        <v>0</v>
      </c>
      <c r="AF52" s="256">
        <v>19</v>
      </c>
      <c r="AG52" s="4">
        <v>212935</v>
      </c>
      <c r="AH52" s="4">
        <v>246</v>
      </c>
      <c r="AI52" s="28">
        <f>Economic!H54</f>
        <v>807274.5</v>
      </c>
      <c r="AJ52" s="28">
        <f>Economic!I54</f>
        <v>626103.1</v>
      </c>
      <c r="AK52" s="28">
        <f>Economic!J54</f>
        <v>59751.3</v>
      </c>
      <c r="AL52" s="28">
        <f>Economic!K54</f>
        <v>800724</v>
      </c>
      <c r="AM52" s="28">
        <f>Economic!L54</f>
        <v>619045</v>
      </c>
      <c r="AN52" s="28">
        <f>Economic!M54</f>
        <v>31743</v>
      </c>
      <c r="AO52" s="28">
        <f>Economic!D54</f>
        <v>7361.3</v>
      </c>
      <c r="AP52" s="28">
        <f>Economic!E54</f>
        <v>7256.9</v>
      </c>
      <c r="AQ52" s="28">
        <f>Economic!F54</f>
        <v>221.6</v>
      </c>
      <c r="AR52" s="28">
        <f>Economic!G54</f>
        <v>219.6</v>
      </c>
      <c r="AS52" s="28">
        <f>Economic!N54</f>
        <v>172.5</v>
      </c>
      <c r="AT52" s="28">
        <f>Economic!O54</f>
        <v>172.79999999999927</v>
      </c>
      <c r="AU52" s="28">
        <f>Economic!P54</f>
        <v>11.199999999999989</v>
      </c>
      <c r="AV52" s="28">
        <f>Economic!Q54</f>
        <v>11.299999999999983</v>
      </c>
      <c r="AW52" s="28">
        <f>Economic!R54</f>
        <v>17742.900000000023</v>
      </c>
      <c r="AX52" s="28">
        <f>Economic!S54</f>
        <v>1092</v>
      </c>
      <c r="AY52" s="7">
        <f>Weather!D52</f>
        <v>-1.7244623655913986</v>
      </c>
      <c r="AZ52" s="7">
        <f>Weather!E52</f>
        <v>673.45833333333326</v>
      </c>
      <c r="BA52" s="7">
        <f>Weather!F52</f>
        <v>0</v>
      </c>
      <c r="BB52" s="7">
        <f>Weather!G52</f>
        <v>611.45833333333337</v>
      </c>
      <c r="BC52" s="7">
        <f>Weather!H52</f>
        <v>0</v>
      </c>
      <c r="BD52" s="7">
        <f>Weather!I52</f>
        <v>549.45833333333326</v>
      </c>
      <c r="BE52" s="7">
        <f>Weather!J52</f>
        <v>0</v>
      </c>
      <c r="BF52" s="7">
        <f>Weather!K52</f>
        <v>487.45833333333331</v>
      </c>
      <c r="BG52" s="7">
        <f>Weather!L52</f>
        <v>0</v>
      </c>
      <c r="BH52" s="7">
        <f>Weather!M52</f>
        <v>425.45833333333326</v>
      </c>
      <c r="BI52" s="7">
        <f>Weather!N52</f>
        <v>0</v>
      </c>
      <c r="BJ52" s="7">
        <f>Weather!O52</f>
        <v>363.45833333333326</v>
      </c>
      <c r="BK52" s="7">
        <f>Weather!P52</f>
        <v>0</v>
      </c>
      <c r="BL52" s="7">
        <f>Weather!Q52</f>
        <v>301.45833333333326</v>
      </c>
      <c r="BM52" s="7">
        <f>Weather!R52</f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f t="shared" si="16"/>
        <v>1</v>
      </c>
      <c r="CA52" s="1">
        <f t="shared" si="16"/>
        <v>0</v>
      </c>
      <c r="CB52" s="1">
        <f t="shared" si="16"/>
        <v>1</v>
      </c>
      <c r="CC52" s="1">
        <f t="shared" si="9"/>
        <v>51</v>
      </c>
      <c r="CD52" s="1">
        <f t="shared" si="17"/>
        <v>31</v>
      </c>
      <c r="CE52" s="1">
        <v>22</v>
      </c>
      <c r="CF52" s="1">
        <v>0</v>
      </c>
      <c r="CG52" s="1">
        <v>0</v>
      </c>
      <c r="CH52" s="1">
        <v>0</v>
      </c>
      <c r="CI52" s="1">
        <v>0</v>
      </c>
      <c r="CJ52" s="1">
        <f t="shared" si="12"/>
        <v>0</v>
      </c>
      <c r="CK52" s="1">
        <f t="shared" si="12"/>
        <v>0</v>
      </c>
      <c r="CL52" s="1">
        <f t="shared" si="12"/>
        <v>0</v>
      </c>
      <c r="CM52" s="1">
        <f t="shared" si="12"/>
        <v>0</v>
      </c>
      <c r="CN52" s="1">
        <f t="shared" si="12"/>
        <v>0</v>
      </c>
      <c r="CO52" s="1">
        <f t="shared" si="14"/>
        <v>0</v>
      </c>
      <c r="CP52" s="1">
        <f t="shared" si="14"/>
        <v>0</v>
      </c>
      <c r="CQ52" s="1">
        <f t="shared" si="14"/>
        <v>0</v>
      </c>
      <c r="CR52" s="1">
        <f t="shared" si="14"/>
        <v>0</v>
      </c>
      <c r="CS52" s="1">
        <f t="shared" si="14"/>
        <v>0</v>
      </c>
      <c r="CT52" s="1">
        <f t="shared" si="14"/>
        <v>0</v>
      </c>
      <c r="CU52" s="1">
        <f t="shared" si="14"/>
        <v>0</v>
      </c>
      <c r="CV52" s="1">
        <f t="shared" si="14"/>
        <v>0</v>
      </c>
      <c r="CW52" s="1">
        <f t="shared" si="14"/>
        <v>0</v>
      </c>
      <c r="CX52" s="1">
        <f t="shared" si="13"/>
        <v>0</v>
      </c>
      <c r="CY52" s="1">
        <f t="shared" si="13"/>
        <v>0</v>
      </c>
      <c r="CZ52" s="1">
        <f t="shared" si="13"/>
        <v>0</v>
      </c>
      <c r="DA52" s="1">
        <f t="shared" si="13"/>
        <v>0</v>
      </c>
      <c r="DB52" s="1">
        <f t="shared" si="13"/>
        <v>0</v>
      </c>
      <c r="DC52" s="1">
        <f t="shared" si="15"/>
        <v>0</v>
      </c>
      <c r="DD52" s="1">
        <f t="shared" si="15"/>
        <v>0</v>
      </c>
      <c r="DE52" s="1">
        <f t="shared" si="15"/>
        <v>0</v>
      </c>
      <c r="DF52" s="1">
        <f t="shared" si="15"/>
        <v>0</v>
      </c>
      <c r="DG52" s="1">
        <f t="shared" si="15"/>
        <v>0</v>
      </c>
      <c r="DH52" s="1">
        <f t="shared" si="15"/>
        <v>0</v>
      </c>
      <c r="DI52" s="1">
        <f t="shared" si="15"/>
        <v>0</v>
      </c>
      <c r="DJ52" s="1">
        <f t="shared" si="15"/>
        <v>0</v>
      </c>
      <c r="DK52" s="1">
        <f t="shared" si="15"/>
        <v>0</v>
      </c>
      <c r="DL52" s="24">
        <v>544075.96</v>
      </c>
      <c r="DM52" s="25">
        <v>879.71</v>
      </c>
      <c r="DN52" s="24"/>
      <c r="DO52" s="25"/>
      <c r="DP52" s="25"/>
      <c r="DQ52" s="25"/>
      <c r="DR52" s="25"/>
      <c r="DS52" s="25"/>
      <c r="DT52" s="25"/>
      <c r="DU52" s="25"/>
      <c r="DV52" s="25"/>
    </row>
    <row r="53" spans="1:126" x14ac:dyDescent="0.25">
      <c r="A53" s="252">
        <v>43556</v>
      </c>
      <c r="B53" s="253">
        <f t="shared" si="0"/>
        <v>2019</v>
      </c>
      <c r="C53" s="253">
        <f t="shared" si="1"/>
        <v>4</v>
      </c>
      <c r="D53" s="254">
        <v>35979706.854368143</v>
      </c>
      <c r="E53" s="254">
        <f>IFERROR(VLOOKUP($B53-1,CDM!$L$7:$T$18,2,FALSE)/12,0)+IFERROR(VLOOKUP($B53,CDM!$L$36:$T$46,2,FALSE)/24,0)+IFERROR(VLOOKUP($B53,CDM!$L$36:$T$46,2,FALSE)/2*$C53/78,0)</f>
        <v>2410704.3053852851</v>
      </c>
      <c r="F53" s="254">
        <f t="shared" si="2"/>
        <v>38390411.159753427</v>
      </c>
      <c r="G53" s="255">
        <v>54485</v>
      </c>
      <c r="H53" s="254">
        <v>9053484.4275087919</v>
      </c>
      <c r="I53" s="254">
        <f>IFERROR(VLOOKUP($B53-1,CDM!$L$7:$T$18,3,FALSE)/12,0)+IFERROR(VLOOKUP($B53,CDM!$L$36:$T$46,3,FALSE)/24,0)+IFERROR(VLOOKUP($B53,CDM!$L$36:$T$46,3,FALSE)/2*$C53/78,0)</f>
        <v>551738.58862525842</v>
      </c>
      <c r="J53" s="254">
        <f t="shared" si="6"/>
        <v>9605223.0161340497</v>
      </c>
      <c r="K53" s="256">
        <v>4202</v>
      </c>
      <c r="L53" s="4">
        <v>24936168.984092049</v>
      </c>
      <c r="M53" s="257">
        <f>IFERROR(VLOOKUP($B53-1,CDM!$L$7:$T$18,4,FALSE)/12,0)+IFERROR(VLOOKUP($B53,CDM!$L$36:$T$46,4,FALSE)/24,0)+IFERROR(VLOOKUP($B53,CDM!$L$36:$T$46,4,FALSE)/2*$C53/78,0)</f>
        <v>641857.46501069621</v>
      </c>
      <c r="N53" s="254">
        <f t="shared" si="3"/>
        <v>25578026.449102744</v>
      </c>
      <c r="O53" s="4">
        <v>63332</v>
      </c>
      <c r="P53" s="256">
        <v>522</v>
      </c>
      <c r="Q53" s="256">
        <v>5901540.6079390589</v>
      </c>
      <c r="R53" s="256">
        <f>IFERROR(VLOOKUP($B53-1,CDM!$L$7:$T$18,5,FALSE)/12,0)+IFERROR(VLOOKUP($B53,CDM!$L$36:$T$46,5,FALSE)/24,0)+IFERROR(VLOOKUP($B53,CDM!$L$36:$T$46,5,FALSE)/2*$C53/78,0)</f>
        <v>855588.83486887359</v>
      </c>
      <c r="S53" s="256">
        <f t="shared" si="7"/>
        <v>6757129.4428079324</v>
      </c>
      <c r="T53" s="256">
        <v>14392</v>
      </c>
      <c r="U53" s="256">
        <v>14</v>
      </c>
      <c r="V53" s="256">
        <v>3115930.8448223723</v>
      </c>
      <c r="W53" s="256">
        <f>IFERROR(VLOOKUP($B53-1,CDM!$L$7:$T$18,6,FALSE)/12,0)+IFERROR(VLOOKUP($B53,CDM!$L$36:$T$46,6,FALSE)/24,0)+IFERROR(VLOOKUP($B53,CDM!$L$36:$T$46,6,FALSE)/2*$C53/78,0)</f>
        <v>23228.043215811969</v>
      </c>
      <c r="X53" s="256">
        <f t="shared" si="8"/>
        <v>3139158.8880381845</v>
      </c>
      <c r="Y53" s="256">
        <v>6412</v>
      </c>
      <c r="Z53" s="256">
        <v>1</v>
      </c>
      <c r="AA53" s="4">
        <v>326807.61538016982</v>
      </c>
      <c r="AB53" s="4">
        <v>1018</v>
      </c>
      <c r="AC53" s="256">
        <v>13895</v>
      </c>
      <c r="AD53" s="256">
        <v>2134.3887087545299</v>
      </c>
      <c r="AE53" s="256">
        <v>0</v>
      </c>
      <c r="AF53" s="256">
        <v>19</v>
      </c>
      <c r="AG53" s="4">
        <v>213698</v>
      </c>
      <c r="AH53" s="4">
        <v>246</v>
      </c>
      <c r="AI53" s="28">
        <f>Economic!H55</f>
        <v>807274.5</v>
      </c>
      <c r="AJ53" s="28">
        <f>Economic!I55</f>
        <v>626103.1</v>
      </c>
      <c r="AK53" s="28">
        <f>Economic!J55</f>
        <v>59751.3</v>
      </c>
      <c r="AL53" s="28">
        <f>Economic!K55</f>
        <v>806630</v>
      </c>
      <c r="AM53" s="28">
        <f>Economic!L55</f>
        <v>624723</v>
      </c>
      <c r="AN53" s="28">
        <f>Economic!M55</f>
        <v>32769</v>
      </c>
      <c r="AO53" s="28">
        <f>Economic!D55</f>
        <v>7382.3</v>
      </c>
      <c r="AP53" s="28">
        <f>Economic!E55</f>
        <v>7294</v>
      </c>
      <c r="AQ53" s="28">
        <f>Economic!F55</f>
        <v>220.7</v>
      </c>
      <c r="AR53" s="28">
        <f>Economic!G55</f>
        <v>220.1</v>
      </c>
      <c r="AS53" s="28">
        <f>Economic!N55</f>
        <v>181.19999999999982</v>
      </c>
      <c r="AT53" s="28">
        <f>Economic!O55</f>
        <v>182.39999999999964</v>
      </c>
      <c r="AU53" s="28">
        <f>Economic!P55</f>
        <v>6.1999999999999886</v>
      </c>
      <c r="AV53" s="28">
        <f>Economic!Q55</f>
        <v>6.7999999999999829</v>
      </c>
      <c r="AW53" s="28">
        <f>Economic!R55</f>
        <v>17742.900000000023</v>
      </c>
      <c r="AX53" s="28">
        <f>Economic!S55</f>
        <v>5906</v>
      </c>
      <c r="AY53" s="7">
        <f>Weather!D53</f>
        <v>5.778194444444444</v>
      </c>
      <c r="AZ53" s="7">
        <f>Weather!E53</f>
        <v>426.6541666666667</v>
      </c>
      <c r="BA53" s="7">
        <f>Weather!F53</f>
        <v>0</v>
      </c>
      <c r="BB53" s="7">
        <f>Weather!G53</f>
        <v>366.65416666666664</v>
      </c>
      <c r="BC53" s="7">
        <f>Weather!H53</f>
        <v>0</v>
      </c>
      <c r="BD53" s="7">
        <f>Weather!I53</f>
        <v>306.65416666666664</v>
      </c>
      <c r="BE53" s="7">
        <f>Weather!J53</f>
        <v>0</v>
      </c>
      <c r="BF53" s="7">
        <f>Weather!K53</f>
        <v>246.6541666666667</v>
      </c>
      <c r="BG53" s="7">
        <f>Weather!L53</f>
        <v>0</v>
      </c>
      <c r="BH53" s="7">
        <f>Weather!M53</f>
        <v>187.50000000000003</v>
      </c>
      <c r="BI53" s="7">
        <f>Weather!N53</f>
        <v>0.84583333333333144</v>
      </c>
      <c r="BJ53" s="7">
        <f>Weather!O53</f>
        <v>129.53333333333336</v>
      </c>
      <c r="BK53" s="7">
        <f>Weather!P53</f>
        <v>2.8791666666666664</v>
      </c>
      <c r="BL53" s="7">
        <f>Weather!Q53</f>
        <v>81.245833333333351</v>
      </c>
      <c r="BM53" s="7">
        <f>Weather!R53</f>
        <v>14.591666666666663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f t="shared" si="16"/>
        <v>1</v>
      </c>
      <c r="CA53" s="1">
        <f t="shared" si="16"/>
        <v>0</v>
      </c>
      <c r="CB53" s="1">
        <f t="shared" si="16"/>
        <v>1</v>
      </c>
      <c r="CC53" s="1">
        <f t="shared" si="9"/>
        <v>52</v>
      </c>
      <c r="CD53" s="1">
        <f t="shared" si="17"/>
        <v>30</v>
      </c>
      <c r="CE53" s="1">
        <v>21</v>
      </c>
      <c r="CF53" s="1">
        <v>0</v>
      </c>
      <c r="CG53" s="1">
        <v>0</v>
      </c>
      <c r="CH53" s="1">
        <v>0</v>
      </c>
      <c r="CI53" s="1">
        <v>0</v>
      </c>
      <c r="CJ53" s="1">
        <f t="shared" si="12"/>
        <v>0</v>
      </c>
      <c r="CK53" s="1">
        <f t="shared" si="12"/>
        <v>0</v>
      </c>
      <c r="CL53" s="1">
        <f t="shared" si="12"/>
        <v>0</v>
      </c>
      <c r="CM53" s="1">
        <f t="shared" si="12"/>
        <v>0</v>
      </c>
      <c r="CN53" s="1">
        <f t="shared" si="12"/>
        <v>0</v>
      </c>
      <c r="CO53" s="1">
        <f t="shared" si="14"/>
        <v>0</v>
      </c>
      <c r="CP53" s="1">
        <f t="shared" si="14"/>
        <v>0</v>
      </c>
      <c r="CQ53" s="1">
        <f t="shared" si="14"/>
        <v>0</v>
      </c>
      <c r="CR53" s="1">
        <f t="shared" si="14"/>
        <v>0</v>
      </c>
      <c r="CS53" s="1">
        <f t="shared" si="14"/>
        <v>0</v>
      </c>
      <c r="CT53" s="1">
        <f t="shared" si="14"/>
        <v>0</v>
      </c>
      <c r="CU53" s="1">
        <f t="shared" si="14"/>
        <v>0</v>
      </c>
      <c r="CV53" s="1">
        <f t="shared" si="14"/>
        <v>0</v>
      </c>
      <c r="CW53" s="1">
        <f t="shared" si="14"/>
        <v>0</v>
      </c>
      <c r="CX53" s="1">
        <f t="shared" si="13"/>
        <v>0</v>
      </c>
      <c r="CY53" s="1">
        <f t="shared" si="13"/>
        <v>0</v>
      </c>
      <c r="CZ53" s="1">
        <f t="shared" si="13"/>
        <v>0</v>
      </c>
      <c r="DA53" s="1">
        <f t="shared" si="13"/>
        <v>0</v>
      </c>
      <c r="DB53" s="1">
        <f t="shared" si="13"/>
        <v>0</v>
      </c>
      <c r="DC53" s="1">
        <f t="shared" si="15"/>
        <v>0</v>
      </c>
      <c r="DD53" s="1">
        <f t="shared" si="15"/>
        <v>0</v>
      </c>
      <c r="DE53" s="1">
        <f t="shared" si="15"/>
        <v>0</v>
      </c>
      <c r="DF53" s="1">
        <f t="shared" si="15"/>
        <v>0</v>
      </c>
      <c r="DG53" s="1">
        <f t="shared" si="15"/>
        <v>0</v>
      </c>
      <c r="DH53" s="1">
        <f t="shared" si="15"/>
        <v>0</v>
      </c>
      <c r="DI53" s="1">
        <f t="shared" si="15"/>
        <v>0</v>
      </c>
      <c r="DJ53" s="1">
        <f t="shared" si="15"/>
        <v>0</v>
      </c>
      <c r="DK53" s="1">
        <f t="shared" si="15"/>
        <v>0</v>
      </c>
      <c r="DL53" s="24">
        <v>526290.72</v>
      </c>
      <c r="DM53" s="25">
        <v>972.12999999999988</v>
      </c>
      <c r="DN53" s="24"/>
      <c r="DO53" s="25"/>
      <c r="DP53" s="25"/>
      <c r="DQ53" s="25"/>
      <c r="DR53" s="25"/>
      <c r="DS53" s="25"/>
      <c r="DT53" s="25"/>
      <c r="DU53" s="25"/>
      <c r="DV53" s="25"/>
    </row>
    <row r="54" spans="1:126" x14ac:dyDescent="0.25">
      <c r="A54" s="252">
        <v>43586</v>
      </c>
      <c r="B54" s="253">
        <f t="shared" ref="B54:B115" si="18">YEAR(A54)</f>
        <v>2019</v>
      </c>
      <c r="C54" s="253">
        <f t="shared" ref="C54:C115" si="19">MONTH(A54)</f>
        <v>5</v>
      </c>
      <c r="D54" s="254">
        <v>32013633.484071277</v>
      </c>
      <c r="E54" s="254">
        <f>IFERROR(VLOOKUP($B54-1,CDM!$L$7:$T$18,2,FALSE)/12,0)+IFERROR(VLOOKUP($B54,CDM!$L$36:$T$46,2,FALSE)/24,0)+IFERROR(VLOOKUP($B54,CDM!$L$36:$T$46,2,FALSE)/2*$C54/78,0)</f>
        <v>2420828.8832311714</v>
      </c>
      <c r="F54" s="254">
        <f t="shared" ref="F54:F115" si="20">D54+E54</f>
        <v>34434462.367302448</v>
      </c>
      <c r="G54" s="255">
        <v>54669</v>
      </c>
      <c r="H54" s="254">
        <v>8667775.5412455741</v>
      </c>
      <c r="I54" s="254">
        <f>IFERROR(VLOOKUP($B54-1,CDM!$L$7:$T$18,3,FALSE)/12,0)+IFERROR(VLOOKUP($B54,CDM!$L$36:$T$46,3,FALSE)/24,0)+IFERROR(VLOOKUP($B54,CDM!$L$36:$T$46,3,FALSE)/2*$C54/78,0)</f>
        <v>553501.61110158847</v>
      </c>
      <c r="J54" s="254">
        <f t="shared" ref="J54:J115" si="21">H54+I54</f>
        <v>9221277.1523471624</v>
      </c>
      <c r="K54" s="256">
        <v>4196</v>
      </c>
      <c r="L54" s="256">
        <v>24130657.316438213</v>
      </c>
      <c r="M54" s="257">
        <f>IFERROR(VLOOKUP($B54-1,CDM!$L$7:$T$18,4,FALSE)/12,0)+IFERROR(VLOOKUP($B54,CDM!$L$36:$T$46,4,FALSE)/24,0)+IFERROR(VLOOKUP($B54,CDM!$L$36:$T$46,4,FALSE)/2*$C54/78,0)</f>
        <v>645636.79547464848</v>
      </c>
      <c r="N54" s="254">
        <f t="shared" ref="N54:N115" si="22">L54+M54</f>
        <v>24776294.111912861</v>
      </c>
      <c r="O54" s="256">
        <v>48814.397412547863</v>
      </c>
      <c r="P54" s="256">
        <v>524</v>
      </c>
      <c r="Q54" s="256">
        <v>6334720.4874300873</v>
      </c>
      <c r="R54" s="256">
        <f>IFERROR(VLOOKUP($B54-1,CDM!$L$7:$T$18,5,FALSE)/12,0)+IFERROR(VLOOKUP($B54,CDM!$L$36:$T$46,5,FALSE)/24,0)+IFERROR(VLOOKUP($B54,CDM!$L$36:$T$46,5,FALSE)/2*$C54/78,0)</f>
        <v>855588.83486887359</v>
      </c>
      <c r="S54" s="256">
        <f t="shared" si="7"/>
        <v>7190309.3222989608</v>
      </c>
      <c r="T54" s="256">
        <v>15708.23</v>
      </c>
      <c r="U54" s="256">
        <v>14</v>
      </c>
      <c r="V54" s="256">
        <v>3162233.4763844404</v>
      </c>
      <c r="W54" s="256">
        <f>IFERROR(VLOOKUP($B54-1,CDM!$L$7:$T$18,6,FALSE)/12,0)+IFERROR(VLOOKUP($B54,CDM!$L$36:$T$46,6,FALSE)/24,0)+IFERROR(VLOOKUP($B54,CDM!$L$36:$T$46,6,FALSE)/2*$C54/78,0)</f>
        <v>23226.633707264959</v>
      </c>
      <c r="X54" s="256">
        <f t="shared" si="8"/>
        <v>3185460.1100917053</v>
      </c>
      <c r="Y54" s="256">
        <v>7394.49</v>
      </c>
      <c r="Z54" s="256">
        <v>1</v>
      </c>
      <c r="AA54" s="4">
        <v>298953.03465608065</v>
      </c>
      <c r="AB54" s="4">
        <v>1018.27</v>
      </c>
      <c r="AC54" s="256">
        <v>13895</v>
      </c>
      <c r="AD54" s="256">
        <v>2120.2555788670611</v>
      </c>
      <c r="AE54" s="256">
        <v>0</v>
      </c>
      <c r="AF54" s="256">
        <v>19</v>
      </c>
      <c r="AG54" s="4">
        <v>212420</v>
      </c>
      <c r="AH54" s="4">
        <v>246</v>
      </c>
      <c r="AI54" s="28">
        <f>Economic!H56</f>
        <v>807274.5</v>
      </c>
      <c r="AJ54" s="28">
        <f>Economic!I56</f>
        <v>626103.1</v>
      </c>
      <c r="AK54" s="28">
        <f>Economic!J56</f>
        <v>59751.3</v>
      </c>
      <c r="AL54" s="28">
        <f>Economic!K56</f>
        <v>806630</v>
      </c>
      <c r="AM54" s="28">
        <f>Economic!L56</f>
        <v>624723</v>
      </c>
      <c r="AN54" s="28">
        <f>Economic!M56</f>
        <v>32769</v>
      </c>
      <c r="AO54" s="28">
        <f>Economic!D56</f>
        <v>7398.9</v>
      </c>
      <c r="AP54" s="28">
        <f>Economic!E56</f>
        <v>7366.8</v>
      </c>
      <c r="AQ54" s="28">
        <f>Economic!F56</f>
        <v>219.3</v>
      </c>
      <c r="AR54" s="28">
        <f>Economic!G56</f>
        <v>220.9</v>
      </c>
      <c r="AS54" s="28">
        <f>Economic!N56</f>
        <v>190.39999999999964</v>
      </c>
      <c r="AT54" s="28">
        <f>Economic!O56</f>
        <v>190.80000000000018</v>
      </c>
      <c r="AU54" s="28">
        <f>Economic!P56</f>
        <v>1</v>
      </c>
      <c r="AV54" s="28">
        <f>Economic!Q56</f>
        <v>1.5999999999999943</v>
      </c>
      <c r="AW54" s="28">
        <f>Economic!R56</f>
        <v>17742.900000000023</v>
      </c>
      <c r="AX54" s="28">
        <f>Economic!S56</f>
        <v>5906</v>
      </c>
      <c r="AY54" s="7">
        <f>Weather!D54</f>
        <v>11.369850028296549</v>
      </c>
      <c r="AZ54" s="7">
        <f>Weather!E54</f>
        <v>267.53464912280702</v>
      </c>
      <c r="BA54" s="7">
        <f>Weather!F54</f>
        <v>0</v>
      </c>
      <c r="BB54" s="7">
        <f>Weather!G54</f>
        <v>205.53464912280697</v>
      </c>
      <c r="BC54" s="7">
        <f>Weather!H54</f>
        <v>0</v>
      </c>
      <c r="BD54" s="7">
        <f>Weather!I54</f>
        <v>145.93881578947367</v>
      </c>
      <c r="BE54" s="7">
        <f>Weather!J54</f>
        <v>2.4041666666666686</v>
      </c>
      <c r="BF54" s="7">
        <f>Weather!K54</f>
        <v>92.742982456140368</v>
      </c>
      <c r="BG54" s="7">
        <f>Weather!L54</f>
        <v>11.208333333333332</v>
      </c>
      <c r="BH54" s="7">
        <f>Weather!M54</f>
        <v>47.113815789473684</v>
      </c>
      <c r="BI54" s="7">
        <f>Weather!N54</f>
        <v>27.579166666666666</v>
      </c>
      <c r="BJ54" s="7">
        <f>Weather!O54</f>
        <v>21.337500000000002</v>
      </c>
      <c r="BK54" s="7">
        <f>Weather!P54</f>
        <v>63.802850877192981</v>
      </c>
      <c r="BL54" s="7">
        <f>Weather!Q54</f>
        <v>5.4041666666666659</v>
      </c>
      <c r="BM54" s="7">
        <f>Weather!R54</f>
        <v>109.86951754385964</v>
      </c>
      <c r="BN54" s="1">
        <v>0</v>
      </c>
      <c r="BO54" s="1">
        <v>0</v>
      </c>
      <c r="BP54" s="1">
        <v>0</v>
      </c>
      <c r="BQ54" s="1">
        <v>0</v>
      </c>
      <c r="BR54" s="1">
        <v>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f t="shared" si="16"/>
        <v>1</v>
      </c>
      <c r="CA54" s="1">
        <f t="shared" si="16"/>
        <v>0</v>
      </c>
      <c r="CB54" s="1">
        <f t="shared" si="16"/>
        <v>1</v>
      </c>
      <c r="CC54" s="1">
        <f t="shared" ref="CC54:CC117" si="23">1+CC53</f>
        <v>53</v>
      </c>
      <c r="CD54" s="1">
        <f t="shared" si="17"/>
        <v>31</v>
      </c>
      <c r="CE54" s="1">
        <v>20</v>
      </c>
      <c r="CF54" s="1">
        <v>0</v>
      </c>
      <c r="CG54" s="1">
        <v>0</v>
      </c>
      <c r="CH54" s="1">
        <v>0</v>
      </c>
      <c r="CI54" s="1">
        <v>0</v>
      </c>
      <c r="CJ54" s="1">
        <f t="shared" si="12"/>
        <v>0</v>
      </c>
      <c r="CK54" s="1">
        <f t="shared" si="12"/>
        <v>0</v>
      </c>
      <c r="CL54" s="1">
        <f t="shared" si="12"/>
        <v>0</v>
      </c>
      <c r="CM54" s="1">
        <f t="shared" si="12"/>
        <v>0</v>
      </c>
      <c r="CN54" s="1">
        <f t="shared" si="12"/>
        <v>0</v>
      </c>
      <c r="CO54" s="1">
        <f t="shared" si="14"/>
        <v>0</v>
      </c>
      <c r="CP54" s="1">
        <f t="shared" si="14"/>
        <v>0</v>
      </c>
      <c r="CQ54" s="1">
        <f t="shared" si="14"/>
        <v>0</v>
      </c>
      <c r="CR54" s="1">
        <f t="shared" si="14"/>
        <v>0</v>
      </c>
      <c r="CS54" s="1">
        <f t="shared" si="14"/>
        <v>0</v>
      </c>
      <c r="CT54" s="1">
        <f t="shared" si="14"/>
        <v>0</v>
      </c>
      <c r="CU54" s="1">
        <f t="shared" si="14"/>
        <v>0</v>
      </c>
      <c r="CV54" s="1">
        <f t="shared" si="14"/>
        <v>0</v>
      </c>
      <c r="CW54" s="1">
        <f t="shared" si="14"/>
        <v>0</v>
      </c>
      <c r="CX54" s="1">
        <f t="shared" si="13"/>
        <v>0</v>
      </c>
      <c r="CY54" s="1">
        <f t="shared" si="13"/>
        <v>0</v>
      </c>
      <c r="CZ54" s="1">
        <f t="shared" si="13"/>
        <v>0</v>
      </c>
      <c r="DA54" s="1">
        <f t="shared" si="13"/>
        <v>0</v>
      </c>
      <c r="DB54" s="1">
        <f t="shared" si="13"/>
        <v>0</v>
      </c>
      <c r="DC54" s="1">
        <f t="shared" si="15"/>
        <v>0</v>
      </c>
      <c r="DD54" s="1">
        <f t="shared" si="15"/>
        <v>0</v>
      </c>
      <c r="DE54" s="1">
        <f t="shared" si="15"/>
        <v>0</v>
      </c>
      <c r="DF54" s="1">
        <f t="shared" si="15"/>
        <v>0</v>
      </c>
      <c r="DG54" s="1">
        <f t="shared" si="15"/>
        <v>0</v>
      </c>
      <c r="DH54" s="1">
        <f t="shared" si="15"/>
        <v>0</v>
      </c>
      <c r="DI54" s="1">
        <f t="shared" si="15"/>
        <v>0</v>
      </c>
      <c r="DJ54" s="1">
        <f t="shared" si="15"/>
        <v>0</v>
      </c>
      <c r="DK54" s="1">
        <f t="shared" si="15"/>
        <v>0</v>
      </c>
      <c r="DL54" s="24">
        <v>564279.01</v>
      </c>
      <c r="DM54" s="25">
        <v>1048.75</v>
      </c>
      <c r="DN54" s="24"/>
      <c r="DO54" s="25"/>
      <c r="DP54" s="25"/>
      <c r="DQ54" s="25"/>
      <c r="DR54" s="25"/>
      <c r="DS54" s="25"/>
      <c r="DT54" s="25"/>
      <c r="DU54" s="25"/>
      <c r="DV54" s="25"/>
    </row>
    <row r="55" spans="1:126" x14ac:dyDescent="0.25">
      <c r="A55" s="252">
        <v>43617</v>
      </c>
      <c r="B55" s="253">
        <f t="shared" si="18"/>
        <v>2019</v>
      </c>
      <c r="C55" s="253">
        <f t="shared" si="19"/>
        <v>6</v>
      </c>
      <c r="D55" s="254">
        <v>34219209.196195245</v>
      </c>
      <c r="E55" s="254">
        <f>IFERROR(VLOOKUP($B55-1,CDM!$L$7:$T$18,2,FALSE)/12,0)+IFERROR(VLOOKUP($B55,CDM!$L$36:$T$46,2,FALSE)/24,0)+IFERROR(VLOOKUP($B55,CDM!$L$36:$T$46,2,FALSE)/2*$C55/78,0)</f>
        <v>2430953.4610770573</v>
      </c>
      <c r="F55" s="254">
        <f t="shared" si="20"/>
        <v>36650162.657272302</v>
      </c>
      <c r="G55" s="255">
        <v>54603</v>
      </c>
      <c r="H55" s="254">
        <v>8861966.3335929401</v>
      </c>
      <c r="I55" s="254">
        <f>IFERROR(VLOOKUP($B55-1,CDM!$L$7:$T$18,3,FALSE)/12,0)+IFERROR(VLOOKUP($B55,CDM!$L$36:$T$46,3,FALSE)/24,0)+IFERROR(VLOOKUP($B55,CDM!$L$36:$T$46,3,FALSE)/2*$C55/78,0)</f>
        <v>555264.63357791852</v>
      </c>
      <c r="J55" s="254">
        <f t="shared" si="21"/>
        <v>9417230.9671708588</v>
      </c>
      <c r="K55" s="256">
        <v>4194</v>
      </c>
      <c r="L55" s="256">
        <v>24183118.492229387</v>
      </c>
      <c r="M55" s="257">
        <f>IFERROR(VLOOKUP($B55-1,CDM!$L$7:$T$18,4,FALSE)/12,0)+IFERROR(VLOOKUP($B55,CDM!$L$36:$T$46,4,FALSE)/24,0)+IFERROR(VLOOKUP($B55,CDM!$L$36:$T$46,4,FALSE)/2*$C55/78,0)</f>
        <v>649416.12593860074</v>
      </c>
      <c r="N55" s="254">
        <f t="shared" si="22"/>
        <v>24832534.618167989</v>
      </c>
      <c r="O55" s="256">
        <v>49428.732587452134</v>
      </c>
      <c r="P55" s="256">
        <v>524</v>
      </c>
      <c r="Q55" s="256">
        <v>6348492.4655706333</v>
      </c>
      <c r="R55" s="256">
        <f>IFERROR(VLOOKUP($B55-1,CDM!$L$7:$T$18,5,FALSE)/12,0)+IFERROR(VLOOKUP($B55,CDM!$L$36:$T$46,5,FALSE)/24,0)+IFERROR(VLOOKUP($B55,CDM!$L$36:$T$46,5,FALSE)/2*$C55/78,0)</f>
        <v>855588.83486887359</v>
      </c>
      <c r="S55" s="256">
        <f t="shared" si="7"/>
        <v>7204081.3004395068</v>
      </c>
      <c r="T55" s="256">
        <v>15905.92</v>
      </c>
      <c r="U55" s="256">
        <v>14</v>
      </c>
      <c r="V55" s="256">
        <v>3172473.3758691298</v>
      </c>
      <c r="W55" s="256">
        <f>IFERROR(VLOOKUP($B55-1,CDM!$L$7:$T$18,6,FALSE)/12,0)+IFERROR(VLOOKUP($B55,CDM!$L$36:$T$46,6,FALSE)/24,0)+IFERROR(VLOOKUP($B55,CDM!$L$36:$T$46,6,FALSE)/2*$C55/78,0)</f>
        <v>23225.224198717951</v>
      </c>
      <c r="X55" s="256">
        <f t="shared" si="8"/>
        <v>3195698.6000678479</v>
      </c>
      <c r="Y55" s="256">
        <v>6855.11</v>
      </c>
      <c r="Z55" s="256">
        <v>1</v>
      </c>
      <c r="AA55" s="4">
        <v>267537.3109945546</v>
      </c>
      <c r="AB55" s="4">
        <v>1019.07</v>
      </c>
      <c r="AC55" s="256">
        <v>13959</v>
      </c>
      <c r="AD55" s="256">
        <v>2134.3887087545299</v>
      </c>
      <c r="AE55" s="256">
        <v>0</v>
      </c>
      <c r="AF55" s="256">
        <v>19</v>
      </c>
      <c r="AG55" s="4">
        <v>213466</v>
      </c>
      <c r="AH55" s="4">
        <v>246</v>
      </c>
      <c r="AI55" s="28">
        <f>Economic!H57</f>
        <v>807274.5</v>
      </c>
      <c r="AJ55" s="28">
        <f>Economic!I57</f>
        <v>626103.1</v>
      </c>
      <c r="AK55" s="28">
        <f>Economic!J57</f>
        <v>59751.3</v>
      </c>
      <c r="AL55" s="28">
        <f>Economic!K57</f>
        <v>806630</v>
      </c>
      <c r="AM55" s="28">
        <f>Economic!L57</f>
        <v>624723</v>
      </c>
      <c r="AN55" s="28">
        <f>Economic!M57</f>
        <v>32769</v>
      </c>
      <c r="AO55" s="28">
        <f>Economic!D57</f>
        <v>7420.3</v>
      </c>
      <c r="AP55" s="28">
        <f>Economic!E57</f>
        <v>7460.9</v>
      </c>
      <c r="AQ55" s="28">
        <f>Economic!F57</f>
        <v>218.5</v>
      </c>
      <c r="AR55" s="28">
        <f>Economic!G57</f>
        <v>222.2</v>
      </c>
      <c r="AS55" s="28">
        <f>Economic!N57</f>
        <v>199.19999999999982</v>
      </c>
      <c r="AT55" s="28">
        <f>Economic!O57</f>
        <v>196.59999999999945</v>
      </c>
      <c r="AU55" s="28">
        <f>Economic!P57</f>
        <v>-1.9000000000000057</v>
      </c>
      <c r="AV55" s="28">
        <f>Economic!Q57</f>
        <v>-1.4000000000000057</v>
      </c>
      <c r="AW55" s="28">
        <f>Economic!R57</f>
        <v>17742.900000000023</v>
      </c>
      <c r="AX55" s="28">
        <f>Economic!S57</f>
        <v>5906</v>
      </c>
      <c r="AY55" s="7">
        <f>Weather!D55</f>
        <v>17.658055555555553</v>
      </c>
      <c r="AZ55" s="7">
        <f>Weather!E55</f>
        <v>80.695833333333368</v>
      </c>
      <c r="BA55" s="7">
        <f>Weather!F55</f>
        <v>10.4375</v>
      </c>
      <c r="BB55" s="7">
        <f>Weather!G55</f>
        <v>46.120833333333351</v>
      </c>
      <c r="BC55" s="7">
        <f>Weather!H55</f>
        <v>35.862499999999976</v>
      </c>
      <c r="BD55" s="7">
        <f>Weather!I55</f>
        <v>21.925000000000018</v>
      </c>
      <c r="BE55" s="7">
        <f>Weather!J55</f>
        <v>71.666666666666629</v>
      </c>
      <c r="BF55" s="7">
        <f>Weather!K55</f>
        <v>9.0750000000000011</v>
      </c>
      <c r="BG55" s="7">
        <f>Weather!L55</f>
        <v>118.81666666666663</v>
      </c>
      <c r="BH55" s="7">
        <f>Weather!M55</f>
        <v>3.9291666666666671</v>
      </c>
      <c r="BI55" s="7">
        <f>Weather!N55</f>
        <v>173.67083333333326</v>
      </c>
      <c r="BJ55" s="7">
        <f>Weather!O55</f>
        <v>0.97916666666666963</v>
      </c>
      <c r="BK55" s="7">
        <f>Weather!P55</f>
        <v>230.72083333333327</v>
      </c>
      <c r="BL55" s="7">
        <f>Weather!Q55</f>
        <v>0</v>
      </c>
      <c r="BM55" s="7">
        <f>Weather!R55</f>
        <v>289.74166666666656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f t="shared" si="16"/>
        <v>0</v>
      </c>
      <c r="CA55" s="1">
        <f t="shared" si="16"/>
        <v>0</v>
      </c>
      <c r="CB55" s="1">
        <f t="shared" si="16"/>
        <v>0</v>
      </c>
      <c r="CC55" s="1">
        <f t="shared" si="23"/>
        <v>54</v>
      </c>
      <c r="CD55" s="1">
        <f t="shared" si="17"/>
        <v>30</v>
      </c>
      <c r="CE55" s="1">
        <v>22</v>
      </c>
      <c r="CF55" s="1">
        <v>0</v>
      </c>
      <c r="CG55" s="1">
        <v>0</v>
      </c>
      <c r="CH55" s="1">
        <v>0</v>
      </c>
      <c r="CI55" s="1">
        <v>0</v>
      </c>
      <c r="CJ55" s="1">
        <f t="shared" si="12"/>
        <v>0</v>
      </c>
      <c r="CK55" s="1">
        <f t="shared" si="12"/>
        <v>0</v>
      </c>
      <c r="CL55" s="1">
        <f t="shared" si="12"/>
        <v>0</v>
      </c>
      <c r="CM55" s="1">
        <f t="shared" si="12"/>
        <v>0</v>
      </c>
      <c r="CN55" s="1">
        <f t="shared" si="12"/>
        <v>0</v>
      </c>
      <c r="CO55" s="1">
        <f t="shared" si="14"/>
        <v>0</v>
      </c>
      <c r="CP55" s="1">
        <f t="shared" si="14"/>
        <v>0</v>
      </c>
      <c r="CQ55" s="1">
        <f t="shared" si="14"/>
        <v>0</v>
      </c>
      <c r="CR55" s="1">
        <f t="shared" si="14"/>
        <v>0</v>
      </c>
      <c r="CS55" s="1">
        <f t="shared" si="14"/>
        <v>0</v>
      </c>
      <c r="CT55" s="1">
        <f t="shared" si="14"/>
        <v>0</v>
      </c>
      <c r="CU55" s="1">
        <f t="shared" si="14"/>
        <v>0</v>
      </c>
      <c r="CV55" s="1">
        <f t="shared" si="14"/>
        <v>0</v>
      </c>
      <c r="CW55" s="1">
        <f t="shared" si="14"/>
        <v>0</v>
      </c>
      <c r="CX55" s="1">
        <f t="shared" si="13"/>
        <v>0</v>
      </c>
      <c r="CY55" s="1">
        <f t="shared" si="13"/>
        <v>0</v>
      </c>
      <c r="CZ55" s="1">
        <f t="shared" si="13"/>
        <v>0</v>
      </c>
      <c r="DA55" s="1">
        <f t="shared" si="13"/>
        <v>0</v>
      </c>
      <c r="DB55" s="1">
        <f t="shared" si="13"/>
        <v>0</v>
      </c>
      <c r="DC55" s="1">
        <f t="shared" si="15"/>
        <v>0</v>
      </c>
      <c r="DD55" s="1">
        <f t="shared" si="15"/>
        <v>0</v>
      </c>
      <c r="DE55" s="1">
        <f t="shared" si="15"/>
        <v>0</v>
      </c>
      <c r="DF55" s="1">
        <f t="shared" si="15"/>
        <v>0</v>
      </c>
      <c r="DG55" s="1">
        <f t="shared" si="15"/>
        <v>0</v>
      </c>
      <c r="DH55" s="1">
        <f t="shared" si="15"/>
        <v>0</v>
      </c>
      <c r="DI55" s="1">
        <f t="shared" si="15"/>
        <v>0</v>
      </c>
      <c r="DJ55" s="1">
        <f t="shared" si="15"/>
        <v>0</v>
      </c>
      <c r="DK55" s="1">
        <f t="shared" si="15"/>
        <v>0</v>
      </c>
      <c r="DL55" s="24">
        <v>582614.24</v>
      </c>
      <c r="DM55" s="25">
        <v>1208.8899999999999</v>
      </c>
      <c r="DN55" s="24"/>
      <c r="DO55" s="25"/>
      <c r="DP55" s="25"/>
      <c r="DQ55" s="25"/>
      <c r="DR55" s="25"/>
      <c r="DS55" s="25"/>
      <c r="DT55" s="25"/>
      <c r="DU55" s="25"/>
      <c r="DV55" s="25"/>
    </row>
    <row r="56" spans="1:126" x14ac:dyDescent="0.25">
      <c r="A56" s="252">
        <v>43647</v>
      </c>
      <c r="B56" s="253">
        <f t="shared" si="18"/>
        <v>2019</v>
      </c>
      <c r="C56" s="253">
        <f t="shared" si="19"/>
        <v>7</v>
      </c>
      <c r="D56" s="254">
        <v>48957714.291131914</v>
      </c>
      <c r="E56" s="254">
        <f>IFERROR(VLOOKUP($B56-1,CDM!$L$7:$T$18,2,FALSE)/12,0)+IFERROR(VLOOKUP($B56,CDM!$L$36:$T$46,2,FALSE)/24,0)+IFERROR(VLOOKUP($B56,CDM!$L$36:$T$46,2,FALSE)/2*$C56/78,0)</f>
        <v>2441078.0389229432</v>
      </c>
      <c r="F56" s="254">
        <f t="shared" si="20"/>
        <v>51398792.330054857</v>
      </c>
      <c r="G56" s="255">
        <v>54719</v>
      </c>
      <c r="H56" s="254">
        <v>10665915.990499137</v>
      </c>
      <c r="I56" s="254">
        <f>IFERROR(VLOOKUP($B56-1,CDM!$L$7:$T$18,3,FALSE)/12,0)+IFERROR(VLOOKUP($B56,CDM!$L$36:$T$46,3,FALSE)/24,0)+IFERROR(VLOOKUP($B56,CDM!$L$36:$T$46,3,FALSE)/2*$C56/78,0)</f>
        <v>557027.65605424845</v>
      </c>
      <c r="J56" s="254">
        <f t="shared" si="21"/>
        <v>11222943.646553386</v>
      </c>
      <c r="K56" s="256">
        <v>4188</v>
      </c>
      <c r="L56" s="4">
        <v>29140223.782042734</v>
      </c>
      <c r="M56" s="257">
        <f>IFERROR(VLOOKUP($B56-1,CDM!$L$7:$T$18,4,FALSE)/12,0)+IFERROR(VLOOKUP($B56,CDM!$L$36:$T$46,4,FALSE)/24,0)+IFERROR(VLOOKUP($B56,CDM!$L$36:$T$46,4,FALSE)/2*$C56/78,0)</f>
        <v>653195.45640255313</v>
      </c>
      <c r="N56" s="254">
        <f t="shared" si="22"/>
        <v>29793419.238445286</v>
      </c>
      <c r="O56" s="4">
        <v>72499</v>
      </c>
      <c r="P56" s="256">
        <v>525</v>
      </c>
      <c r="Q56" s="256">
        <v>7894625.4629903352</v>
      </c>
      <c r="R56" s="256">
        <f>IFERROR(VLOOKUP($B56-1,CDM!$L$7:$T$18,5,FALSE)/12,0)+IFERROR(VLOOKUP($B56,CDM!$L$36:$T$46,5,FALSE)/24,0)+IFERROR(VLOOKUP($B56,CDM!$L$36:$T$46,5,FALSE)/2*$C56/78,0)</f>
        <v>855588.83486887359</v>
      </c>
      <c r="S56" s="256">
        <f t="shared" si="7"/>
        <v>8750214.2978592087</v>
      </c>
      <c r="T56" s="256">
        <v>17185.349999999999</v>
      </c>
      <c r="U56" s="256">
        <v>14</v>
      </c>
      <c r="V56" s="256">
        <v>3467321.3949721884</v>
      </c>
      <c r="W56" s="256">
        <f>IFERROR(VLOOKUP($B56-1,CDM!$L$7:$T$18,6,FALSE)/12,0)+IFERROR(VLOOKUP($B56,CDM!$L$36:$T$46,6,FALSE)/24,0)+IFERROR(VLOOKUP($B56,CDM!$L$36:$T$46,6,FALSE)/2*$C56/78,0)</f>
        <v>23223.814690170944</v>
      </c>
      <c r="X56" s="256">
        <f t="shared" si="8"/>
        <v>3490545.2096623592</v>
      </c>
      <c r="Y56" s="256">
        <v>8349.5300000000007</v>
      </c>
      <c r="Z56" s="256">
        <v>1</v>
      </c>
      <c r="AA56" s="4">
        <v>293301.43259766529</v>
      </c>
      <c r="AB56" s="4">
        <v>1019</v>
      </c>
      <c r="AC56" s="256">
        <v>13959</v>
      </c>
      <c r="AD56" s="256">
        <v>2155.2736982643523</v>
      </c>
      <c r="AE56" s="256">
        <v>0</v>
      </c>
      <c r="AF56" s="256">
        <v>19</v>
      </c>
      <c r="AG56" s="4">
        <v>213466</v>
      </c>
      <c r="AH56" s="4">
        <v>246</v>
      </c>
      <c r="AI56" s="28">
        <f>Economic!H58</f>
        <v>807274.5</v>
      </c>
      <c r="AJ56" s="28">
        <f>Economic!I58</f>
        <v>626103.1</v>
      </c>
      <c r="AK56" s="28">
        <f>Economic!J58</f>
        <v>59751.3</v>
      </c>
      <c r="AL56" s="28">
        <f>Economic!K58</f>
        <v>810347</v>
      </c>
      <c r="AM56" s="28">
        <f>Economic!L58</f>
        <v>628879</v>
      </c>
      <c r="AN56" s="28">
        <f>Economic!M58</f>
        <v>33162</v>
      </c>
      <c r="AO56" s="28">
        <f>Economic!D58</f>
        <v>7423.6</v>
      </c>
      <c r="AP56" s="28">
        <f>Economic!E58</f>
        <v>7509.9</v>
      </c>
      <c r="AQ56" s="28">
        <f>Economic!F58</f>
        <v>217</v>
      </c>
      <c r="AR56" s="28">
        <f>Economic!G58</f>
        <v>221.7</v>
      </c>
      <c r="AS56" s="28">
        <f>Economic!N58</f>
        <v>168.60000000000036</v>
      </c>
      <c r="AT56" s="28">
        <f>Economic!O58</f>
        <v>164.19999999999982</v>
      </c>
      <c r="AU56" s="28">
        <f>Economic!P58</f>
        <v>-2.9000000000000057</v>
      </c>
      <c r="AV56" s="28">
        <f>Economic!Q58</f>
        <v>-3</v>
      </c>
      <c r="AW56" s="28">
        <f>Economic!R58</f>
        <v>17742.900000000023</v>
      </c>
      <c r="AX56" s="28">
        <f>Economic!S58</f>
        <v>3717</v>
      </c>
      <c r="AY56" s="7">
        <f>Weather!D56</f>
        <v>22.374193548387098</v>
      </c>
      <c r="AZ56" s="7">
        <f>Weather!E56</f>
        <v>0.97500000000000497</v>
      </c>
      <c r="BA56" s="7">
        <f>Weather!F56</f>
        <v>74.574999999999989</v>
      </c>
      <c r="BB56" s="7">
        <f>Weather!G56</f>
        <v>0</v>
      </c>
      <c r="BC56" s="7">
        <f>Weather!H56</f>
        <v>135.6</v>
      </c>
      <c r="BD56" s="7">
        <f>Weather!I56</f>
        <v>0</v>
      </c>
      <c r="BE56" s="7">
        <f>Weather!J56</f>
        <v>197.60000000000005</v>
      </c>
      <c r="BF56" s="7">
        <f>Weather!K56</f>
        <v>0</v>
      </c>
      <c r="BG56" s="7">
        <f>Weather!L56</f>
        <v>259.60000000000008</v>
      </c>
      <c r="BH56" s="7">
        <f>Weather!M56</f>
        <v>0</v>
      </c>
      <c r="BI56" s="7">
        <f>Weather!N56</f>
        <v>321.60000000000002</v>
      </c>
      <c r="BJ56" s="7">
        <f>Weather!O56</f>
        <v>0</v>
      </c>
      <c r="BK56" s="7">
        <f>Weather!P56</f>
        <v>383.6</v>
      </c>
      <c r="BL56" s="7">
        <f>Weather!Q56</f>
        <v>0</v>
      </c>
      <c r="BM56" s="7">
        <f>Weather!R56</f>
        <v>445.60000000000008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f t="shared" si="16"/>
        <v>0</v>
      </c>
      <c r="CA56" s="1">
        <f t="shared" si="16"/>
        <v>0</v>
      </c>
      <c r="CB56" s="1">
        <f t="shared" si="16"/>
        <v>0</v>
      </c>
      <c r="CC56" s="1">
        <f t="shared" si="23"/>
        <v>55</v>
      </c>
      <c r="CD56" s="1">
        <f t="shared" si="17"/>
        <v>31</v>
      </c>
      <c r="CE56" s="1">
        <v>22</v>
      </c>
      <c r="CF56" s="1">
        <v>0</v>
      </c>
      <c r="CG56" s="1">
        <v>0</v>
      </c>
      <c r="CH56" s="1">
        <v>0</v>
      </c>
      <c r="CI56" s="1">
        <v>0</v>
      </c>
      <c r="CJ56" s="1">
        <f t="shared" si="12"/>
        <v>0</v>
      </c>
      <c r="CK56" s="1">
        <f t="shared" si="12"/>
        <v>0</v>
      </c>
      <c r="CL56" s="1">
        <f t="shared" si="12"/>
        <v>0</v>
      </c>
      <c r="CM56" s="1">
        <f t="shared" si="12"/>
        <v>0</v>
      </c>
      <c r="CN56" s="1">
        <f t="shared" si="12"/>
        <v>0</v>
      </c>
      <c r="CO56" s="1">
        <f t="shared" si="14"/>
        <v>0</v>
      </c>
      <c r="CP56" s="1">
        <f t="shared" si="14"/>
        <v>0</v>
      </c>
      <c r="CQ56" s="1">
        <f t="shared" si="14"/>
        <v>0</v>
      </c>
      <c r="CR56" s="1">
        <f t="shared" si="14"/>
        <v>0</v>
      </c>
      <c r="CS56" s="1">
        <f t="shared" si="14"/>
        <v>0</v>
      </c>
      <c r="CT56" s="1">
        <f t="shared" si="14"/>
        <v>0</v>
      </c>
      <c r="CU56" s="1">
        <f t="shared" si="14"/>
        <v>0</v>
      </c>
      <c r="CV56" s="1">
        <f t="shared" si="14"/>
        <v>0</v>
      </c>
      <c r="CW56" s="1">
        <f t="shared" si="14"/>
        <v>0</v>
      </c>
      <c r="CX56" s="1">
        <f t="shared" si="13"/>
        <v>0</v>
      </c>
      <c r="CY56" s="1">
        <f t="shared" si="13"/>
        <v>0</v>
      </c>
      <c r="CZ56" s="1">
        <f t="shared" si="13"/>
        <v>0</v>
      </c>
      <c r="DA56" s="1">
        <f t="shared" si="13"/>
        <v>0</v>
      </c>
      <c r="DB56" s="1">
        <f t="shared" si="13"/>
        <v>0</v>
      </c>
      <c r="DC56" s="1">
        <f t="shared" si="15"/>
        <v>0</v>
      </c>
      <c r="DD56" s="1">
        <f t="shared" si="15"/>
        <v>0</v>
      </c>
      <c r="DE56" s="1">
        <f t="shared" si="15"/>
        <v>0</v>
      </c>
      <c r="DF56" s="1">
        <f t="shared" si="15"/>
        <v>0</v>
      </c>
      <c r="DG56" s="1">
        <f t="shared" si="15"/>
        <v>0</v>
      </c>
      <c r="DH56" s="1">
        <f t="shared" si="15"/>
        <v>0</v>
      </c>
      <c r="DI56" s="1">
        <f t="shared" si="15"/>
        <v>0</v>
      </c>
      <c r="DJ56" s="1">
        <f t="shared" si="15"/>
        <v>0</v>
      </c>
      <c r="DK56" s="1">
        <f t="shared" si="15"/>
        <v>0</v>
      </c>
      <c r="DL56" s="24">
        <v>552849.87</v>
      </c>
      <c r="DM56" s="25">
        <v>1244.3800000000001</v>
      </c>
      <c r="DN56" s="24"/>
      <c r="DO56" s="25"/>
      <c r="DP56" s="25"/>
      <c r="DQ56" s="25"/>
      <c r="DR56" s="25"/>
      <c r="DS56" s="25"/>
      <c r="DT56" s="25"/>
      <c r="DU56" s="25"/>
      <c r="DV56" s="25"/>
    </row>
    <row r="57" spans="1:126" x14ac:dyDescent="0.25">
      <c r="A57" s="252">
        <v>43678</v>
      </c>
      <c r="B57" s="253">
        <f t="shared" si="18"/>
        <v>2019</v>
      </c>
      <c r="C57" s="253">
        <f t="shared" si="19"/>
        <v>8</v>
      </c>
      <c r="D57" s="254">
        <v>47953964.035773598</v>
      </c>
      <c r="E57" s="254">
        <f>IFERROR(VLOOKUP($B57-1,CDM!$L$7:$T$18,2,FALSE)/12,0)+IFERROR(VLOOKUP($B57,CDM!$L$36:$T$46,2,FALSE)/24,0)+IFERROR(VLOOKUP($B57,CDM!$L$36:$T$46,2,FALSE)/2*$C57/78,0)</f>
        <v>2451202.6167688295</v>
      </c>
      <c r="F57" s="254">
        <f t="shared" si="20"/>
        <v>50405166.652542427</v>
      </c>
      <c r="G57" s="255">
        <v>54859</v>
      </c>
      <c r="H57" s="254">
        <v>9885380.3161732201</v>
      </c>
      <c r="I57" s="254">
        <f>IFERROR(VLOOKUP($B57-1,CDM!$L$7:$T$18,3,FALSE)/12,0)+IFERROR(VLOOKUP($B57,CDM!$L$36:$T$46,3,FALSE)/24,0)+IFERROR(VLOOKUP($B57,CDM!$L$36:$T$46,3,FALSE)/2*$C57/78,0)</f>
        <v>558790.6785305785</v>
      </c>
      <c r="J57" s="254">
        <f t="shared" si="21"/>
        <v>10444170.994703799</v>
      </c>
      <c r="K57" s="256">
        <v>4187</v>
      </c>
      <c r="L57" s="4">
        <v>25628798.367673635</v>
      </c>
      <c r="M57" s="257">
        <f>IFERROR(VLOOKUP($B57-1,CDM!$L$7:$T$18,4,FALSE)/12,0)+IFERROR(VLOOKUP($B57,CDM!$L$36:$T$46,4,FALSE)/24,0)+IFERROR(VLOOKUP($B57,CDM!$L$36:$T$46,4,FALSE)/2*$C57/78,0)</f>
        <v>656974.7868665054</v>
      </c>
      <c r="N57" s="254">
        <f t="shared" si="22"/>
        <v>26285773.15454014</v>
      </c>
      <c r="O57" s="4">
        <v>66944.149999999994</v>
      </c>
      <c r="P57" s="256">
        <v>526</v>
      </c>
      <c r="Q57" s="256">
        <v>7459002.3479635101</v>
      </c>
      <c r="R57" s="256">
        <f>IFERROR(VLOOKUP($B57-1,CDM!$L$7:$T$18,5,FALSE)/12,0)+IFERROR(VLOOKUP($B57,CDM!$L$36:$T$46,5,FALSE)/24,0)+IFERROR(VLOOKUP($B57,CDM!$L$36:$T$46,5,FALSE)/2*$C57/78,0)</f>
        <v>855588.83486887359</v>
      </c>
      <c r="S57" s="256">
        <f t="shared" si="7"/>
        <v>8314591.1828323836</v>
      </c>
      <c r="T57" s="256">
        <v>16985.59</v>
      </c>
      <c r="U57" s="256">
        <v>14</v>
      </c>
      <c r="V57" s="256">
        <v>3551002.3047195231</v>
      </c>
      <c r="W57" s="256">
        <f>IFERROR(VLOOKUP($B57-1,CDM!$L$7:$T$18,6,FALSE)/12,0)+IFERROR(VLOOKUP($B57,CDM!$L$36:$T$46,6,FALSE)/24,0)+IFERROR(VLOOKUP($B57,CDM!$L$36:$T$46,6,FALSE)/2*$C57/78,0)</f>
        <v>23222.405181623933</v>
      </c>
      <c r="X57" s="256">
        <f t="shared" si="8"/>
        <v>3574224.7099011471</v>
      </c>
      <c r="Y57" s="256">
        <v>7795.96</v>
      </c>
      <c r="Z57" s="256">
        <v>1</v>
      </c>
      <c r="AA57" s="4">
        <v>281873.27447159501</v>
      </c>
      <c r="AB57" s="4">
        <v>1017.54</v>
      </c>
      <c r="AC57" s="256">
        <v>13959</v>
      </c>
      <c r="AD57" s="256">
        <v>2192.0083921419032</v>
      </c>
      <c r="AE57" s="256">
        <v>0</v>
      </c>
      <c r="AF57" s="256">
        <v>19</v>
      </c>
      <c r="AG57" s="4">
        <v>214078</v>
      </c>
      <c r="AH57" s="4">
        <v>247</v>
      </c>
      <c r="AI57" s="28">
        <f>Economic!H59</f>
        <v>807274.5</v>
      </c>
      <c r="AJ57" s="28">
        <f>Economic!I59</f>
        <v>626103.1</v>
      </c>
      <c r="AK57" s="28">
        <f>Economic!J59</f>
        <v>59751.3</v>
      </c>
      <c r="AL57" s="28">
        <f>Economic!K59</f>
        <v>810347</v>
      </c>
      <c r="AM57" s="28">
        <f>Economic!L59</f>
        <v>628879</v>
      </c>
      <c r="AN57" s="28">
        <f>Economic!M59</f>
        <v>33162</v>
      </c>
      <c r="AO57" s="28">
        <f>Economic!D59</f>
        <v>7433.8</v>
      </c>
      <c r="AP57" s="28">
        <f>Economic!E59</f>
        <v>7523.3</v>
      </c>
      <c r="AQ57" s="28">
        <f>Economic!F59</f>
        <v>214.2</v>
      </c>
      <c r="AR57" s="28">
        <f>Economic!G59</f>
        <v>217.2</v>
      </c>
      <c r="AS57" s="28">
        <f>Economic!N59</f>
        <v>167.60000000000036</v>
      </c>
      <c r="AT57" s="28">
        <f>Economic!O59</f>
        <v>163.80000000000018</v>
      </c>
      <c r="AU57" s="28">
        <f>Economic!P59</f>
        <v>-4.1000000000000227</v>
      </c>
      <c r="AV57" s="28">
        <f>Economic!Q59</f>
        <v>-4.5</v>
      </c>
      <c r="AW57" s="28">
        <f>Economic!R59</f>
        <v>17742.900000000023</v>
      </c>
      <c r="AX57" s="28">
        <f>Economic!S59</f>
        <v>3717</v>
      </c>
      <c r="AY57" s="7">
        <f>Weather!D57</f>
        <v>20.13131720430108</v>
      </c>
      <c r="AZ57" s="7">
        <f>Weather!E57</f>
        <v>19.091666666666661</v>
      </c>
      <c r="BA57" s="7">
        <f>Weather!F57</f>
        <v>23.162500000000009</v>
      </c>
      <c r="BB57" s="7">
        <f>Weather!G57</f>
        <v>4.645833333333325</v>
      </c>
      <c r="BC57" s="7">
        <f>Weather!H57</f>
        <v>70.716666666666669</v>
      </c>
      <c r="BD57" s="7">
        <f>Weather!I57</f>
        <v>0</v>
      </c>
      <c r="BE57" s="7">
        <f>Weather!J57</f>
        <v>128.07083333333338</v>
      </c>
      <c r="BF57" s="7">
        <f>Weather!K57</f>
        <v>0</v>
      </c>
      <c r="BG57" s="7">
        <f>Weather!L57</f>
        <v>190.07083333333335</v>
      </c>
      <c r="BH57" s="7">
        <f>Weather!M57</f>
        <v>0</v>
      </c>
      <c r="BI57" s="7">
        <f>Weather!N57</f>
        <v>252.07083333333335</v>
      </c>
      <c r="BJ57" s="7">
        <f>Weather!O57</f>
        <v>0</v>
      </c>
      <c r="BK57" s="7">
        <f>Weather!P57</f>
        <v>314.07083333333338</v>
      </c>
      <c r="BL57" s="7">
        <f>Weather!Q57</f>
        <v>0</v>
      </c>
      <c r="BM57" s="7">
        <f>Weather!R57</f>
        <v>376.07083333333338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0</v>
      </c>
      <c r="BZ57" s="1">
        <f t="shared" si="16"/>
        <v>0</v>
      </c>
      <c r="CA57" s="1">
        <f t="shared" si="16"/>
        <v>0</v>
      </c>
      <c r="CB57" s="1">
        <f t="shared" si="16"/>
        <v>0</v>
      </c>
      <c r="CC57" s="1">
        <f t="shared" si="23"/>
        <v>56</v>
      </c>
      <c r="CD57" s="1">
        <f t="shared" si="17"/>
        <v>31</v>
      </c>
      <c r="CE57" s="1">
        <v>20</v>
      </c>
      <c r="CF57" s="1">
        <v>0</v>
      </c>
      <c r="CG57" s="1">
        <v>0</v>
      </c>
      <c r="CH57" s="1">
        <v>0</v>
      </c>
      <c r="CI57" s="1">
        <v>0</v>
      </c>
      <c r="CJ57" s="1">
        <f t="shared" si="12"/>
        <v>0</v>
      </c>
      <c r="CK57" s="1">
        <f t="shared" si="12"/>
        <v>0</v>
      </c>
      <c r="CL57" s="1">
        <f t="shared" si="12"/>
        <v>0</v>
      </c>
      <c r="CM57" s="1">
        <f t="shared" si="12"/>
        <v>0</v>
      </c>
      <c r="CN57" s="1">
        <f t="shared" si="12"/>
        <v>0</v>
      </c>
      <c r="CO57" s="1">
        <f t="shared" si="14"/>
        <v>0</v>
      </c>
      <c r="CP57" s="1">
        <f t="shared" si="14"/>
        <v>0</v>
      </c>
      <c r="CQ57" s="1">
        <f t="shared" si="14"/>
        <v>0</v>
      </c>
      <c r="CR57" s="1">
        <f t="shared" si="14"/>
        <v>0</v>
      </c>
      <c r="CS57" s="1">
        <f t="shared" si="14"/>
        <v>0</v>
      </c>
      <c r="CT57" s="1">
        <f t="shared" si="14"/>
        <v>0</v>
      </c>
      <c r="CU57" s="1">
        <f t="shared" si="14"/>
        <v>0</v>
      </c>
      <c r="CV57" s="1">
        <f t="shared" si="14"/>
        <v>0</v>
      </c>
      <c r="CW57" s="1">
        <f t="shared" si="14"/>
        <v>0</v>
      </c>
      <c r="CX57" s="1">
        <f t="shared" si="13"/>
        <v>0</v>
      </c>
      <c r="CY57" s="1">
        <f t="shared" si="13"/>
        <v>0</v>
      </c>
      <c r="CZ57" s="1">
        <f t="shared" si="13"/>
        <v>0</v>
      </c>
      <c r="DA57" s="1">
        <f t="shared" si="13"/>
        <v>0</v>
      </c>
      <c r="DB57" s="1">
        <f t="shared" si="13"/>
        <v>0</v>
      </c>
      <c r="DC57" s="1">
        <f t="shared" si="15"/>
        <v>0</v>
      </c>
      <c r="DD57" s="1">
        <f t="shared" si="15"/>
        <v>0</v>
      </c>
      <c r="DE57" s="1">
        <f t="shared" si="15"/>
        <v>0</v>
      </c>
      <c r="DF57" s="1">
        <f t="shared" si="15"/>
        <v>0</v>
      </c>
      <c r="DG57" s="1">
        <f t="shared" si="15"/>
        <v>0</v>
      </c>
      <c r="DH57" s="1">
        <f t="shared" si="15"/>
        <v>0</v>
      </c>
      <c r="DI57" s="1">
        <f t="shared" si="15"/>
        <v>0</v>
      </c>
      <c r="DJ57" s="1">
        <f t="shared" si="15"/>
        <v>0</v>
      </c>
      <c r="DK57" s="1">
        <f t="shared" si="15"/>
        <v>0</v>
      </c>
      <c r="DL57" s="24">
        <v>635126.67000000004</v>
      </c>
      <c r="DM57" s="25">
        <v>1222.48</v>
      </c>
      <c r="DN57" s="24"/>
      <c r="DO57" s="25"/>
      <c r="DP57" s="25"/>
      <c r="DQ57" s="25"/>
      <c r="DR57" s="25"/>
      <c r="DS57" s="25"/>
      <c r="DT57" s="25"/>
      <c r="DU57" s="25"/>
      <c r="DV57" s="25"/>
    </row>
    <row r="58" spans="1:126" x14ac:dyDescent="0.25">
      <c r="A58" s="252">
        <v>43709</v>
      </c>
      <c r="B58" s="253">
        <f t="shared" si="18"/>
        <v>2019</v>
      </c>
      <c r="C58" s="253">
        <f t="shared" si="19"/>
        <v>9</v>
      </c>
      <c r="D58" s="254">
        <v>38254150.444735967</v>
      </c>
      <c r="E58" s="254">
        <f>IFERROR(VLOOKUP($B58-1,CDM!$L$7:$T$18,2,FALSE)/12,0)+IFERROR(VLOOKUP($B58,CDM!$L$36:$T$46,2,FALSE)/24,0)+IFERROR(VLOOKUP($B58,CDM!$L$36:$T$46,2,FALSE)/2*$C58/78,0)</f>
        <v>2461327.1946147154</v>
      </c>
      <c r="F58" s="254">
        <f t="shared" si="20"/>
        <v>40715477.639350682</v>
      </c>
      <c r="G58" s="255">
        <v>54714</v>
      </c>
      <c r="H58" s="254">
        <v>8554886.1180105135</v>
      </c>
      <c r="I58" s="254">
        <f>IFERROR(VLOOKUP($B58-1,CDM!$L$7:$T$18,3,FALSE)/12,0)+IFERROR(VLOOKUP($B58,CDM!$L$36:$T$46,3,FALSE)/24,0)+IFERROR(VLOOKUP($B58,CDM!$L$36:$T$46,3,FALSE)/2*$C58/78,0)</f>
        <v>560553.70100690855</v>
      </c>
      <c r="J58" s="254">
        <f t="shared" si="21"/>
        <v>9115439.8190174215</v>
      </c>
      <c r="K58" s="256">
        <v>4186</v>
      </c>
      <c r="L58" s="4">
        <v>23787037.927268654</v>
      </c>
      <c r="M58" s="257">
        <f>IFERROR(VLOOKUP($B58-1,CDM!$L$7:$T$18,4,FALSE)/12,0)+IFERROR(VLOOKUP($B58,CDM!$L$36:$T$46,4,FALSE)/24,0)+IFERROR(VLOOKUP($B58,CDM!$L$36:$T$46,4,FALSE)/2*$C58/78,0)</f>
        <v>660754.11733045767</v>
      </c>
      <c r="N58" s="254">
        <f t="shared" si="22"/>
        <v>24447792.044599112</v>
      </c>
      <c r="O58" s="4">
        <v>67362.19</v>
      </c>
      <c r="P58" s="256">
        <v>526</v>
      </c>
      <c r="Q58" s="256">
        <v>6508565.4687315729</v>
      </c>
      <c r="R58" s="256">
        <f>IFERROR(VLOOKUP($B58-1,CDM!$L$7:$T$18,5,FALSE)/12,0)+IFERROR(VLOOKUP($B58,CDM!$L$36:$T$46,5,FALSE)/24,0)+IFERROR(VLOOKUP($B58,CDM!$L$36:$T$46,5,FALSE)/2*$C58/78,0)</f>
        <v>855588.83486887359</v>
      </c>
      <c r="S58" s="256">
        <f t="shared" si="7"/>
        <v>7364154.3036004463</v>
      </c>
      <c r="T58" s="256">
        <v>16209.23</v>
      </c>
      <c r="U58" s="256">
        <v>14</v>
      </c>
      <c r="V58" s="256">
        <v>3301878.995178178</v>
      </c>
      <c r="W58" s="256">
        <f>IFERROR(VLOOKUP($B58-1,CDM!$L$7:$T$18,6,FALSE)/12,0)+IFERROR(VLOOKUP($B58,CDM!$L$36:$T$46,6,FALSE)/24,0)+IFERROR(VLOOKUP($B58,CDM!$L$36:$T$46,6,FALSE)/2*$C58/78,0)</f>
        <v>23220.995673076926</v>
      </c>
      <c r="X58" s="256">
        <f t="shared" si="8"/>
        <v>3325099.9908512547</v>
      </c>
      <c r="Y58" s="256">
        <v>8122.71</v>
      </c>
      <c r="Z58" s="256">
        <v>1</v>
      </c>
      <c r="AA58" s="4">
        <v>290099.32672990876</v>
      </c>
      <c r="AB58" s="4">
        <v>1019.74</v>
      </c>
      <c r="AC58" s="256">
        <v>13964</v>
      </c>
      <c r="AD58" s="256">
        <v>2174.8998664886512</v>
      </c>
      <c r="AE58" s="256">
        <v>0</v>
      </c>
      <c r="AF58" s="256">
        <v>19</v>
      </c>
      <c r="AG58" s="4">
        <v>213068</v>
      </c>
      <c r="AH58" s="4">
        <v>248</v>
      </c>
      <c r="AI58" s="28">
        <f>Economic!H60</f>
        <v>807274.5</v>
      </c>
      <c r="AJ58" s="28">
        <f>Economic!I60</f>
        <v>626103.1</v>
      </c>
      <c r="AK58" s="28">
        <f>Economic!J60</f>
        <v>59751.3</v>
      </c>
      <c r="AL58" s="28">
        <f>Economic!K60</f>
        <v>810347</v>
      </c>
      <c r="AM58" s="28">
        <f>Economic!L60</f>
        <v>628879</v>
      </c>
      <c r="AN58" s="28">
        <f>Economic!M60</f>
        <v>33162</v>
      </c>
      <c r="AO58" s="28">
        <f>Economic!D60</f>
        <v>7448.5</v>
      </c>
      <c r="AP58" s="28">
        <f>Economic!E60</f>
        <v>7505.1</v>
      </c>
      <c r="AQ58" s="28">
        <f>Economic!F60</f>
        <v>210</v>
      </c>
      <c r="AR58" s="28">
        <f>Economic!G60</f>
        <v>210.7</v>
      </c>
      <c r="AS58" s="28">
        <f>Economic!N60</f>
        <v>168.89999999999964</v>
      </c>
      <c r="AT58" s="28">
        <f>Economic!O60</f>
        <v>180.70000000000073</v>
      </c>
      <c r="AU58" s="28">
        <f>Economic!P60</f>
        <v>-6.5999999999999943</v>
      </c>
      <c r="AV58" s="28">
        <f>Economic!Q60</f>
        <v>-6.6000000000000227</v>
      </c>
      <c r="AW58" s="28">
        <f>Economic!R60</f>
        <v>17742.900000000023</v>
      </c>
      <c r="AX58" s="28">
        <f>Economic!S60</f>
        <v>3717</v>
      </c>
      <c r="AY58" s="7">
        <f>Weather!D58</f>
        <v>16.383888888888887</v>
      </c>
      <c r="AZ58" s="7">
        <f>Weather!E58</f>
        <v>113.56666666666666</v>
      </c>
      <c r="BA58" s="7">
        <f>Weather!F58</f>
        <v>5.0833333333333286</v>
      </c>
      <c r="BB58" s="7">
        <f>Weather!G58</f>
        <v>62.054166666666653</v>
      </c>
      <c r="BC58" s="7">
        <f>Weather!H58</f>
        <v>13.570833333333326</v>
      </c>
      <c r="BD58" s="7">
        <f>Weather!I58</f>
        <v>21.004166666666656</v>
      </c>
      <c r="BE58" s="7">
        <f>Weather!J58</f>
        <v>32.520833333333329</v>
      </c>
      <c r="BF58" s="7">
        <f>Weather!K58</f>
        <v>4.9833333333333325</v>
      </c>
      <c r="BG58" s="7">
        <f>Weather!L58</f>
        <v>76.5</v>
      </c>
      <c r="BH58" s="7">
        <f>Weather!M58</f>
        <v>0.4208333333333325</v>
      </c>
      <c r="BI58" s="7">
        <f>Weather!N58</f>
        <v>131.93750000000003</v>
      </c>
      <c r="BJ58" s="7">
        <f>Weather!O58</f>
        <v>0</v>
      </c>
      <c r="BK58" s="7">
        <f>Weather!P58</f>
        <v>191.51666666666671</v>
      </c>
      <c r="BL58" s="7">
        <f>Weather!Q58</f>
        <v>0</v>
      </c>
      <c r="BM58" s="7">
        <f>Weather!R58</f>
        <v>251.51666666666671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1</v>
      </c>
      <c r="BW58" s="1">
        <v>0</v>
      </c>
      <c r="BX58" s="1">
        <v>0</v>
      </c>
      <c r="BY58" s="1">
        <v>0</v>
      </c>
      <c r="BZ58" s="1">
        <f t="shared" si="16"/>
        <v>0</v>
      </c>
      <c r="CA58" s="1">
        <f t="shared" si="16"/>
        <v>1</v>
      </c>
      <c r="CB58" s="1">
        <f t="shared" si="16"/>
        <v>1</v>
      </c>
      <c r="CC58" s="1">
        <f t="shared" si="23"/>
        <v>57</v>
      </c>
      <c r="CD58" s="1">
        <f t="shared" si="17"/>
        <v>30</v>
      </c>
      <c r="CE58" s="1">
        <v>21</v>
      </c>
      <c r="CF58" s="1">
        <v>0</v>
      </c>
      <c r="CG58" s="1">
        <v>0</v>
      </c>
      <c r="CH58" s="1">
        <v>0</v>
      </c>
      <c r="CI58" s="1">
        <v>0</v>
      </c>
      <c r="CJ58" s="1">
        <f t="shared" si="12"/>
        <v>0</v>
      </c>
      <c r="CK58" s="1">
        <f t="shared" si="12"/>
        <v>0</v>
      </c>
      <c r="CL58" s="1">
        <f t="shared" si="12"/>
        <v>0</v>
      </c>
      <c r="CM58" s="1">
        <f t="shared" si="12"/>
        <v>0</v>
      </c>
      <c r="CN58" s="1">
        <f t="shared" si="12"/>
        <v>0</v>
      </c>
      <c r="CO58" s="1">
        <f t="shared" si="14"/>
        <v>0</v>
      </c>
      <c r="CP58" s="1">
        <f t="shared" si="14"/>
        <v>0</v>
      </c>
      <c r="CQ58" s="1">
        <f t="shared" si="14"/>
        <v>0</v>
      </c>
      <c r="CR58" s="1">
        <f t="shared" si="14"/>
        <v>0</v>
      </c>
      <c r="CS58" s="1">
        <f t="shared" si="14"/>
        <v>0</v>
      </c>
      <c r="CT58" s="1">
        <f t="shared" si="14"/>
        <v>0</v>
      </c>
      <c r="CU58" s="1">
        <f t="shared" si="14"/>
        <v>0</v>
      </c>
      <c r="CV58" s="1">
        <f t="shared" si="14"/>
        <v>0</v>
      </c>
      <c r="CW58" s="1">
        <f t="shared" si="14"/>
        <v>0</v>
      </c>
      <c r="CX58" s="1">
        <f t="shared" si="13"/>
        <v>0</v>
      </c>
      <c r="CY58" s="1">
        <f t="shared" si="13"/>
        <v>0</v>
      </c>
      <c r="CZ58" s="1">
        <f t="shared" si="13"/>
        <v>0</v>
      </c>
      <c r="DA58" s="1">
        <f t="shared" si="13"/>
        <v>0</v>
      </c>
      <c r="DB58" s="1">
        <f t="shared" si="13"/>
        <v>0</v>
      </c>
      <c r="DC58" s="1">
        <f t="shared" si="15"/>
        <v>0</v>
      </c>
      <c r="DD58" s="1">
        <f t="shared" si="15"/>
        <v>0</v>
      </c>
      <c r="DE58" s="1">
        <f t="shared" si="15"/>
        <v>0</v>
      </c>
      <c r="DF58" s="1">
        <f t="shared" si="15"/>
        <v>0</v>
      </c>
      <c r="DG58" s="1">
        <f t="shared" si="15"/>
        <v>0</v>
      </c>
      <c r="DH58" s="1">
        <f t="shared" si="15"/>
        <v>0</v>
      </c>
      <c r="DI58" s="1">
        <f t="shared" si="15"/>
        <v>0</v>
      </c>
      <c r="DJ58" s="1">
        <f t="shared" si="15"/>
        <v>0</v>
      </c>
      <c r="DK58" s="1">
        <f t="shared" si="15"/>
        <v>0</v>
      </c>
      <c r="DL58" s="24">
        <v>596634.13</v>
      </c>
      <c r="DM58" s="25">
        <v>1214.5700000000002</v>
      </c>
      <c r="DN58" s="24"/>
      <c r="DO58" s="25"/>
      <c r="DP58" s="25"/>
      <c r="DQ58" s="25"/>
      <c r="DR58" s="25"/>
      <c r="DS58" s="25"/>
      <c r="DT58" s="25"/>
      <c r="DU58" s="25"/>
      <c r="DV58" s="25"/>
    </row>
    <row r="59" spans="1:126" x14ac:dyDescent="0.25">
      <c r="A59" s="252">
        <v>43739</v>
      </c>
      <c r="B59" s="253">
        <f t="shared" si="18"/>
        <v>2019</v>
      </c>
      <c r="C59" s="253">
        <f t="shared" si="19"/>
        <v>10</v>
      </c>
      <c r="D59" s="254">
        <v>32773639.245061483</v>
      </c>
      <c r="E59" s="254">
        <f>IFERROR(VLOOKUP($B59-1,CDM!$L$7:$T$18,2,FALSE)/12,0)+IFERROR(VLOOKUP($B59,CDM!$L$36:$T$46,2,FALSE)/24,0)+IFERROR(VLOOKUP($B59,CDM!$L$36:$T$46,2,FALSE)/2*$C59/78,0)</f>
        <v>2471451.7724606013</v>
      </c>
      <c r="F59" s="254">
        <f t="shared" si="20"/>
        <v>35245091.017522082</v>
      </c>
      <c r="G59" s="255">
        <v>54731</v>
      </c>
      <c r="H59" s="254">
        <v>8494259.9870277289</v>
      </c>
      <c r="I59" s="254">
        <f>IFERROR(VLOOKUP($B59-1,CDM!$L$7:$T$18,3,FALSE)/12,0)+IFERROR(VLOOKUP($B59,CDM!$L$36:$T$46,3,FALSE)/24,0)+IFERROR(VLOOKUP($B59,CDM!$L$36:$T$46,3,FALSE)/2*$C59/78,0)</f>
        <v>562316.72348323849</v>
      </c>
      <c r="J59" s="254">
        <f t="shared" si="21"/>
        <v>9056576.7105109673</v>
      </c>
      <c r="K59" s="256">
        <v>4187</v>
      </c>
      <c r="L59" s="4">
        <v>23585440.062114313</v>
      </c>
      <c r="M59" s="257">
        <f>IFERROR(VLOOKUP($B59-1,CDM!$L$7:$T$18,4,FALSE)/12,0)+IFERROR(VLOOKUP($B59,CDM!$L$36:$T$46,4,FALSE)/24,0)+IFERROR(VLOOKUP($B59,CDM!$L$36:$T$46,4,FALSE)/2*$C59/78,0)</f>
        <v>664533.44779440993</v>
      </c>
      <c r="N59" s="254">
        <f t="shared" si="22"/>
        <v>24249973.509908725</v>
      </c>
      <c r="O59" s="4">
        <v>64222.95</v>
      </c>
      <c r="P59" s="256">
        <v>530</v>
      </c>
      <c r="Q59" s="256">
        <v>6021721.5590285528</v>
      </c>
      <c r="R59" s="256">
        <f>IFERROR(VLOOKUP($B59-1,CDM!$L$7:$T$18,5,FALSE)/12,0)+IFERROR(VLOOKUP($B59,CDM!$L$36:$T$46,5,FALSE)/24,0)+IFERROR(VLOOKUP($B59,CDM!$L$36:$T$46,5,FALSE)/2*$C59/78,0)</f>
        <v>855588.83486887359</v>
      </c>
      <c r="S59" s="256">
        <f t="shared" si="7"/>
        <v>6877310.3938974263</v>
      </c>
      <c r="T59" s="256">
        <v>14831.805914484739</v>
      </c>
      <c r="U59" s="256">
        <v>14</v>
      </c>
      <c r="V59" s="256">
        <v>3235594.6355934963</v>
      </c>
      <c r="W59" s="256">
        <f>IFERROR(VLOOKUP($B59-1,CDM!$L$7:$T$18,6,FALSE)/12,0)+IFERROR(VLOOKUP($B59,CDM!$L$36:$T$46,6,FALSE)/24,0)+IFERROR(VLOOKUP($B59,CDM!$L$36:$T$46,6,FALSE)/2*$C59/78,0)</f>
        <v>23219.586164529919</v>
      </c>
      <c r="X59" s="256">
        <f t="shared" si="8"/>
        <v>3258814.2217580262</v>
      </c>
      <c r="Y59" s="256">
        <v>7449</v>
      </c>
      <c r="Z59" s="256">
        <v>1</v>
      </c>
      <c r="AA59" s="4">
        <v>403308.71113513544</v>
      </c>
      <c r="AB59" s="4">
        <v>1019</v>
      </c>
      <c r="AC59" s="256">
        <v>13964</v>
      </c>
      <c r="AD59" s="256">
        <v>2155.2736982643523</v>
      </c>
      <c r="AE59" s="256">
        <v>0</v>
      </c>
      <c r="AF59" s="256">
        <v>19</v>
      </c>
      <c r="AG59" s="4">
        <v>212214</v>
      </c>
      <c r="AH59" s="4">
        <v>248</v>
      </c>
      <c r="AI59" s="28">
        <f>Economic!H61</f>
        <v>807274.5</v>
      </c>
      <c r="AJ59" s="28">
        <f>Economic!I61</f>
        <v>626103.1</v>
      </c>
      <c r="AK59" s="28">
        <f>Economic!J61</f>
        <v>59751.3</v>
      </c>
      <c r="AL59" s="28">
        <f>Economic!K61</f>
        <v>811397</v>
      </c>
      <c r="AM59" s="28">
        <f>Economic!L61</f>
        <v>631766</v>
      </c>
      <c r="AN59" s="28">
        <f>Economic!M61</f>
        <v>33770</v>
      </c>
      <c r="AO59" s="28">
        <f>Economic!D61</f>
        <v>7462.2</v>
      </c>
      <c r="AP59" s="28">
        <f>Economic!E61</f>
        <v>7501.2</v>
      </c>
      <c r="AQ59" s="28">
        <f>Economic!F61</f>
        <v>207.5</v>
      </c>
      <c r="AR59" s="28">
        <f>Economic!G61</f>
        <v>206.1</v>
      </c>
      <c r="AS59" s="28">
        <f>Economic!N61</f>
        <v>191.89999999999964</v>
      </c>
      <c r="AT59" s="28">
        <f>Economic!O61</f>
        <v>210.59999999999945</v>
      </c>
      <c r="AU59" s="28">
        <f>Economic!P61</f>
        <v>-7.6999999999999886</v>
      </c>
      <c r="AV59" s="28">
        <f>Economic!Q61</f>
        <v>-7.9000000000000057</v>
      </c>
      <c r="AW59" s="28">
        <f>Economic!R61</f>
        <v>17742.900000000023</v>
      </c>
      <c r="AX59" s="28">
        <f>Economic!S61</f>
        <v>1050</v>
      </c>
      <c r="AY59" s="7">
        <f>Weather!D59</f>
        <v>10.194623655913977</v>
      </c>
      <c r="AZ59" s="7">
        <f>Weather!E59</f>
        <v>303.96666666666664</v>
      </c>
      <c r="BA59" s="7">
        <f>Weather!F59</f>
        <v>0</v>
      </c>
      <c r="BB59" s="7">
        <f>Weather!G59</f>
        <v>243.77916666666664</v>
      </c>
      <c r="BC59" s="7">
        <f>Weather!H59</f>
        <v>1.8125000000000036</v>
      </c>
      <c r="BD59" s="7">
        <f>Weather!I59</f>
        <v>183.7791666666667</v>
      </c>
      <c r="BE59" s="7">
        <f>Weather!J59</f>
        <v>3.8125000000000036</v>
      </c>
      <c r="BF59" s="7">
        <f>Weather!K59</f>
        <v>125.30000000000004</v>
      </c>
      <c r="BG59" s="7">
        <f>Weather!L59</f>
        <v>7.3333333333333357</v>
      </c>
      <c r="BH59" s="7">
        <f>Weather!M59</f>
        <v>72.637500000000017</v>
      </c>
      <c r="BI59" s="7">
        <f>Weather!N59</f>
        <v>16.670833333333334</v>
      </c>
      <c r="BJ59" s="7">
        <f>Weather!O59</f>
        <v>31.19583333333334</v>
      </c>
      <c r="BK59" s="7">
        <f>Weather!P59</f>
        <v>37.229166666666664</v>
      </c>
      <c r="BL59" s="7">
        <f>Weather!Q59</f>
        <v>8.0666666666666664</v>
      </c>
      <c r="BM59" s="7">
        <f>Weather!R59</f>
        <v>76.099999999999994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0</v>
      </c>
      <c r="BZ59" s="1">
        <f t="shared" si="16"/>
        <v>0</v>
      </c>
      <c r="CA59" s="1">
        <f t="shared" si="16"/>
        <v>1</v>
      </c>
      <c r="CB59" s="1">
        <f t="shared" si="16"/>
        <v>1</v>
      </c>
      <c r="CC59" s="1">
        <f t="shared" si="23"/>
        <v>58</v>
      </c>
      <c r="CD59" s="1">
        <f t="shared" si="17"/>
        <v>31</v>
      </c>
      <c r="CE59" s="1">
        <v>21</v>
      </c>
      <c r="CF59" s="1">
        <v>0</v>
      </c>
      <c r="CG59" s="1">
        <v>0</v>
      </c>
      <c r="CH59" s="1">
        <v>0</v>
      </c>
      <c r="CI59" s="1">
        <v>0</v>
      </c>
      <c r="CJ59" s="1">
        <f t="shared" si="12"/>
        <v>0</v>
      </c>
      <c r="CK59" s="1">
        <f t="shared" si="12"/>
        <v>0</v>
      </c>
      <c r="CL59" s="1">
        <f t="shared" si="12"/>
        <v>0</v>
      </c>
      <c r="CM59" s="1">
        <f t="shared" si="12"/>
        <v>0</v>
      </c>
      <c r="CN59" s="1">
        <f t="shared" si="12"/>
        <v>0</v>
      </c>
      <c r="CO59" s="1">
        <f t="shared" si="14"/>
        <v>0</v>
      </c>
      <c r="CP59" s="1">
        <f t="shared" si="14"/>
        <v>0</v>
      </c>
      <c r="CQ59" s="1">
        <f t="shared" si="14"/>
        <v>0</v>
      </c>
      <c r="CR59" s="1">
        <f t="shared" ref="CR59:CW101" si="24">$CG59*BH59</f>
        <v>0</v>
      </c>
      <c r="CS59" s="1">
        <f t="shared" si="24"/>
        <v>0</v>
      </c>
      <c r="CT59" s="1">
        <f t="shared" si="24"/>
        <v>0</v>
      </c>
      <c r="CU59" s="1">
        <f t="shared" si="24"/>
        <v>0</v>
      </c>
      <c r="CV59" s="1">
        <f t="shared" si="24"/>
        <v>0</v>
      </c>
      <c r="CW59" s="1">
        <f t="shared" si="24"/>
        <v>0</v>
      </c>
      <c r="CX59" s="1">
        <f t="shared" si="13"/>
        <v>0</v>
      </c>
      <c r="CY59" s="1">
        <f t="shared" si="13"/>
        <v>0</v>
      </c>
      <c r="CZ59" s="1">
        <f t="shared" si="13"/>
        <v>0</v>
      </c>
      <c r="DA59" s="1">
        <f t="shared" si="13"/>
        <v>0</v>
      </c>
      <c r="DB59" s="1">
        <f t="shared" si="13"/>
        <v>0</v>
      </c>
      <c r="DC59" s="1">
        <f t="shared" si="15"/>
        <v>0</v>
      </c>
      <c r="DD59" s="1">
        <f t="shared" si="15"/>
        <v>0</v>
      </c>
      <c r="DE59" s="1">
        <f t="shared" si="15"/>
        <v>0</v>
      </c>
      <c r="DF59" s="1">
        <f t="shared" ref="DF59:DK101" si="25">$CH59*BH59</f>
        <v>0</v>
      </c>
      <c r="DG59" s="1">
        <f t="shared" si="25"/>
        <v>0</v>
      </c>
      <c r="DH59" s="1">
        <f t="shared" si="25"/>
        <v>0</v>
      </c>
      <c r="DI59" s="1">
        <f t="shared" si="25"/>
        <v>0</v>
      </c>
      <c r="DJ59" s="1">
        <f t="shared" si="25"/>
        <v>0</v>
      </c>
      <c r="DK59" s="1">
        <f t="shared" si="25"/>
        <v>0</v>
      </c>
      <c r="DL59" s="24">
        <v>555137.62</v>
      </c>
      <c r="DM59" s="25">
        <v>1170.82</v>
      </c>
      <c r="DN59" s="24"/>
      <c r="DO59" s="25"/>
      <c r="DP59" s="25"/>
      <c r="DQ59" s="25"/>
      <c r="DR59" s="25"/>
      <c r="DS59" s="25"/>
      <c r="DT59" s="25"/>
      <c r="DU59" s="25"/>
      <c r="DV59" s="25"/>
    </row>
    <row r="60" spans="1:126" x14ac:dyDescent="0.25">
      <c r="A60" s="252">
        <v>43770</v>
      </c>
      <c r="B60" s="253">
        <f t="shared" si="18"/>
        <v>2019</v>
      </c>
      <c r="C60" s="253">
        <f t="shared" si="19"/>
        <v>11</v>
      </c>
      <c r="D60" s="254">
        <v>38419221.825659089</v>
      </c>
      <c r="E60" s="254">
        <f>IFERROR(VLOOKUP($B60-1,CDM!$L$7:$T$18,2,FALSE)/12,0)+IFERROR(VLOOKUP($B60,CDM!$L$36:$T$46,2,FALSE)/24,0)+IFERROR(VLOOKUP($B60,CDM!$L$36:$T$46,2,FALSE)/2*$C60/78,0)</f>
        <v>2481576.3503064876</v>
      </c>
      <c r="F60" s="254">
        <f t="shared" si="20"/>
        <v>40900798.175965577</v>
      </c>
      <c r="G60" s="255">
        <v>54733</v>
      </c>
      <c r="H60" s="254">
        <v>9786349.9537849221</v>
      </c>
      <c r="I60" s="254">
        <f>IFERROR(VLOOKUP($B60-1,CDM!$L$7:$T$18,3,FALSE)/12,0)+IFERROR(VLOOKUP($B60,CDM!$L$36:$T$46,3,FALSE)/24,0)+IFERROR(VLOOKUP($B60,CDM!$L$36:$T$46,3,FALSE)/2*$C60/78,0)</f>
        <v>564079.74595956854</v>
      </c>
      <c r="J60" s="254">
        <f t="shared" si="21"/>
        <v>10350429.699744491</v>
      </c>
      <c r="K60" s="256">
        <v>4184</v>
      </c>
      <c r="L60" s="4">
        <v>30157229.44816862</v>
      </c>
      <c r="M60" s="257">
        <f>IFERROR(VLOOKUP($B60-1,CDM!$L$7:$T$18,4,FALSE)/12,0)+IFERROR(VLOOKUP($B60,CDM!$L$36:$T$46,4,FALSE)/24,0)+IFERROR(VLOOKUP($B60,CDM!$L$36:$T$46,4,FALSE)/2*$C60/78,0)</f>
        <v>668312.77825836232</v>
      </c>
      <c r="N60" s="254">
        <f t="shared" si="22"/>
        <v>30825542.226426981</v>
      </c>
      <c r="O60" s="4">
        <v>73748.740000000005</v>
      </c>
      <c r="P60" s="256">
        <v>530</v>
      </c>
      <c r="Q60" s="256">
        <v>5648825.5389121491</v>
      </c>
      <c r="R60" s="256">
        <f>IFERROR(VLOOKUP($B60-1,CDM!$L$7:$T$18,5,FALSE)/12,0)+IFERROR(VLOOKUP($B60,CDM!$L$36:$T$46,5,FALSE)/24,0)+IFERROR(VLOOKUP($B60,CDM!$L$36:$T$46,5,FALSE)/2*$C60/78,0)</f>
        <v>855588.83486887359</v>
      </c>
      <c r="S60" s="256">
        <f t="shared" si="7"/>
        <v>6504414.3737810226</v>
      </c>
      <c r="T60" s="256">
        <v>13913.344085515262</v>
      </c>
      <c r="U60" s="256">
        <v>14</v>
      </c>
      <c r="V60" s="256">
        <v>3235594.6355934963</v>
      </c>
      <c r="W60" s="256">
        <f>IFERROR(VLOOKUP($B60-1,CDM!$L$7:$T$18,6,FALSE)/12,0)+IFERROR(VLOOKUP($B60,CDM!$L$36:$T$46,6,FALSE)/24,0)+IFERROR(VLOOKUP($B60,CDM!$L$36:$T$46,6,FALSE)/2*$C60/78,0)</f>
        <v>23218.176655982908</v>
      </c>
      <c r="X60" s="256">
        <f t="shared" si="8"/>
        <v>3258812.8122494793</v>
      </c>
      <c r="Y60" s="256">
        <v>7591.3600000000006</v>
      </c>
      <c r="Z60" s="256">
        <v>1</v>
      </c>
      <c r="AA60" s="4">
        <v>435309.79307383945</v>
      </c>
      <c r="AB60" s="4">
        <v>1020.48</v>
      </c>
      <c r="AC60" s="256">
        <v>13964</v>
      </c>
      <c r="AD60" s="256">
        <v>2138.8518024032041</v>
      </c>
      <c r="AE60" s="256">
        <v>0</v>
      </c>
      <c r="AF60" s="256">
        <v>19</v>
      </c>
      <c r="AG60" s="4">
        <v>212159</v>
      </c>
      <c r="AH60" s="4">
        <v>248</v>
      </c>
      <c r="AI60" s="28">
        <f>Economic!H62</f>
        <v>807274.5</v>
      </c>
      <c r="AJ60" s="28">
        <f>Economic!I62</f>
        <v>626103.1</v>
      </c>
      <c r="AK60" s="28">
        <f>Economic!J62</f>
        <v>59751.3</v>
      </c>
      <c r="AL60" s="28">
        <f>Economic!K62</f>
        <v>811397</v>
      </c>
      <c r="AM60" s="28">
        <f>Economic!L62</f>
        <v>631766</v>
      </c>
      <c r="AN60" s="28">
        <f>Economic!M62</f>
        <v>33770</v>
      </c>
      <c r="AO60" s="28">
        <f>Economic!D62</f>
        <v>7470.1</v>
      </c>
      <c r="AP60" s="28">
        <f>Economic!E62</f>
        <v>7488.3</v>
      </c>
      <c r="AQ60" s="28">
        <f>Economic!F62</f>
        <v>206.3</v>
      </c>
      <c r="AR60" s="28">
        <f>Economic!G62</f>
        <v>203.6</v>
      </c>
      <c r="AS60" s="28">
        <f>Economic!N62</f>
        <v>180.10000000000036</v>
      </c>
      <c r="AT60" s="28">
        <f>Economic!O62</f>
        <v>199.40000000000055</v>
      </c>
      <c r="AU60" s="28">
        <f>Economic!P62</f>
        <v>-9</v>
      </c>
      <c r="AV60" s="28">
        <f>Economic!Q62</f>
        <v>-9.9000000000000057</v>
      </c>
      <c r="AW60" s="28">
        <f>Economic!R62</f>
        <v>17742.900000000023</v>
      </c>
      <c r="AX60" s="28">
        <f>Economic!S62</f>
        <v>1050</v>
      </c>
      <c r="AY60" s="7">
        <f>Weather!D60</f>
        <v>0.34250000000000014</v>
      </c>
      <c r="AZ60" s="7">
        <f>Weather!E60</f>
        <v>589.72500000000002</v>
      </c>
      <c r="BA60" s="7">
        <f>Weather!F60</f>
        <v>0</v>
      </c>
      <c r="BB60" s="7">
        <f>Weather!G60</f>
        <v>529.72500000000002</v>
      </c>
      <c r="BC60" s="7">
        <f>Weather!H60</f>
        <v>0</v>
      </c>
      <c r="BD60" s="7">
        <f>Weather!I60</f>
        <v>469.72499999999997</v>
      </c>
      <c r="BE60" s="7">
        <f>Weather!J60</f>
        <v>0</v>
      </c>
      <c r="BF60" s="7">
        <f>Weather!K60</f>
        <v>409.72499999999997</v>
      </c>
      <c r="BG60" s="7">
        <f>Weather!L60</f>
        <v>0</v>
      </c>
      <c r="BH60" s="7">
        <f>Weather!M60</f>
        <v>349.72499999999997</v>
      </c>
      <c r="BI60" s="7">
        <f>Weather!N60</f>
        <v>0</v>
      </c>
      <c r="BJ60" s="7">
        <f>Weather!O60</f>
        <v>289.72499999999997</v>
      </c>
      <c r="BK60" s="7">
        <f>Weather!P60</f>
        <v>0</v>
      </c>
      <c r="BL60" s="7">
        <f>Weather!Q60</f>
        <v>229.72499999999999</v>
      </c>
      <c r="BM60" s="7">
        <f>Weather!R60</f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</v>
      </c>
      <c r="BY60" s="1">
        <v>0</v>
      </c>
      <c r="BZ60" s="1">
        <f t="shared" si="16"/>
        <v>0</v>
      </c>
      <c r="CA60" s="1">
        <f t="shared" si="16"/>
        <v>1</v>
      </c>
      <c r="CB60" s="1">
        <f t="shared" si="16"/>
        <v>1</v>
      </c>
      <c r="CC60" s="1">
        <f t="shared" si="23"/>
        <v>59</v>
      </c>
      <c r="CD60" s="1">
        <f t="shared" si="17"/>
        <v>30</v>
      </c>
      <c r="CE60" s="1">
        <v>21</v>
      </c>
      <c r="CF60" s="1">
        <v>0</v>
      </c>
      <c r="CG60" s="1">
        <v>0</v>
      </c>
      <c r="CH60" s="1">
        <v>0</v>
      </c>
      <c r="CI60" s="1">
        <v>0</v>
      </c>
      <c r="CJ60" s="1">
        <f t="shared" si="12"/>
        <v>0</v>
      </c>
      <c r="CK60" s="1">
        <f t="shared" si="12"/>
        <v>0</v>
      </c>
      <c r="CL60" s="1">
        <f t="shared" si="12"/>
        <v>0</v>
      </c>
      <c r="CM60" s="1">
        <f t="shared" si="12"/>
        <v>0</v>
      </c>
      <c r="CN60" s="1">
        <f t="shared" si="12"/>
        <v>0</v>
      </c>
      <c r="CO60" s="1">
        <f t="shared" si="12"/>
        <v>0</v>
      </c>
      <c r="CP60" s="1">
        <f t="shared" si="12"/>
        <v>0</v>
      </c>
      <c r="CQ60" s="1">
        <f t="shared" si="12"/>
        <v>0</v>
      </c>
      <c r="CR60" s="1">
        <f t="shared" si="24"/>
        <v>0</v>
      </c>
      <c r="CS60" s="1">
        <f t="shared" si="24"/>
        <v>0</v>
      </c>
      <c r="CT60" s="1">
        <f t="shared" si="24"/>
        <v>0</v>
      </c>
      <c r="CU60" s="1">
        <f t="shared" si="24"/>
        <v>0</v>
      </c>
      <c r="CV60" s="1">
        <f t="shared" si="24"/>
        <v>0</v>
      </c>
      <c r="CW60" s="1">
        <f t="shared" si="24"/>
        <v>0</v>
      </c>
      <c r="CX60" s="1">
        <f t="shared" si="13"/>
        <v>0</v>
      </c>
      <c r="CY60" s="1">
        <f t="shared" si="13"/>
        <v>0</v>
      </c>
      <c r="CZ60" s="1">
        <f t="shared" si="13"/>
        <v>0</v>
      </c>
      <c r="DA60" s="1">
        <f t="shared" si="13"/>
        <v>0</v>
      </c>
      <c r="DB60" s="1">
        <f t="shared" si="13"/>
        <v>0</v>
      </c>
      <c r="DC60" s="1">
        <f t="shared" si="13"/>
        <v>0</v>
      </c>
      <c r="DD60" s="1">
        <f t="shared" si="13"/>
        <v>0</v>
      </c>
      <c r="DE60" s="1">
        <f t="shared" si="13"/>
        <v>0</v>
      </c>
      <c r="DF60" s="1">
        <f t="shared" si="25"/>
        <v>0</v>
      </c>
      <c r="DG60" s="1">
        <f t="shared" si="25"/>
        <v>0</v>
      </c>
      <c r="DH60" s="1">
        <f t="shared" si="25"/>
        <v>0</v>
      </c>
      <c r="DI60" s="1">
        <f t="shared" si="25"/>
        <v>0</v>
      </c>
      <c r="DJ60" s="1">
        <f t="shared" si="25"/>
        <v>0</v>
      </c>
      <c r="DK60" s="1">
        <f t="shared" si="25"/>
        <v>0</v>
      </c>
      <c r="DL60" s="24">
        <v>496260.14</v>
      </c>
      <c r="DM60" s="25">
        <v>850.74</v>
      </c>
      <c r="DN60" s="24"/>
      <c r="DO60" s="25"/>
      <c r="DP60" s="25"/>
      <c r="DQ60" s="25"/>
      <c r="DR60" s="25"/>
      <c r="DS60" s="25"/>
      <c r="DT60" s="25"/>
      <c r="DU60" s="25"/>
      <c r="DV60" s="25"/>
    </row>
    <row r="61" spans="1:126" x14ac:dyDescent="0.25">
      <c r="A61" s="252">
        <v>43800</v>
      </c>
      <c r="B61" s="253">
        <f t="shared" si="18"/>
        <v>2019</v>
      </c>
      <c r="C61" s="253">
        <f t="shared" si="19"/>
        <v>12</v>
      </c>
      <c r="D61" s="254">
        <v>43852540.618322797</v>
      </c>
      <c r="E61" s="254">
        <f>IFERROR(VLOOKUP($B61-1,CDM!$L$7:$T$18,2,FALSE)/12,0)+IFERROR(VLOOKUP($B61,CDM!$L$36:$T$46,2,FALSE)/24,0)+IFERROR(VLOOKUP($B61,CDM!$L$36:$T$46,2,FALSE)/2*$C61/78,0)</f>
        <v>2491700.9281523735</v>
      </c>
      <c r="F61" s="254">
        <f t="shared" si="20"/>
        <v>46344241.546475172</v>
      </c>
      <c r="G61" s="255">
        <v>54588</v>
      </c>
      <c r="H61" s="254">
        <v>10442609.366658093</v>
      </c>
      <c r="I61" s="254">
        <f>IFERROR(VLOOKUP($B61-1,CDM!$L$7:$T$18,3,FALSE)/12,0)+IFERROR(VLOOKUP($B61,CDM!$L$36:$T$46,3,FALSE)/24,0)+IFERROR(VLOOKUP($B61,CDM!$L$36:$T$46,3,FALSE)/2*$C61/78,0)</f>
        <v>565842.76843589847</v>
      </c>
      <c r="J61" s="254">
        <f t="shared" si="21"/>
        <v>11008452.135093993</v>
      </c>
      <c r="K61" s="256">
        <v>4187</v>
      </c>
      <c r="L61" s="4">
        <v>29843552.082879245</v>
      </c>
      <c r="M61" s="257">
        <f>IFERROR(VLOOKUP($B61-1,CDM!$L$7:$T$18,4,FALSE)/12,0)+IFERROR(VLOOKUP($B61,CDM!$L$36:$T$46,4,FALSE)/24,0)+IFERROR(VLOOKUP($B61,CDM!$L$36:$T$46,4,FALSE)/2*$C61/78,0)</f>
        <v>672092.10872231459</v>
      </c>
      <c r="N61" s="254">
        <f t="shared" si="22"/>
        <v>30515644.19160156</v>
      </c>
      <c r="O61" s="4">
        <v>72617.73000000001</v>
      </c>
      <c r="P61" s="256">
        <v>533</v>
      </c>
      <c r="Q61" s="256">
        <v>6061159.2443419928</v>
      </c>
      <c r="R61" s="256">
        <f>IFERROR(VLOOKUP($B61-1,CDM!$L$7:$T$18,5,FALSE)/12,0)+IFERROR(VLOOKUP($B61,CDM!$L$36:$T$46,5,FALSE)/24,0)+IFERROR(VLOOKUP($B61,CDM!$L$36:$T$46,5,FALSE)/2*$C61/78,0)</f>
        <v>855588.83486887359</v>
      </c>
      <c r="S61" s="256">
        <f t="shared" si="7"/>
        <v>6916748.0792108662</v>
      </c>
      <c r="T61" s="256">
        <v>14210.05</v>
      </c>
      <c r="U61" s="256">
        <v>14</v>
      </c>
      <c r="V61" s="256">
        <v>3129610.3284404315</v>
      </c>
      <c r="W61" s="256">
        <f>IFERROR(VLOOKUP($B61-1,CDM!$L$7:$T$18,6,FALSE)/12,0)+IFERROR(VLOOKUP($B61,CDM!$L$36:$T$46,6,FALSE)/24,0)+IFERROR(VLOOKUP($B61,CDM!$L$36:$T$46,6,FALSE)/2*$C61/78,0)</f>
        <v>23216.767147435901</v>
      </c>
      <c r="X61" s="256">
        <f t="shared" si="8"/>
        <v>3152827.0955878673</v>
      </c>
      <c r="Y61" s="256">
        <v>6428.18</v>
      </c>
      <c r="Z61" s="256">
        <v>1</v>
      </c>
      <c r="AA61" s="4">
        <v>468831.9131203572</v>
      </c>
      <c r="AB61" s="4">
        <v>1019.74</v>
      </c>
      <c r="AC61" s="256">
        <v>13964</v>
      </c>
      <c r="AD61" s="256">
        <v>2285.94</v>
      </c>
      <c r="AE61" s="256">
        <v>85</v>
      </c>
      <c r="AF61" s="256">
        <v>19</v>
      </c>
      <c r="AG61" s="4">
        <v>212310</v>
      </c>
      <c r="AH61" s="4">
        <v>248</v>
      </c>
      <c r="AI61" s="28">
        <f>Economic!H63</f>
        <v>807274.5</v>
      </c>
      <c r="AJ61" s="28">
        <f>Economic!I63</f>
        <v>626103.1</v>
      </c>
      <c r="AK61" s="28">
        <f>Economic!J63</f>
        <v>59751.3</v>
      </c>
      <c r="AL61" s="28">
        <f>Economic!K63</f>
        <v>811397</v>
      </c>
      <c r="AM61" s="28">
        <f>Economic!L63</f>
        <v>631766</v>
      </c>
      <c r="AN61" s="28">
        <f>Economic!M63</f>
        <v>33770</v>
      </c>
      <c r="AO61" s="28">
        <f>Economic!D63</f>
        <v>7482.6</v>
      </c>
      <c r="AP61" s="28">
        <f>Economic!E63</f>
        <v>7493.8</v>
      </c>
      <c r="AQ61" s="28">
        <f>Economic!F63</f>
        <v>207.6</v>
      </c>
      <c r="AR61" s="28">
        <f>Economic!G63</f>
        <v>204.9</v>
      </c>
      <c r="AS61" s="28">
        <f>Economic!N63</f>
        <v>182.5</v>
      </c>
      <c r="AT61" s="28">
        <f>Economic!O63</f>
        <v>183.10000000000036</v>
      </c>
      <c r="AU61" s="28">
        <f>Economic!P63</f>
        <v>-6.7000000000000171</v>
      </c>
      <c r="AV61" s="28">
        <f>Economic!Q63</f>
        <v>-7.9000000000000057</v>
      </c>
      <c r="AW61" s="28">
        <f>Economic!R63</f>
        <v>17742.900000000023</v>
      </c>
      <c r="AX61" s="28">
        <f>Economic!S63</f>
        <v>1050</v>
      </c>
      <c r="AY61" s="7">
        <f>Weather!D61</f>
        <v>-1.8202956989247305</v>
      </c>
      <c r="AZ61" s="7">
        <f>Weather!E61</f>
        <v>676.42916666666656</v>
      </c>
      <c r="BA61" s="7">
        <f>Weather!F61</f>
        <v>0</v>
      </c>
      <c r="BB61" s="7">
        <f>Weather!G61</f>
        <v>614.42916666666667</v>
      </c>
      <c r="BC61" s="7">
        <f>Weather!H61</f>
        <v>0</v>
      </c>
      <c r="BD61" s="7">
        <f>Weather!I61</f>
        <v>552.42916666666667</v>
      </c>
      <c r="BE61" s="7">
        <f>Weather!J61</f>
        <v>0</v>
      </c>
      <c r="BF61" s="7">
        <f>Weather!K61</f>
        <v>490.42916666666656</v>
      </c>
      <c r="BG61" s="7">
        <f>Weather!L61</f>
        <v>0</v>
      </c>
      <c r="BH61" s="7">
        <f>Weather!M61</f>
        <v>428.42916666666656</v>
      </c>
      <c r="BI61" s="7">
        <f>Weather!N61</f>
        <v>0</v>
      </c>
      <c r="BJ61" s="7">
        <f>Weather!O61</f>
        <v>366.42916666666656</v>
      </c>
      <c r="BK61" s="7">
        <f>Weather!P61</f>
        <v>0</v>
      </c>
      <c r="BL61" s="7">
        <f>Weather!Q61</f>
        <v>304.42916666666662</v>
      </c>
      <c r="BM61" s="7">
        <f>Weather!R61</f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f t="shared" si="16"/>
        <v>0</v>
      </c>
      <c r="CA61" s="1">
        <f t="shared" si="16"/>
        <v>0</v>
      </c>
      <c r="CB61" s="1">
        <f t="shared" si="16"/>
        <v>0</v>
      </c>
      <c r="CC61" s="1">
        <f t="shared" si="23"/>
        <v>60</v>
      </c>
      <c r="CD61" s="1">
        <f t="shared" si="17"/>
        <v>31</v>
      </c>
      <c r="CE61" s="1">
        <v>21</v>
      </c>
      <c r="CF61" s="1">
        <v>0</v>
      </c>
      <c r="CG61" s="1">
        <v>0</v>
      </c>
      <c r="CH61" s="1">
        <v>0</v>
      </c>
      <c r="CI61" s="1">
        <v>0</v>
      </c>
      <c r="CJ61" s="1">
        <f t="shared" si="12"/>
        <v>0</v>
      </c>
      <c r="CK61" s="1">
        <f t="shared" si="12"/>
        <v>0</v>
      </c>
      <c r="CL61" s="1">
        <f t="shared" si="12"/>
        <v>0</v>
      </c>
      <c r="CM61" s="1">
        <f t="shared" si="12"/>
        <v>0</v>
      </c>
      <c r="CN61" s="1">
        <f t="shared" si="12"/>
        <v>0</v>
      </c>
      <c r="CO61" s="1">
        <f t="shared" si="12"/>
        <v>0</v>
      </c>
      <c r="CP61" s="1">
        <f t="shared" si="12"/>
        <v>0</v>
      </c>
      <c r="CQ61" s="1">
        <f t="shared" si="12"/>
        <v>0</v>
      </c>
      <c r="CR61" s="1">
        <f t="shared" si="24"/>
        <v>0</v>
      </c>
      <c r="CS61" s="1">
        <f t="shared" si="24"/>
        <v>0</v>
      </c>
      <c r="CT61" s="1">
        <f t="shared" si="24"/>
        <v>0</v>
      </c>
      <c r="CU61" s="1">
        <f t="shared" si="24"/>
        <v>0</v>
      </c>
      <c r="CV61" s="1">
        <f t="shared" si="24"/>
        <v>0</v>
      </c>
      <c r="CW61" s="1">
        <f t="shared" si="24"/>
        <v>0</v>
      </c>
      <c r="CX61" s="1">
        <f t="shared" si="13"/>
        <v>0</v>
      </c>
      <c r="CY61" s="1">
        <f t="shared" si="13"/>
        <v>0</v>
      </c>
      <c r="CZ61" s="1">
        <f t="shared" si="13"/>
        <v>0</v>
      </c>
      <c r="DA61" s="1">
        <f t="shared" si="13"/>
        <v>0</v>
      </c>
      <c r="DB61" s="1">
        <f t="shared" si="13"/>
        <v>0</v>
      </c>
      <c r="DC61" s="1">
        <f t="shared" si="13"/>
        <v>0</v>
      </c>
      <c r="DD61" s="1">
        <f t="shared" si="13"/>
        <v>0</v>
      </c>
      <c r="DE61" s="1">
        <f t="shared" si="13"/>
        <v>0</v>
      </c>
      <c r="DF61" s="1">
        <f t="shared" si="25"/>
        <v>0</v>
      </c>
      <c r="DG61" s="1">
        <f t="shared" si="25"/>
        <v>0</v>
      </c>
      <c r="DH61" s="1">
        <f t="shared" si="25"/>
        <v>0</v>
      </c>
      <c r="DI61" s="1">
        <f t="shared" si="25"/>
        <v>0</v>
      </c>
      <c r="DJ61" s="1">
        <f t="shared" si="25"/>
        <v>0</v>
      </c>
      <c r="DK61" s="1">
        <f t="shared" si="25"/>
        <v>0</v>
      </c>
      <c r="DL61" s="24">
        <v>515047.48</v>
      </c>
      <c r="DM61" s="25">
        <v>858.78</v>
      </c>
      <c r="DN61" s="24"/>
      <c r="DO61" s="25"/>
      <c r="DP61" s="25"/>
      <c r="DQ61" s="25"/>
      <c r="DR61" s="25"/>
      <c r="DS61" s="25"/>
      <c r="DT61" s="25"/>
      <c r="DU61" s="25"/>
      <c r="DV61" s="25"/>
    </row>
    <row r="62" spans="1:126" x14ac:dyDescent="0.25">
      <c r="A62" s="252">
        <v>43831</v>
      </c>
      <c r="B62" s="253">
        <f t="shared" si="18"/>
        <v>2020</v>
      </c>
      <c r="C62" s="253">
        <f t="shared" si="19"/>
        <v>1</v>
      </c>
      <c r="D62" s="254">
        <v>45903042.50774242</v>
      </c>
      <c r="E62" s="254">
        <f>IFERROR(VLOOKUP($B62-1,CDM!$L$7:$T$18,2,FALSE)/12,0)+IFERROR(VLOOKUP($B62,CDM!$L$36:$T$46,2,FALSE)/24,0)+IFERROR(VLOOKUP($B62,CDM!$L$36:$T$46,2,FALSE)/2*$C62/78,0)</f>
        <v>2435926.0865384615</v>
      </c>
      <c r="F62" s="254">
        <f t="shared" si="20"/>
        <v>48338968.594280884</v>
      </c>
      <c r="G62" s="255">
        <v>54262</v>
      </c>
      <c r="H62" s="254">
        <v>11619811.665162273</v>
      </c>
      <c r="I62" s="254">
        <f>IFERROR(VLOOKUP($B62-1,CDM!$L$7:$T$18,3,FALSE)/12,0)+IFERROR(VLOOKUP($B62,CDM!$L$36:$T$46,3,FALSE)/24,0)+IFERROR(VLOOKUP($B62,CDM!$L$36:$T$46,3,FALSE)/2*$C62/78,0)</f>
        <v>551893.63373451936</v>
      </c>
      <c r="J62" s="254">
        <f t="shared" si="21"/>
        <v>12171705.298896791</v>
      </c>
      <c r="K62" s="256">
        <v>4193</v>
      </c>
      <c r="L62" s="4">
        <v>31015354.048419181</v>
      </c>
      <c r="M62" s="257">
        <f>IFERROR(VLOOKUP($B62-1,CDM!$L$7:$T$18,4,FALSE)/12,0)+IFERROR(VLOOKUP($B62,CDM!$L$36:$T$46,4,FALSE)/24,0)+IFERROR(VLOOKUP($B62,CDM!$L$36:$T$46,4,FALSE)/2*$C62/78,0)</f>
        <v>649830.56735230971</v>
      </c>
      <c r="N62" s="254">
        <f t="shared" si="22"/>
        <v>31665184.615771491</v>
      </c>
      <c r="O62" s="4">
        <v>71711.539999999994</v>
      </c>
      <c r="P62" s="256">
        <v>538</v>
      </c>
      <c r="Q62" s="256">
        <v>6279848.0780141158</v>
      </c>
      <c r="R62" s="256">
        <f>IFERROR(VLOOKUP($B62-1,CDM!$L$7:$T$18,5,FALSE)/12,0)+IFERROR(VLOOKUP($B62,CDM!$L$36:$T$46,5,FALSE)/24,0)+IFERROR(VLOOKUP($B62,CDM!$L$36:$T$46,5,FALSE)/2*$C62/78,0)</f>
        <v>855582.50458041206</v>
      </c>
      <c r="S62" s="256">
        <f t="shared" si="7"/>
        <v>7135430.5825945279</v>
      </c>
      <c r="T62" s="256">
        <v>14212.669999999998</v>
      </c>
      <c r="U62" s="256">
        <v>14</v>
      </c>
      <c r="V62" s="256">
        <v>3051730.6981788147</v>
      </c>
      <c r="W62" s="256">
        <f>IFERROR(VLOOKUP($B62-1,CDM!$L$7:$T$18,6,FALSE)/12,0)+IFERROR(VLOOKUP($B62,CDM!$L$36:$T$46,6,FALSE)/24,0)+IFERROR(VLOOKUP($B62,CDM!$L$36:$T$46,6,FALSE)/2*$C62/78,0)</f>
        <v>23213.94813034188</v>
      </c>
      <c r="X62" s="256">
        <f t="shared" si="8"/>
        <v>3074944.6463091564</v>
      </c>
      <c r="Y62" s="256">
        <v>6974.08</v>
      </c>
      <c r="Z62" s="256">
        <v>1</v>
      </c>
      <c r="AA62" s="4">
        <v>489721.34239481873</v>
      </c>
      <c r="AB62" s="4">
        <v>1022.83</v>
      </c>
      <c r="AC62" s="256">
        <v>13978</v>
      </c>
      <c r="AD62" s="256">
        <v>2138.46</v>
      </c>
      <c r="AE62" s="256">
        <v>0</v>
      </c>
      <c r="AF62" s="256">
        <v>19</v>
      </c>
      <c r="AG62" s="4">
        <v>212868</v>
      </c>
      <c r="AH62" s="4">
        <v>253</v>
      </c>
      <c r="AI62" s="28">
        <f>Economic!H64</f>
        <v>769942</v>
      </c>
      <c r="AJ62" s="28">
        <f>Economic!I64</f>
        <v>596521.6</v>
      </c>
      <c r="AK62" s="28">
        <f>Economic!J64</f>
        <v>58159</v>
      </c>
      <c r="AL62" s="28">
        <f>Economic!K64</f>
        <v>800126</v>
      </c>
      <c r="AM62" s="28">
        <f>Economic!L64</f>
        <v>621238</v>
      </c>
      <c r="AN62" s="28">
        <f>Economic!M64</f>
        <v>30738</v>
      </c>
      <c r="AO62" s="28">
        <f>Economic!D64</f>
        <v>7504.9</v>
      </c>
      <c r="AP62" s="28">
        <f>Economic!E64</f>
        <v>7471.6</v>
      </c>
      <c r="AQ62" s="28">
        <f>Economic!F64</f>
        <v>208.1</v>
      </c>
      <c r="AR62" s="28">
        <f>Economic!G64</f>
        <v>205.5</v>
      </c>
      <c r="AS62" s="28">
        <f>Economic!N64</f>
        <v>186.89999999999964</v>
      </c>
      <c r="AT62" s="28">
        <f>Economic!O64</f>
        <v>182.20000000000073</v>
      </c>
      <c r="AU62" s="28">
        <f>Economic!P64</f>
        <v>-9</v>
      </c>
      <c r="AV62" s="28">
        <f>Economic!Q64</f>
        <v>-9.5</v>
      </c>
      <c r="AW62" s="28">
        <f>Economic!R64</f>
        <v>-37332.5</v>
      </c>
      <c r="AX62" s="28">
        <f>Economic!S64</f>
        <v>-11271</v>
      </c>
      <c r="AY62" s="7">
        <f>Weather!D62</f>
        <v>-2.2845430107526878</v>
      </c>
      <c r="AZ62" s="7">
        <f>Weather!E62</f>
        <v>690.82083333333321</v>
      </c>
      <c r="BA62" s="7">
        <f>Weather!F62</f>
        <v>0</v>
      </c>
      <c r="BB62" s="7">
        <f>Weather!G62</f>
        <v>628.82083333333333</v>
      </c>
      <c r="BC62" s="7">
        <f>Weather!H62</f>
        <v>0</v>
      </c>
      <c r="BD62" s="7">
        <f>Weather!I62</f>
        <v>566.82083333333333</v>
      </c>
      <c r="BE62" s="7">
        <f>Weather!J62</f>
        <v>0</v>
      </c>
      <c r="BF62" s="7">
        <f>Weather!K62</f>
        <v>504.82083333333333</v>
      </c>
      <c r="BG62" s="7">
        <f>Weather!L62</f>
        <v>0</v>
      </c>
      <c r="BH62" s="7">
        <f>Weather!M62</f>
        <v>442.82083333333327</v>
      </c>
      <c r="BI62" s="7">
        <f>Weather!N62</f>
        <v>0</v>
      </c>
      <c r="BJ62" s="7">
        <f>Weather!O62</f>
        <v>380.82083333333333</v>
      </c>
      <c r="BK62" s="7">
        <f>Weather!P62</f>
        <v>0</v>
      </c>
      <c r="BL62" s="7">
        <f>Weather!Q62</f>
        <v>318.82083333333333</v>
      </c>
      <c r="BM62" s="7">
        <f>Weather!R62</f>
        <v>0</v>
      </c>
      <c r="BN62" s="1">
        <f>BN50</f>
        <v>1</v>
      </c>
      <c r="BO62" s="1">
        <f t="shared" ref="BO62:BY62" si="26">BO50</f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26"/>
        <v>0</v>
      </c>
      <c r="BT62" s="1">
        <f t="shared" si="26"/>
        <v>0</v>
      </c>
      <c r="BU62" s="1">
        <f t="shared" si="26"/>
        <v>0</v>
      </c>
      <c r="BV62" s="1">
        <f t="shared" si="26"/>
        <v>0</v>
      </c>
      <c r="BW62" s="1">
        <f t="shared" si="26"/>
        <v>0</v>
      </c>
      <c r="BX62" s="1">
        <f t="shared" si="26"/>
        <v>0</v>
      </c>
      <c r="BY62" s="1">
        <f t="shared" si="26"/>
        <v>0</v>
      </c>
      <c r="BZ62" s="1">
        <f t="shared" si="16"/>
        <v>0</v>
      </c>
      <c r="CA62" s="1">
        <f t="shared" si="16"/>
        <v>0</v>
      </c>
      <c r="CB62" s="1">
        <f t="shared" si="16"/>
        <v>0</v>
      </c>
      <c r="CC62" s="1">
        <f t="shared" si="23"/>
        <v>61</v>
      </c>
      <c r="CD62" s="1">
        <f t="shared" si="17"/>
        <v>31</v>
      </c>
      <c r="CE62" s="1">
        <v>22</v>
      </c>
      <c r="CF62" s="1">
        <v>0</v>
      </c>
      <c r="CG62" s="1">
        <v>0</v>
      </c>
      <c r="CH62" s="1">
        <v>0</v>
      </c>
      <c r="CI62" s="1">
        <v>0</v>
      </c>
      <c r="CJ62" s="1">
        <f t="shared" si="12"/>
        <v>0</v>
      </c>
      <c r="CK62" s="1">
        <f t="shared" si="12"/>
        <v>0</v>
      </c>
      <c r="CL62" s="1">
        <f t="shared" si="12"/>
        <v>0</v>
      </c>
      <c r="CM62" s="1">
        <f t="shared" si="12"/>
        <v>0</v>
      </c>
      <c r="CN62" s="1">
        <f t="shared" si="12"/>
        <v>0</v>
      </c>
      <c r="CO62" s="1">
        <f t="shared" si="12"/>
        <v>0</v>
      </c>
      <c r="CP62" s="1">
        <f t="shared" si="12"/>
        <v>0</v>
      </c>
      <c r="CQ62" s="1">
        <f t="shared" si="12"/>
        <v>0</v>
      </c>
      <c r="CR62" s="1">
        <f t="shared" si="24"/>
        <v>0</v>
      </c>
      <c r="CS62" s="1">
        <f t="shared" si="24"/>
        <v>0</v>
      </c>
      <c r="CT62" s="1">
        <f t="shared" si="24"/>
        <v>0</v>
      </c>
      <c r="CU62" s="1">
        <f t="shared" si="24"/>
        <v>0</v>
      </c>
      <c r="CV62" s="1">
        <f t="shared" si="24"/>
        <v>0</v>
      </c>
      <c r="CW62" s="1">
        <f t="shared" si="24"/>
        <v>0</v>
      </c>
      <c r="CX62" s="1">
        <f t="shared" si="13"/>
        <v>0</v>
      </c>
      <c r="CY62" s="1">
        <f t="shared" si="13"/>
        <v>0</v>
      </c>
      <c r="CZ62" s="1">
        <f t="shared" si="13"/>
        <v>0</v>
      </c>
      <c r="DA62" s="1">
        <f t="shared" si="13"/>
        <v>0</v>
      </c>
      <c r="DB62" s="1">
        <f t="shared" si="13"/>
        <v>0</v>
      </c>
      <c r="DC62" s="1">
        <f t="shared" si="13"/>
        <v>0</v>
      </c>
      <c r="DD62" s="1">
        <f t="shared" si="13"/>
        <v>0</v>
      </c>
      <c r="DE62" s="1">
        <f t="shared" si="13"/>
        <v>0</v>
      </c>
      <c r="DF62" s="1">
        <f t="shared" si="25"/>
        <v>0</v>
      </c>
      <c r="DG62" s="1">
        <f t="shared" si="25"/>
        <v>0</v>
      </c>
      <c r="DH62" s="1">
        <f t="shared" si="25"/>
        <v>0</v>
      </c>
      <c r="DI62" s="1">
        <f t="shared" si="25"/>
        <v>0</v>
      </c>
      <c r="DJ62" s="1">
        <f t="shared" si="25"/>
        <v>0</v>
      </c>
      <c r="DK62" s="1">
        <f t="shared" si="25"/>
        <v>0</v>
      </c>
      <c r="DL62" s="24">
        <v>509005.78</v>
      </c>
      <c r="DM62" s="25">
        <v>894.76</v>
      </c>
      <c r="DN62" s="24"/>
      <c r="DO62" s="25"/>
      <c r="DP62" s="25"/>
      <c r="DQ62" s="25"/>
      <c r="DR62" s="25"/>
      <c r="DS62" s="25"/>
      <c r="DT62" s="25"/>
      <c r="DU62" s="25"/>
      <c r="DV62" s="25"/>
    </row>
    <row r="63" spans="1:126" x14ac:dyDescent="0.25">
      <c r="A63" s="252">
        <v>43862</v>
      </c>
      <c r="B63" s="253">
        <f t="shared" si="18"/>
        <v>2020</v>
      </c>
      <c r="C63" s="253">
        <f t="shared" si="19"/>
        <v>2</v>
      </c>
      <c r="D63" s="254">
        <v>43388953.032124929</v>
      </c>
      <c r="E63" s="254">
        <f>IFERROR(VLOOKUP($B63-1,CDM!$L$7:$T$18,2,FALSE)/12,0)+IFERROR(VLOOKUP($B63,CDM!$L$36:$T$46,2,FALSE)/24,0)+IFERROR(VLOOKUP($B63,CDM!$L$36:$T$46,2,FALSE)/2*$C63/78,0)</f>
        <v>2435914.131410256</v>
      </c>
      <c r="F63" s="254">
        <f t="shared" si="20"/>
        <v>45824867.163535185</v>
      </c>
      <c r="G63" s="255">
        <v>54174</v>
      </c>
      <c r="H63" s="254">
        <v>10768690.75584201</v>
      </c>
      <c r="I63" s="254">
        <f>IFERROR(VLOOKUP($B63-1,CDM!$L$7:$T$18,3,FALSE)/12,0)+IFERROR(VLOOKUP($B63,CDM!$L$36:$T$46,3,FALSE)/24,0)+IFERROR(VLOOKUP($B63,CDM!$L$36:$T$46,3,FALSE)/2*$C63/78,0)</f>
        <v>551326.63225697749</v>
      </c>
      <c r="J63" s="254">
        <f t="shared" si="21"/>
        <v>11320017.388098987</v>
      </c>
      <c r="K63" s="256">
        <v>4199</v>
      </c>
      <c r="L63" s="4">
        <v>28346822.554177728</v>
      </c>
      <c r="M63" s="257">
        <f>IFERROR(VLOOKUP($B63-1,CDM!$L$7:$T$18,4,FALSE)/12,0)+IFERROR(VLOOKUP($B63,CDM!$L$36:$T$46,4,FALSE)/24,0)+IFERROR(VLOOKUP($B63,CDM!$L$36:$T$46,4,FALSE)/2*$C63/78,0)</f>
        <v>649633.87084320735</v>
      </c>
      <c r="N63" s="254">
        <f t="shared" si="22"/>
        <v>28996456.425020933</v>
      </c>
      <c r="O63" s="4">
        <v>68921.41</v>
      </c>
      <c r="P63" s="256">
        <v>535</v>
      </c>
      <c r="Q63" s="256">
        <v>5788249.4371304205</v>
      </c>
      <c r="R63" s="256">
        <f>IFERROR(VLOOKUP($B63-1,CDM!$L$7:$T$18,5,FALSE)/12,0)+IFERROR(VLOOKUP($B63,CDM!$L$36:$T$46,5,FALSE)/24,0)+IFERROR(VLOOKUP($B63,CDM!$L$36:$T$46,5,FALSE)/2*$C63/78,0)</f>
        <v>855581.66054195061</v>
      </c>
      <c r="S63" s="256">
        <f t="shared" si="7"/>
        <v>6643831.0976723712</v>
      </c>
      <c r="T63" s="256">
        <v>13253.33</v>
      </c>
      <c r="U63" s="256">
        <v>14</v>
      </c>
      <c r="V63" s="256">
        <v>2738816.0758073898</v>
      </c>
      <c r="W63" s="256">
        <f>IFERROR(VLOOKUP($B63-1,CDM!$L$7:$T$18,6,FALSE)/12,0)+IFERROR(VLOOKUP($B63,CDM!$L$36:$T$46,6,FALSE)/24,0)+IFERROR(VLOOKUP($B63,CDM!$L$36:$T$46,6,FALSE)/2*$C63/78,0)</f>
        <v>23212.538621794873</v>
      </c>
      <c r="X63" s="256">
        <f t="shared" si="8"/>
        <v>2762028.6144291847</v>
      </c>
      <c r="Y63" s="256">
        <v>6956.85</v>
      </c>
      <c r="Z63" s="256">
        <v>1</v>
      </c>
      <c r="AA63" s="4">
        <v>404867.98181824351</v>
      </c>
      <c r="AB63" s="4">
        <v>1023</v>
      </c>
      <c r="AC63" s="256">
        <v>13978</v>
      </c>
      <c r="AD63" s="256">
        <v>2285.94</v>
      </c>
      <c r="AE63" s="256">
        <v>0</v>
      </c>
      <c r="AF63" s="256">
        <v>19</v>
      </c>
      <c r="AG63" s="4">
        <v>213310</v>
      </c>
      <c r="AH63" s="4">
        <v>253</v>
      </c>
      <c r="AI63" s="28">
        <f>Economic!H65</f>
        <v>769942</v>
      </c>
      <c r="AJ63" s="28">
        <f>Economic!I65</f>
        <v>596521.6</v>
      </c>
      <c r="AK63" s="28">
        <f>Economic!J65</f>
        <v>58159</v>
      </c>
      <c r="AL63" s="28">
        <f>Economic!K65</f>
        <v>800126</v>
      </c>
      <c r="AM63" s="28">
        <f>Economic!L65</f>
        <v>621238</v>
      </c>
      <c r="AN63" s="28">
        <f>Economic!M65</f>
        <v>30738</v>
      </c>
      <c r="AO63" s="28">
        <f>Economic!D65</f>
        <v>7512.3</v>
      </c>
      <c r="AP63" s="28">
        <f>Economic!E65</f>
        <v>7442.1</v>
      </c>
      <c r="AQ63" s="28">
        <f>Economic!F65</f>
        <v>210.7</v>
      </c>
      <c r="AR63" s="28">
        <f>Economic!G65</f>
        <v>208.8</v>
      </c>
      <c r="AS63" s="28">
        <f>Economic!N65</f>
        <v>166.90000000000055</v>
      </c>
      <c r="AT63" s="28">
        <f>Economic!O65</f>
        <v>163.70000000000073</v>
      </c>
      <c r="AU63" s="28">
        <f>Economic!P65</f>
        <v>-8.4000000000000057</v>
      </c>
      <c r="AV63" s="28">
        <f>Economic!Q65</f>
        <v>-8.1999999999999886</v>
      </c>
      <c r="AW63" s="28">
        <f>Economic!R65</f>
        <v>-37332.5</v>
      </c>
      <c r="AX63" s="28">
        <f>Economic!S65</f>
        <v>-11271</v>
      </c>
      <c r="AY63" s="7">
        <f>Weather!D63</f>
        <v>-3.3931034482758609</v>
      </c>
      <c r="AZ63" s="7">
        <f>Weather!E63</f>
        <v>678.4000000000002</v>
      </c>
      <c r="BA63" s="7">
        <f>Weather!F63</f>
        <v>0</v>
      </c>
      <c r="BB63" s="7">
        <f>Weather!G63</f>
        <v>620.40000000000009</v>
      </c>
      <c r="BC63" s="7">
        <f>Weather!H63</f>
        <v>0</v>
      </c>
      <c r="BD63" s="7">
        <f>Weather!I63</f>
        <v>562.4</v>
      </c>
      <c r="BE63" s="7">
        <f>Weather!J63</f>
        <v>0</v>
      </c>
      <c r="BF63" s="7">
        <f>Weather!K63</f>
        <v>504.40000000000003</v>
      </c>
      <c r="BG63" s="7">
        <f>Weather!L63</f>
        <v>0</v>
      </c>
      <c r="BH63" s="7">
        <f>Weather!M63</f>
        <v>446.40000000000003</v>
      </c>
      <c r="BI63" s="7">
        <f>Weather!N63</f>
        <v>0</v>
      </c>
      <c r="BJ63" s="7">
        <f>Weather!O63</f>
        <v>388.40000000000003</v>
      </c>
      <c r="BK63" s="7">
        <f>Weather!P63</f>
        <v>0</v>
      </c>
      <c r="BL63" s="7">
        <f>Weather!Q63</f>
        <v>330.40000000000003</v>
      </c>
      <c r="BM63" s="7">
        <f>Weather!R63</f>
        <v>0</v>
      </c>
      <c r="BN63" s="1">
        <f t="shared" ref="BN63:CB78" si="27">BN51</f>
        <v>0</v>
      </c>
      <c r="BO63" s="1">
        <f t="shared" si="27"/>
        <v>1</v>
      </c>
      <c r="BP63" s="1">
        <f t="shared" si="27"/>
        <v>0</v>
      </c>
      <c r="BQ63" s="1">
        <f t="shared" si="27"/>
        <v>0</v>
      </c>
      <c r="BR63" s="1">
        <f t="shared" si="27"/>
        <v>0</v>
      </c>
      <c r="BS63" s="1">
        <f t="shared" si="27"/>
        <v>0</v>
      </c>
      <c r="BT63" s="1">
        <f t="shared" si="27"/>
        <v>0</v>
      </c>
      <c r="BU63" s="1">
        <f t="shared" si="27"/>
        <v>0</v>
      </c>
      <c r="BV63" s="1">
        <f t="shared" si="27"/>
        <v>0</v>
      </c>
      <c r="BW63" s="1">
        <f t="shared" si="27"/>
        <v>0</v>
      </c>
      <c r="BX63" s="1">
        <f t="shared" si="27"/>
        <v>0</v>
      </c>
      <c r="BY63" s="1">
        <f t="shared" si="27"/>
        <v>0</v>
      </c>
      <c r="BZ63" s="1">
        <f t="shared" si="16"/>
        <v>0</v>
      </c>
      <c r="CA63" s="1">
        <f t="shared" si="16"/>
        <v>0</v>
      </c>
      <c r="CB63" s="1">
        <f t="shared" si="16"/>
        <v>0</v>
      </c>
      <c r="CC63" s="1">
        <f t="shared" si="23"/>
        <v>62</v>
      </c>
      <c r="CD63" s="1">
        <f t="shared" si="17"/>
        <v>29</v>
      </c>
      <c r="CE63" s="1">
        <v>19</v>
      </c>
      <c r="CF63" s="1">
        <v>0</v>
      </c>
      <c r="CG63" s="1">
        <v>0</v>
      </c>
      <c r="CH63" s="1">
        <v>0</v>
      </c>
      <c r="CI63" s="1">
        <v>0</v>
      </c>
      <c r="CJ63" s="1">
        <f t="shared" si="12"/>
        <v>0</v>
      </c>
      <c r="CK63" s="1">
        <f t="shared" si="12"/>
        <v>0</v>
      </c>
      <c r="CL63" s="1">
        <f t="shared" si="12"/>
        <v>0</v>
      </c>
      <c r="CM63" s="1">
        <f t="shared" si="12"/>
        <v>0</v>
      </c>
      <c r="CN63" s="1">
        <f t="shared" si="12"/>
        <v>0</v>
      </c>
      <c r="CO63" s="1">
        <f t="shared" si="12"/>
        <v>0</v>
      </c>
      <c r="CP63" s="1">
        <f t="shared" si="12"/>
        <v>0</v>
      </c>
      <c r="CQ63" s="1">
        <f t="shared" si="12"/>
        <v>0</v>
      </c>
      <c r="CR63" s="1">
        <f t="shared" si="24"/>
        <v>0</v>
      </c>
      <c r="CS63" s="1">
        <f t="shared" si="24"/>
        <v>0</v>
      </c>
      <c r="CT63" s="1">
        <f t="shared" si="24"/>
        <v>0</v>
      </c>
      <c r="CU63" s="1">
        <f t="shared" si="24"/>
        <v>0</v>
      </c>
      <c r="CV63" s="1">
        <f t="shared" si="24"/>
        <v>0</v>
      </c>
      <c r="CW63" s="1">
        <f t="shared" si="24"/>
        <v>0</v>
      </c>
      <c r="CX63" s="1">
        <f t="shared" si="13"/>
        <v>0</v>
      </c>
      <c r="CY63" s="1">
        <f t="shared" si="13"/>
        <v>0</v>
      </c>
      <c r="CZ63" s="1">
        <f t="shared" si="13"/>
        <v>0</v>
      </c>
      <c r="DA63" s="1">
        <f t="shared" si="13"/>
        <v>0</v>
      </c>
      <c r="DB63" s="1">
        <f t="shared" si="13"/>
        <v>0</v>
      </c>
      <c r="DC63" s="1">
        <f t="shared" si="13"/>
        <v>0</v>
      </c>
      <c r="DD63" s="1">
        <f t="shared" si="13"/>
        <v>0</v>
      </c>
      <c r="DE63" s="1">
        <f t="shared" si="13"/>
        <v>0</v>
      </c>
      <c r="DF63" s="1">
        <f t="shared" si="25"/>
        <v>0</v>
      </c>
      <c r="DG63" s="1">
        <f t="shared" si="25"/>
        <v>0</v>
      </c>
      <c r="DH63" s="1">
        <f t="shared" si="25"/>
        <v>0</v>
      </c>
      <c r="DI63" s="1">
        <f t="shared" si="25"/>
        <v>0</v>
      </c>
      <c r="DJ63" s="1">
        <f t="shared" si="25"/>
        <v>0</v>
      </c>
      <c r="DK63" s="1">
        <f t="shared" si="25"/>
        <v>0</v>
      </c>
      <c r="DL63" s="24">
        <v>481428.35</v>
      </c>
      <c r="DM63" s="25">
        <v>838.43000000000006</v>
      </c>
      <c r="DN63" s="24"/>
      <c r="DO63" s="25"/>
      <c r="DP63" s="25"/>
      <c r="DQ63" s="25"/>
      <c r="DR63" s="25"/>
      <c r="DS63" s="25"/>
      <c r="DT63" s="25"/>
      <c r="DU63" s="25"/>
      <c r="DV63" s="25"/>
    </row>
    <row r="64" spans="1:126" x14ac:dyDescent="0.25">
      <c r="A64" s="252">
        <v>43891</v>
      </c>
      <c r="B64" s="253">
        <f t="shared" si="18"/>
        <v>2020</v>
      </c>
      <c r="C64" s="253">
        <f t="shared" si="19"/>
        <v>3</v>
      </c>
      <c r="D64" s="254">
        <v>37882948.515827775</v>
      </c>
      <c r="E64" s="254">
        <f>IFERROR(VLOOKUP($B64-1,CDM!$L$7:$T$18,2,FALSE)/12,0)+IFERROR(VLOOKUP($B64,CDM!$L$36:$T$46,2,FALSE)/24,0)+IFERROR(VLOOKUP($B64,CDM!$L$36:$T$46,2,FALSE)/2*$C64/78,0)</f>
        <v>2435902.176282051</v>
      </c>
      <c r="F64" s="254">
        <f t="shared" si="20"/>
        <v>40318850.692109823</v>
      </c>
      <c r="G64" s="255">
        <v>54362</v>
      </c>
      <c r="H64" s="254">
        <v>10016260.644513262</v>
      </c>
      <c r="I64" s="254">
        <f>IFERROR(VLOOKUP($B64-1,CDM!$L$7:$T$18,3,FALSE)/12,0)+IFERROR(VLOOKUP($B64,CDM!$L$36:$T$46,3,FALSE)/24,0)+IFERROR(VLOOKUP($B64,CDM!$L$36:$T$46,3,FALSE)/2*$C64/78,0)</f>
        <v>550759.63077943563</v>
      </c>
      <c r="J64" s="254">
        <f t="shared" si="21"/>
        <v>10567020.275292698</v>
      </c>
      <c r="K64" s="256">
        <v>4202</v>
      </c>
      <c r="L64" s="4">
        <v>26874547.055813484</v>
      </c>
      <c r="M64" s="257">
        <f>IFERROR(VLOOKUP($B64-1,CDM!$L$7:$T$18,4,FALSE)/12,0)+IFERROR(VLOOKUP($B64,CDM!$L$36:$T$46,4,FALSE)/24,0)+IFERROR(VLOOKUP($B64,CDM!$L$36:$T$46,4,FALSE)/2*$C64/78,0)</f>
        <v>649437.1743341051</v>
      </c>
      <c r="N64" s="254">
        <f t="shared" si="22"/>
        <v>27523984.230147589</v>
      </c>
      <c r="O64" s="4">
        <v>55647.253773999997</v>
      </c>
      <c r="P64" s="256">
        <v>535</v>
      </c>
      <c r="Q64" s="256">
        <v>5709300.8827545634</v>
      </c>
      <c r="R64" s="256">
        <f>IFERROR(VLOOKUP($B64-1,CDM!$L$7:$T$18,5,FALSE)/12,0)+IFERROR(VLOOKUP($B64,CDM!$L$36:$T$46,5,FALSE)/24,0)+IFERROR(VLOOKUP($B64,CDM!$L$36:$T$46,5,FALSE)/2*$C64/78,0)</f>
        <v>855580.81650348904</v>
      </c>
      <c r="S64" s="256">
        <f t="shared" si="7"/>
        <v>6564881.6992580527</v>
      </c>
      <c r="T64" s="256">
        <v>9597.8567719999992</v>
      </c>
      <c r="U64" s="256">
        <v>14</v>
      </c>
      <c r="V64" s="256">
        <v>2583844.5749993362</v>
      </c>
      <c r="W64" s="256">
        <f>IFERROR(VLOOKUP($B64-1,CDM!$L$7:$T$18,6,FALSE)/12,0)+IFERROR(VLOOKUP($B64,CDM!$L$36:$T$46,6,FALSE)/24,0)+IFERROR(VLOOKUP($B64,CDM!$L$36:$T$46,6,FALSE)/2*$C64/78,0)</f>
        <v>23211.129113247862</v>
      </c>
      <c r="X64" s="256">
        <f t="shared" si="8"/>
        <v>2607055.7041125842</v>
      </c>
      <c r="Y64" s="256">
        <v>3865.275435</v>
      </c>
      <c r="Z64" s="256">
        <v>1</v>
      </c>
      <c r="AA64" s="4">
        <v>405480.89061887306</v>
      </c>
      <c r="AB64" s="4">
        <v>1022.83</v>
      </c>
      <c r="AC64" s="256">
        <v>13978</v>
      </c>
      <c r="AD64" s="256">
        <v>2212.1999999999998</v>
      </c>
      <c r="AE64" s="256">
        <v>0</v>
      </c>
      <c r="AF64" s="256">
        <v>19</v>
      </c>
      <c r="AG64" s="4">
        <v>212994</v>
      </c>
      <c r="AH64" s="4">
        <v>253</v>
      </c>
      <c r="AI64" s="28">
        <f>Economic!H66</f>
        <v>769942</v>
      </c>
      <c r="AJ64" s="28">
        <f>Economic!I66</f>
        <v>596521.6</v>
      </c>
      <c r="AK64" s="28">
        <f>Economic!J66</f>
        <v>58159</v>
      </c>
      <c r="AL64" s="28">
        <f>Economic!K66</f>
        <v>800126</v>
      </c>
      <c r="AM64" s="28">
        <f>Economic!L66</f>
        <v>621238</v>
      </c>
      <c r="AN64" s="28">
        <f>Economic!M66</f>
        <v>30738</v>
      </c>
      <c r="AO64" s="28">
        <f>Economic!D66</f>
        <v>7358</v>
      </c>
      <c r="AP64" s="28">
        <f>Economic!E66</f>
        <v>7256.2</v>
      </c>
      <c r="AQ64" s="28">
        <f>Economic!F66</f>
        <v>208.3</v>
      </c>
      <c r="AR64" s="28">
        <f>Economic!G66</f>
        <v>207.2</v>
      </c>
      <c r="AS64" s="28">
        <f>Economic!N66</f>
        <v>-3.3000000000001819</v>
      </c>
      <c r="AT64" s="28">
        <f>Economic!O66</f>
        <v>-0.6999999999998181</v>
      </c>
      <c r="AU64" s="28">
        <f>Economic!P66</f>
        <v>-13.299999999999983</v>
      </c>
      <c r="AV64" s="28">
        <f>Economic!Q66</f>
        <v>-12.400000000000006</v>
      </c>
      <c r="AW64" s="28">
        <f>Economic!R66</f>
        <v>-37332.5</v>
      </c>
      <c r="AX64" s="28">
        <f>Economic!S66</f>
        <v>-11271</v>
      </c>
      <c r="AY64" s="7">
        <f>Weather!D64</f>
        <v>2.4654569892473122</v>
      </c>
      <c r="AZ64" s="7">
        <f>Weather!E64</f>
        <v>543.57083333333344</v>
      </c>
      <c r="BA64" s="7">
        <f>Weather!F64</f>
        <v>0</v>
      </c>
      <c r="BB64" s="7">
        <f>Weather!G64</f>
        <v>481.57083333333344</v>
      </c>
      <c r="BC64" s="7">
        <f>Weather!H64</f>
        <v>0</v>
      </c>
      <c r="BD64" s="7">
        <f>Weather!I64</f>
        <v>419.57083333333344</v>
      </c>
      <c r="BE64" s="7">
        <f>Weather!J64</f>
        <v>0</v>
      </c>
      <c r="BF64" s="7">
        <f>Weather!K64</f>
        <v>357.57083333333344</v>
      </c>
      <c r="BG64" s="7">
        <f>Weather!L64</f>
        <v>0</v>
      </c>
      <c r="BH64" s="7">
        <f>Weather!M64</f>
        <v>295.57083333333338</v>
      </c>
      <c r="BI64" s="7">
        <f>Weather!N64</f>
        <v>0</v>
      </c>
      <c r="BJ64" s="7">
        <f>Weather!O64</f>
        <v>233.60833333333338</v>
      </c>
      <c r="BK64" s="7">
        <f>Weather!P64</f>
        <v>3.7499999999999645E-2</v>
      </c>
      <c r="BL64" s="7">
        <f>Weather!Q64</f>
        <v>174.47500000000005</v>
      </c>
      <c r="BM64" s="7">
        <f>Weather!R64</f>
        <v>2.9041666666666668</v>
      </c>
      <c r="BN64" s="1">
        <f t="shared" si="27"/>
        <v>0</v>
      </c>
      <c r="BO64" s="1">
        <f t="shared" si="27"/>
        <v>0</v>
      </c>
      <c r="BP64" s="1">
        <f t="shared" si="27"/>
        <v>1</v>
      </c>
      <c r="BQ64" s="1">
        <f t="shared" si="27"/>
        <v>0</v>
      </c>
      <c r="BR64" s="1">
        <f t="shared" si="27"/>
        <v>0</v>
      </c>
      <c r="BS64" s="1">
        <f t="shared" si="27"/>
        <v>0</v>
      </c>
      <c r="BT64" s="1">
        <f t="shared" si="27"/>
        <v>0</v>
      </c>
      <c r="BU64" s="1">
        <f t="shared" si="27"/>
        <v>0</v>
      </c>
      <c r="BV64" s="1">
        <f t="shared" si="27"/>
        <v>0</v>
      </c>
      <c r="BW64" s="1">
        <f t="shared" si="27"/>
        <v>0</v>
      </c>
      <c r="BX64" s="1">
        <f t="shared" si="27"/>
        <v>0</v>
      </c>
      <c r="BY64" s="1">
        <f t="shared" si="27"/>
        <v>0</v>
      </c>
      <c r="BZ64" s="1">
        <f t="shared" si="16"/>
        <v>1</v>
      </c>
      <c r="CA64" s="1">
        <f t="shared" si="16"/>
        <v>0</v>
      </c>
      <c r="CB64" s="1">
        <f t="shared" si="16"/>
        <v>1</v>
      </c>
      <c r="CC64" s="1">
        <f t="shared" si="23"/>
        <v>63</v>
      </c>
      <c r="CD64" s="1">
        <f t="shared" si="17"/>
        <v>31</v>
      </c>
      <c r="CE64" s="1">
        <v>22</v>
      </c>
      <c r="CF64" s="1">
        <v>1</v>
      </c>
      <c r="CG64" s="1">
        <v>0.5</v>
      </c>
      <c r="CH64" s="1">
        <v>0.5</v>
      </c>
      <c r="CI64" s="1">
        <v>0.5</v>
      </c>
      <c r="CJ64" s="1">
        <f t="shared" si="12"/>
        <v>271.78541666666672</v>
      </c>
      <c r="CK64" s="1">
        <f t="shared" si="12"/>
        <v>0</v>
      </c>
      <c r="CL64" s="1">
        <f t="shared" si="12"/>
        <v>240.78541666666672</v>
      </c>
      <c r="CM64" s="1">
        <f t="shared" si="12"/>
        <v>0</v>
      </c>
      <c r="CN64" s="1">
        <f t="shared" si="12"/>
        <v>209.78541666666672</v>
      </c>
      <c r="CO64" s="1">
        <f t="shared" si="12"/>
        <v>0</v>
      </c>
      <c r="CP64" s="1">
        <f t="shared" si="12"/>
        <v>178.78541666666672</v>
      </c>
      <c r="CQ64" s="1">
        <f t="shared" si="12"/>
        <v>0</v>
      </c>
      <c r="CR64" s="1">
        <f t="shared" si="24"/>
        <v>147.78541666666669</v>
      </c>
      <c r="CS64" s="1">
        <f t="shared" si="24"/>
        <v>0</v>
      </c>
      <c r="CT64" s="1">
        <f t="shared" si="24"/>
        <v>116.80416666666669</v>
      </c>
      <c r="CU64" s="1">
        <f t="shared" si="24"/>
        <v>1.8749999999999822E-2</v>
      </c>
      <c r="CV64" s="1">
        <f t="shared" si="24"/>
        <v>87.237500000000026</v>
      </c>
      <c r="CW64" s="1">
        <f t="shared" si="24"/>
        <v>1.4520833333333334</v>
      </c>
      <c r="CX64" s="1">
        <f t="shared" si="13"/>
        <v>271.78541666666672</v>
      </c>
      <c r="CY64" s="1">
        <f t="shared" si="13"/>
        <v>0</v>
      </c>
      <c r="CZ64" s="1">
        <f t="shared" si="13"/>
        <v>240.78541666666672</v>
      </c>
      <c r="DA64" s="1">
        <f t="shared" si="13"/>
        <v>0</v>
      </c>
      <c r="DB64" s="1">
        <f t="shared" si="13"/>
        <v>209.78541666666672</v>
      </c>
      <c r="DC64" s="1">
        <f t="shared" si="13"/>
        <v>0</v>
      </c>
      <c r="DD64" s="1">
        <f t="shared" si="13"/>
        <v>178.78541666666672</v>
      </c>
      <c r="DE64" s="1">
        <f t="shared" si="13"/>
        <v>0</v>
      </c>
      <c r="DF64" s="1">
        <f t="shared" si="25"/>
        <v>147.78541666666669</v>
      </c>
      <c r="DG64" s="1">
        <f t="shared" si="25"/>
        <v>0</v>
      </c>
      <c r="DH64" s="1">
        <f t="shared" si="25"/>
        <v>116.80416666666669</v>
      </c>
      <c r="DI64" s="1">
        <f t="shared" si="25"/>
        <v>1.8749999999999822E-2</v>
      </c>
      <c r="DJ64" s="1">
        <f t="shared" si="25"/>
        <v>87.237500000000026</v>
      </c>
      <c r="DK64" s="1">
        <f t="shared" si="25"/>
        <v>1.4520833333333334</v>
      </c>
      <c r="DL64" s="24">
        <v>517251.4</v>
      </c>
      <c r="DM64" s="25">
        <v>919.61</v>
      </c>
      <c r="DN64" s="24"/>
      <c r="DO64" s="25"/>
      <c r="DP64" s="25"/>
      <c r="DQ64" s="25"/>
      <c r="DR64" s="25"/>
      <c r="DS64" s="25"/>
      <c r="DT64" s="25"/>
      <c r="DU64" s="25"/>
      <c r="DV64" s="25"/>
    </row>
    <row r="65" spans="1:126" x14ac:dyDescent="0.25">
      <c r="A65" s="252">
        <v>43922</v>
      </c>
      <c r="B65" s="253">
        <f t="shared" si="18"/>
        <v>2020</v>
      </c>
      <c r="C65" s="253">
        <f t="shared" si="19"/>
        <v>4</v>
      </c>
      <c r="D65" s="254">
        <v>39259352.833194472</v>
      </c>
      <c r="E65" s="254">
        <f>IFERROR(VLOOKUP($B65-1,CDM!$L$7:$T$18,2,FALSE)/12,0)+IFERROR(VLOOKUP($B65,CDM!$L$36:$T$46,2,FALSE)/24,0)+IFERROR(VLOOKUP($B65,CDM!$L$36:$T$46,2,FALSE)/2*$C65/78,0)</f>
        <v>2435890.221153846</v>
      </c>
      <c r="F65" s="254">
        <f t="shared" si="20"/>
        <v>41695243.05434832</v>
      </c>
      <c r="G65" s="255">
        <v>54372</v>
      </c>
      <c r="H65" s="254">
        <v>7962424.289164478</v>
      </c>
      <c r="I65" s="254">
        <f>IFERROR(VLOOKUP($B65-1,CDM!$L$7:$T$18,3,FALSE)/12,0)+IFERROR(VLOOKUP($B65,CDM!$L$36:$T$46,3,FALSE)/24,0)+IFERROR(VLOOKUP($B65,CDM!$L$36:$T$46,3,FALSE)/2*$C65/78,0)</f>
        <v>550192.62930189364</v>
      </c>
      <c r="J65" s="254">
        <f t="shared" si="21"/>
        <v>8512616.9184663724</v>
      </c>
      <c r="K65" s="256">
        <v>4201</v>
      </c>
      <c r="L65" s="4">
        <v>21475333.59688665</v>
      </c>
      <c r="M65" s="257">
        <f>IFERROR(VLOOKUP($B65-1,CDM!$L$7:$T$18,4,FALSE)/12,0)+IFERROR(VLOOKUP($B65,CDM!$L$36:$T$46,4,FALSE)/24,0)+IFERROR(VLOOKUP($B65,CDM!$L$36:$T$46,4,FALSE)/2*$C65/78,0)</f>
        <v>649240.47782500274</v>
      </c>
      <c r="N65" s="254">
        <f t="shared" si="22"/>
        <v>22124574.074711651</v>
      </c>
      <c r="O65" s="4">
        <v>76035.894157999981</v>
      </c>
      <c r="P65" s="256">
        <v>536</v>
      </c>
      <c r="Q65" s="256">
        <v>4343308.1892509731</v>
      </c>
      <c r="R65" s="256">
        <f>IFERROR(VLOOKUP($B65-1,CDM!$L$7:$T$18,5,FALSE)/12,0)+IFERROR(VLOOKUP($B65,CDM!$L$36:$T$46,5,FALSE)/24,0)+IFERROR(VLOOKUP($B65,CDM!$L$36:$T$46,5,FALSE)/2*$C65/78,0)</f>
        <v>855579.97246502747</v>
      </c>
      <c r="S65" s="256">
        <f t="shared" si="7"/>
        <v>5198888.1617160002</v>
      </c>
      <c r="T65" s="256">
        <v>13756.310763999998</v>
      </c>
      <c r="U65" s="256">
        <v>14</v>
      </c>
      <c r="V65" s="256">
        <v>2026215.689811578</v>
      </c>
      <c r="W65" s="256">
        <f>IFERROR(VLOOKUP($B65-1,CDM!$L$7:$T$18,6,FALSE)/12,0)+IFERROR(VLOOKUP($B65,CDM!$L$36:$T$46,6,FALSE)/24,0)+IFERROR(VLOOKUP($B65,CDM!$L$36:$T$46,6,FALSE)/2*$C65/78,0)</f>
        <v>23209.719604700855</v>
      </c>
      <c r="X65" s="256">
        <f t="shared" si="8"/>
        <v>2049425.4094162788</v>
      </c>
      <c r="Y65" s="256">
        <v>5061.3100649999997</v>
      </c>
      <c r="Z65" s="256">
        <v>1</v>
      </c>
      <c r="AA65" s="4">
        <v>345894.82411060593</v>
      </c>
      <c r="AB65" s="4">
        <v>1022.83</v>
      </c>
      <c r="AC65" s="256">
        <v>13978</v>
      </c>
      <c r="AD65" s="256">
        <v>2285.94</v>
      </c>
      <c r="AE65" s="256">
        <v>0</v>
      </c>
      <c r="AF65" s="256">
        <v>19</v>
      </c>
      <c r="AG65" s="4">
        <v>213242</v>
      </c>
      <c r="AH65" s="4">
        <v>254</v>
      </c>
      <c r="AI65" s="28">
        <f>Economic!H67</f>
        <v>769942</v>
      </c>
      <c r="AJ65" s="28">
        <f>Economic!I67</f>
        <v>596521.6</v>
      </c>
      <c r="AK65" s="28">
        <f>Economic!J67</f>
        <v>58159</v>
      </c>
      <c r="AL65" s="28">
        <f>Economic!K67</f>
        <v>706539</v>
      </c>
      <c r="AM65" s="28">
        <f>Economic!L67</f>
        <v>552481</v>
      </c>
      <c r="AN65" s="28">
        <f>Economic!M67</f>
        <v>20965</v>
      </c>
      <c r="AO65" s="28">
        <f>Economic!D67</f>
        <v>6963.7</v>
      </c>
      <c r="AP65" s="28">
        <f>Economic!E67</f>
        <v>6885.2</v>
      </c>
      <c r="AQ65" s="28">
        <f>Economic!F67</f>
        <v>201.9</v>
      </c>
      <c r="AR65" s="28">
        <f>Economic!G67</f>
        <v>202.3</v>
      </c>
      <c r="AS65" s="28">
        <f>Economic!N67</f>
        <v>-418.60000000000036</v>
      </c>
      <c r="AT65" s="28">
        <f>Economic!O67</f>
        <v>-408.80000000000018</v>
      </c>
      <c r="AU65" s="28">
        <f>Economic!P67</f>
        <v>-18.799999999999983</v>
      </c>
      <c r="AV65" s="28">
        <f>Economic!Q67</f>
        <v>-17.799999999999983</v>
      </c>
      <c r="AW65" s="28">
        <f>Economic!R67</f>
        <v>-37332.5</v>
      </c>
      <c r="AX65" s="28">
        <f>Economic!S67</f>
        <v>-93587</v>
      </c>
      <c r="AY65" s="7">
        <f>Weather!D65</f>
        <v>5.3441666666666672</v>
      </c>
      <c r="AZ65" s="7">
        <f>Weather!E65</f>
        <v>439.67500000000013</v>
      </c>
      <c r="BA65" s="7">
        <f>Weather!F65</f>
        <v>0</v>
      </c>
      <c r="BB65" s="7">
        <f>Weather!G65</f>
        <v>379.67500000000013</v>
      </c>
      <c r="BC65" s="7">
        <f>Weather!H65</f>
        <v>0</v>
      </c>
      <c r="BD65" s="7">
        <f>Weather!I65</f>
        <v>319.67500000000007</v>
      </c>
      <c r="BE65" s="7">
        <f>Weather!J65</f>
        <v>0</v>
      </c>
      <c r="BF65" s="7">
        <f>Weather!K65</f>
        <v>259.67500000000007</v>
      </c>
      <c r="BG65" s="7">
        <f>Weather!L65</f>
        <v>0</v>
      </c>
      <c r="BH65" s="7">
        <f>Weather!M65</f>
        <v>199.67500000000004</v>
      </c>
      <c r="BI65" s="7">
        <f>Weather!N65</f>
        <v>0</v>
      </c>
      <c r="BJ65" s="7">
        <f>Weather!O65</f>
        <v>141.82916666666665</v>
      </c>
      <c r="BK65" s="7">
        <f>Weather!P65</f>
        <v>2.1541666666666721</v>
      </c>
      <c r="BL65" s="7">
        <f>Weather!Q65</f>
        <v>89.183333333333337</v>
      </c>
      <c r="BM65" s="7">
        <f>Weather!R65</f>
        <v>9.5083333333333364</v>
      </c>
      <c r="BN65" s="1">
        <f t="shared" si="27"/>
        <v>0</v>
      </c>
      <c r="BO65" s="1">
        <f t="shared" si="27"/>
        <v>0</v>
      </c>
      <c r="BP65" s="1">
        <f t="shared" si="27"/>
        <v>0</v>
      </c>
      <c r="BQ65" s="1">
        <f t="shared" si="27"/>
        <v>1</v>
      </c>
      <c r="BR65" s="1">
        <f t="shared" si="27"/>
        <v>0</v>
      </c>
      <c r="BS65" s="1">
        <f t="shared" si="27"/>
        <v>0</v>
      </c>
      <c r="BT65" s="1">
        <f t="shared" si="27"/>
        <v>0</v>
      </c>
      <c r="BU65" s="1">
        <f t="shared" si="27"/>
        <v>0</v>
      </c>
      <c r="BV65" s="1">
        <f t="shared" si="27"/>
        <v>0</v>
      </c>
      <c r="BW65" s="1">
        <f t="shared" si="27"/>
        <v>0</v>
      </c>
      <c r="BX65" s="1">
        <f t="shared" si="27"/>
        <v>0</v>
      </c>
      <c r="BY65" s="1">
        <f t="shared" si="27"/>
        <v>0</v>
      </c>
      <c r="BZ65" s="1">
        <f t="shared" si="16"/>
        <v>1</v>
      </c>
      <c r="CA65" s="1">
        <f t="shared" si="16"/>
        <v>0</v>
      </c>
      <c r="CB65" s="1">
        <f t="shared" si="16"/>
        <v>1</v>
      </c>
      <c r="CC65" s="1">
        <f t="shared" si="23"/>
        <v>64</v>
      </c>
      <c r="CD65" s="1">
        <f t="shared" si="17"/>
        <v>30</v>
      </c>
      <c r="CE65" s="1">
        <v>21</v>
      </c>
      <c r="CF65" s="1">
        <v>1</v>
      </c>
      <c r="CG65" s="1">
        <v>1</v>
      </c>
      <c r="CH65" s="1">
        <v>1</v>
      </c>
      <c r="CI65" s="1">
        <v>1</v>
      </c>
      <c r="CJ65" s="1">
        <f t="shared" si="12"/>
        <v>439.67500000000013</v>
      </c>
      <c r="CK65" s="1">
        <f t="shared" si="12"/>
        <v>0</v>
      </c>
      <c r="CL65" s="1">
        <f t="shared" si="12"/>
        <v>379.67500000000013</v>
      </c>
      <c r="CM65" s="1">
        <f t="shared" si="12"/>
        <v>0</v>
      </c>
      <c r="CN65" s="1">
        <f t="shared" si="12"/>
        <v>319.67500000000007</v>
      </c>
      <c r="CO65" s="1">
        <f t="shared" si="12"/>
        <v>0</v>
      </c>
      <c r="CP65" s="1">
        <f t="shared" ref="CP65:CT115" si="28">$CG65*BF65</f>
        <v>259.67500000000007</v>
      </c>
      <c r="CQ65" s="1">
        <f t="shared" si="28"/>
        <v>0</v>
      </c>
      <c r="CR65" s="1">
        <f t="shared" si="24"/>
        <v>199.67500000000004</v>
      </c>
      <c r="CS65" s="1">
        <f t="shared" si="24"/>
        <v>0</v>
      </c>
      <c r="CT65" s="1">
        <f t="shared" si="24"/>
        <v>141.82916666666665</v>
      </c>
      <c r="CU65" s="1">
        <f t="shared" si="24"/>
        <v>2.1541666666666721</v>
      </c>
      <c r="CV65" s="1">
        <f t="shared" si="24"/>
        <v>89.183333333333337</v>
      </c>
      <c r="CW65" s="1">
        <f t="shared" si="24"/>
        <v>9.5083333333333364</v>
      </c>
      <c r="CX65" s="1">
        <f t="shared" si="13"/>
        <v>439.67500000000013</v>
      </c>
      <c r="CY65" s="1">
        <f t="shared" si="13"/>
        <v>0</v>
      </c>
      <c r="CZ65" s="1">
        <f t="shared" si="13"/>
        <v>379.67500000000013</v>
      </c>
      <c r="DA65" s="1">
        <f t="shared" si="13"/>
        <v>0</v>
      </c>
      <c r="DB65" s="1">
        <f t="shared" si="13"/>
        <v>319.67500000000007</v>
      </c>
      <c r="DC65" s="1">
        <f t="shared" si="13"/>
        <v>0</v>
      </c>
      <c r="DD65" s="1">
        <f t="shared" ref="DD65:DH115" si="29">$CH65*BF65</f>
        <v>259.67500000000007</v>
      </c>
      <c r="DE65" s="1">
        <f t="shared" si="29"/>
        <v>0</v>
      </c>
      <c r="DF65" s="1">
        <f t="shared" si="25"/>
        <v>199.67500000000004</v>
      </c>
      <c r="DG65" s="1">
        <f t="shared" si="25"/>
        <v>0</v>
      </c>
      <c r="DH65" s="1">
        <f t="shared" si="25"/>
        <v>141.82916666666665</v>
      </c>
      <c r="DI65" s="1">
        <f t="shared" si="25"/>
        <v>2.1541666666666721</v>
      </c>
      <c r="DJ65" s="1">
        <f t="shared" si="25"/>
        <v>89.183333333333337</v>
      </c>
      <c r="DK65" s="1">
        <f t="shared" si="25"/>
        <v>9.5083333333333364</v>
      </c>
      <c r="DL65" s="24">
        <v>496477.37</v>
      </c>
      <c r="DM65" s="25">
        <v>942.02</v>
      </c>
      <c r="DN65" s="24"/>
      <c r="DO65" s="25"/>
      <c r="DP65" s="25"/>
      <c r="DQ65" s="25"/>
      <c r="DR65" s="25"/>
      <c r="DS65" s="25"/>
      <c r="DT65" s="25"/>
      <c r="DU65" s="25"/>
      <c r="DV65" s="25"/>
    </row>
    <row r="66" spans="1:126" x14ac:dyDescent="0.25">
      <c r="A66" s="252">
        <v>43952</v>
      </c>
      <c r="B66" s="253">
        <f t="shared" si="18"/>
        <v>2020</v>
      </c>
      <c r="C66" s="253">
        <f t="shared" si="19"/>
        <v>5</v>
      </c>
      <c r="D66" s="254">
        <v>36930721.568270586</v>
      </c>
      <c r="E66" s="254">
        <f>IFERROR(VLOOKUP($B66-1,CDM!$L$7:$T$18,2,FALSE)/12,0)+IFERROR(VLOOKUP($B66,CDM!$L$36:$T$46,2,FALSE)/24,0)+IFERROR(VLOOKUP($B66,CDM!$L$36:$T$46,2,FALSE)/2*$C66/78,0)</f>
        <v>2435878.266025641</v>
      </c>
      <c r="F66" s="254">
        <f t="shared" si="20"/>
        <v>39366599.834296227</v>
      </c>
      <c r="G66" s="255">
        <v>54403</v>
      </c>
      <c r="H66" s="254">
        <v>7872705.4749129051</v>
      </c>
      <c r="I66" s="254">
        <f>IFERROR(VLOOKUP($B66-1,CDM!$L$7:$T$18,3,FALSE)/12,0)+IFERROR(VLOOKUP($B66,CDM!$L$36:$T$46,3,FALSE)/24,0)+IFERROR(VLOOKUP($B66,CDM!$L$36:$T$46,3,FALSE)/2*$C66/78,0)</f>
        <v>549625.62782435177</v>
      </c>
      <c r="J66" s="254">
        <f t="shared" si="21"/>
        <v>8422331.1027372573</v>
      </c>
      <c r="K66" s="256">
        <v>4201</v>
      </c>
      <c r="L66" s="4">
        <v>21210635.161133789</v>
      </c>
      <c r="M66" s="257">
        <f>IFERROR(VLOOKUP($B66-1,CDM!$L$7:$T$18,4,FALSE)/12,0)+IFERROR(VLOOKUP($B66,CDM!$L$36:$T$46,4,FALSE)/24,0)+IFERROR(VLOOKUP($B66,CDM!$L$36:$T$46,4,FALSE)/2*$C66/78,0)</f>
        <v>649043.7813159005</v>
      </c>
      <c r="N66" s="254">
        <f t="shared" si="22"/>
        <v>21859678.942449689</v>
      </c>
      <c r="O66" s="4">
        <v>65561.679300000003</v>
      </c>
      <c r="P66" s="256">
        <v>537</v>
      </c>
      <c r="Q66" s="256">
        <v>5120179.4110543663</v>
      </c>
      <c r="R66" s="256">
        <f>IFERROR(VLOOKUP($B66-1,CDM!$L$7:$T$18,5,FALSE)/12,0)+IFERROR(VLOOKUP($B66,CDM!$L$36:$T$46,5,FALSE)/24,0)+IFERROR(VLOOKUP($B66,CDM!$L$36:$T$46,5,FALSE)/2*$C66/78,0)</f>
        <v>855579.12842656591</v>
      </c>
      <c r="S66" s="256">
        <f t="shared" si="7"/>
        <v>5975758.5394809321</v>
      </c>
      <c r="T66" s="256">
        <v>15686.741420000002</v>
      </c>
      <c r="U66" s="256">
        <v>14</v>
      </c>
      <c r="V66" s="256">
        <v>1950073.45202516</v>
      </c>
      <c r="W66" s="256">
        <f>IFERROR(VLOOKUP($B66-1,CDM!$L$7:$T$18,6,FALSE)/12,0)+IFERROR(VLOOKUP($B66,CDM!$L$36:$T$46,6,FALSE)/24,0)+IFERROR(VLOOKUP($B66,CDM!$L$36:$T$46,6,FALSE)/2*$C66/78,0)</f>
        <v>23208.310096153844</v>
      </c>
      <c r="X66" s="256">
        <f t="shared" si="8"/>
        <v>1973281.7621213137</v>
      </c>
      <c r="Y66" s="256">
        <v>5805.4762499999997</v>
      </c>
      <c r="Z66" s="256">
        <v>1</v>
      </c>
      <c r="AA66" s="4">
        <v>308370.46761390747</v>
      </c>
      <c r="AB66" s="4">
        <v>1022.83</v>
      </c>
      <c r="AC66" s="256">
        <v>13978</v>
      </c>
      <c r="AD66" s="256">
        <v>2212.1999999999998</v>
      </c>
      <c r="AE66" s="256">
        <v>0</v>
      </c>
      <c r="AF66" s="256">
        <v>19</v>
      </c>
      <c r="AG66" s="4">
        <v>213656</v>
      </c>
      <c r="AH66" s="4">
        <v>253</v>
      </c>
      <c r="AI66" s="28">
        <f>Economic!H68</f>
        <v>769942</v>
      </c>
      <c r="AJ66" s="28">
        <f>Economic!I68</f>
        <v>596521.6</v>
      </c>
      <c r="AK66" s="28">
        <f>Economic!J68</f>
        <v>58159</v>
      </c>
      <c r="AL66" s="28">
        <f>Economic!K68</f>
        <v>706539</v>
      </c>
      <c r="AM66" s="28">
        <f>Economic!L68</f>
        <v>552481</v>
      </c>
      <c r="AN66" s="28">
        <f>Economic!M68</f>
        <v>20965</v>
      </c>
      <c r="AO66" s="28">
        <f>Economic!D68</f>
        <v>6568.2</v>
      </c>
      <c r="AP66" s="28">
        <f>Economic!E68</f>
        <v>6536.7</v>
      </c>
      <c r="AQ66" s="28">
        <f>Economic!F68</f>
        <v>193.3</v>
      </c>
      <c r="AR66" s="28">
        <f>Economic!G68</f>
        <v>195.5</v>
      </c>
      <c r="AS66" s="28">
        <f>Economic!N68</f>
        <v>-830.69999999999982</v>
      </c>
      <c r="AT66" s="28">
        <f>Economic!O68</f>
        <v>-830.10000000000036</v>
      </c>
      <c r="AU66" s="28">
        <f>Economic!P68</f>
        <v>-26</v>
      </c>
      <c r="AV66" s="28">
        <f>Economic!Q68</f>
        <v>-25.400000000000006</v>
      </c>
      <c r="AW66" s="28">
        <f>Economic!R68</f>
        <v>-37332.5</v>
      </c>
      <c r="AX66" s="28">
        <f>Economic!S68</f>
        <v>-93587</v>
      </c>
      <c r="AY66" s="7">
        <f>Weather!D66</f>
        <v>11.704857910906297</v>
      </c>
      <c r="AZ66" s="7">
        <f>Weather!E66</f>
        <v>265.14107142857148</v>
      </c>
      <c r="BA66" s="7">
        <f>Weather!F66</f>
        <v>7.9916666666666636</v>
      </c>
      <c r="BB66" s="7">
        <f>Weather!G66</f>
        <v>212.73690476190475</v>
      </c>
      <c r="BC66" s="7">
        <f>Weather!H66</f>
        <v>17.587499999999995</v>
      </c>
      <c r="BD66" s="7">
        <f>Weather!I66</f>
        <v>164.60000000000005</v>
      </c>
      <c r="BE66" s="7">
        <f>Weather!J66</f>
        <v>31.450595238095232</v>
      </c>
      <c r="BF66" s="7">
        <f>Weather!K66</f>
        <v>122.05</v>
      </c>
      <c r="BG66" s="7">
        <f>Weather!L66</f>
        <v>50.900595238095221</v>
      </c>
      <c r="BH66" s="7">
        <f>Weather!M66</f>
        <v>86.899999999999977</v>
      </c>
      <c r="BI66" s="7">
        <f>Weather!N66</f>
        <v>77.750595238095229</v>
      </c>
      <c r="BJ66" s="7">
        <f>Weather!O66</f>
        <v>59.029166666666669</v>
      </c>
      <c r="BK66" s="7">
        <f>Weather!P66</f>
        <v>111.87976190476191</v>
      </c>
      <c r="BL66" s="7">
        <f>Weather!Q66</f>
        <v>36.524999999999999</v>
      </c>
      <c r="BM66" s="7">
        <f>Weather!R66</f>
        <v>151.37559523809523</v>
      </c>
      <c r="BN66" s="1">
        <f t="shared" si="27"/>
        <v>0</v>
      </c>
      <c r="BO66" s="1">
        <f t="shared" si="27"/>
        <v>0</v>
      </c>
      <c r="BP66" s="1">
        <f t="shared" si="27"/>
        <v>0</v>
      </c>
      <c r="BQ66" s="1">
        <f t="shared" si="27"/>
        <v>0</v>
      </c>
      <c r="BR66" s="1">
        <f t="shared" si="27"/>
        <v>1</v>
      </c>
      <c r="BS66" s="1">
        <f t="shared" si="27"/>
        <v>0</v>
      </c>
      <c r="BT66" s="1">
        <f t="shared" si="27"/>
        <v>0</v>
      </c>
      <c r="BU66" s="1">
        <f t="shared" si="27"/>
        <v>0</v>
      </c>
      <c r="BV66" s="1">
        <f t="shared" si="27"/>
        <v>0</v>
      </c>
      <c r="BW66" s="1">
        <f t="shared" si="27"/>
        <v>0</v>
      </c>
      <c r="BX66" s="1">
        <f t="shared" si="27"/>
        <v>0</v>
      </c>
      <c r="BY66" s="1">
        <f t="shared" si="27"/>
        <v>0</v>
      </c>
      <c r="BZ66" s="1">
        <f t="shared" si="16"/>
        <v>1</v>
      </c>
      <c r="CA66" s="1">
        <f t="shared" si="16"/>
        <v>0</v>
      </c>
      <c r="CB66" s="1">
        <f t="shared" si="16"/>
        <v>1</v>
      </c>
      <c r="CC66" s="1">
        <f t="shared" si="23"/>
        <v>65</v>
      </c>
      <c r="CD66" s="1">
        <f t="shared" si="17"/>
        <v>31</v>
      </c>
      <c r="CE66" s="1">
        <v>20</v>
      </c>
      <c r="CF66" s="1">
        <v>1</v>
      </c>
      <c r="CG66" s="1">
        <v>1</v>
      </c>
      <c r="CH66" s="1">
        <v>1</v>
      </c>
      <c r="CI66" s="1">
        <v>1</v>
      </c>
      <c r="CJ66" s="1">
        <f t="shared" ref="CJ66:CO108" si="30">$CG66*AZ66</f>
        <v>265.14107142857148</v>
      </c>
      <c r="CK66" s="1">
        <f t="shared" si="30"/>
        <v>7.9916666666666636</v>
      </c>
      <c r="CL66" s="1">
        <f t="shared" si="30"/>
        <v>212.73690476190475</v>
      </c>
      <c r="CM66" s="1">
        <f t="shared" si="30"/>
        <v>17.587499999999995</v>
      </c>
      <c r="CN66" s="1">
        <f t="shared" si="30"/>
        <v>164.60000000000005</v>
      </c>
      <c r="CO66" s="1">
        <f t="shared" si="30"/>
        <v>31.450595238095232</v>
      </c>
      <c r="CP66" s="1">
        <f t="shared" si="28"/>
        <v>122.05</v>
      </c>
      <c r="CQ66" s="1">
        <f t="shared" si="28"/>
        <v>50.900595238095221</v>
      </c>
      <c r="CR66" s="1">
        <f t="shared" si="24"/>
        <v>86.899999999999977</v>
      </c>
      <c r="CS66" s="1">
        <f t="shared" si="24"/>
        <v>77.750595238095229</v>
      </c>
      <c r="CT66" s="1">
        <f t="shared" si="24"/>
        <v>59.029166666666669</v>
      </c>
      <c r="CU66" s="1">
        <f t="shared" si="24"/>
        <v>111.87976190476191</v>
      </c>
      <c r="CV66" s="1">
        <f t="shared" si="24"/>
        <v>36.524999999999999</v>
      </c>
      <c r="CW66" s="1">
        <f t="shared" si="24"/>
        <v>151.37559523809523</v>
      </c>
      <c r="CX66" s="1">
        <f t="shared" ref="CX66:DC108" si="31">$CH66*AZ66</f>
        <v>265.14107142857148</v>
      </c>
      <c r="CY66" s="1">
        <f t="shared" si="31"/>
        <v>7.9916666666666636</v>
      </c>
      <c r="CZ66" s="1">
        <f t="shared" si="31"/>
        <v>212.73690476190475</v>
      </c>
      <c r="DA66" s="1">
        <f t="shared" si="31"/>
        <v>17.587499999999995</v>
      </c>
      <c r="DB66" s="1">
        <f t="shared" si="31"/>
        <v>164.60000000000005</v>
      </c>
      <c r="DC66" s="1">
        <f t="shared" si="31"/>
        <v>31.450595238095232</v>
      </c>
      <c r="DD66" s="1">
        <f t="shared" si="29"/>
        <v>122.05</v>
      </c>
      <c r="DE66" s="1">
        <f t="shared" si="29"/>
        <v>50.900595238095221</v>
      </c>
      <c r="DF66" s="1">
        <f t="shared" si="25"/>
        <v>86.899999999999977</v>
      </c>
      <c r="DG66" s="1">
        <f>$CH66*BI66</f>
        <v>77.750595238095229</v>
      </c>
      <c r="DH66" s="1">
        <f t="shared" si="25"/>
        <v>59.029166666666669</v>
      </c>
      <c r="DI66" s="1">
        <f t="shared" si="25"/>
        <v>111.87976190476191</v>
      </c>
      <c r="DJ66" s="1">
        <f t="shared" si="25"/>
        <v>36.524999999999999</v>
      </c>
      <c r="DK66" s="1">
        <f t="shared" si="25"/>
        <v>151.37559523809523</v>
      </c>
      <c r="DL66" s="24">
        <v>544569.28</v>
      </c>
      <c r="DM66" s="25">
        <v>1158.4000000000001</v>
      </c>
      <c r="DN66" s="24"/>
      <c r="DO66" s="25"/>
      <c r="DP66" s="25"/>
      <c r="DQ66" s="25"/>
      <c r="DR66" s="25"/>
      <c r="DS66" s="25"/>
      <c r="DT66" s="25"/>
      <c r="DU66" s="25"/>
      <c r="DV66" s="25"/>
    </row>
    <row r="67" spans="1:126" x14ac:dyDescent="0.25">
      <c r="A67" s="252">
        <v>43983</v>
      </c>
      <c r="B67" s="253">
        <f t="shared" si="18"/>
        <v>2020</v>
      </c>
      <c r="C67" s="253">
        <f t="shared" si="19"/>
        <v>6</v>
      </c>
      <c r="D67" s="254">
        <v>44718231.311448969</v>
      </c>
      <c r="E67" s="254">
        <f>IFERROR(VLOOKUP($B67-1,CDM!$L$7:$T$18,2,FALSE)/12,0)+IFERROR(VLOOKUP($B67,CDM!$L$36:$T$46,2,FALSE)/24,0)+IFERROR(VLOOKUP($B67,CDM!$L$36:$T$46,2,FALSE)/2*$C67/78,0)</f>
        <v>2435866.3108974355</v>
      </c>
      <c r="F67" s="254">
        <f t="shared" si="20"/>
        <v>47154097.622346401</v>
      </c>
      <c r="G67" s="255">
        <v>54521</v>
      </c>
      <c r="H67" s="254">
        <v>8871542.3359347116</v>
      </c>
      <c r="I67" s="254">
        <f>IFERROR(VLOOKUP($B67-1,CDM!$L$7:$T$18,3,FALSE)/12,0)+IFERROR(VLOOKUP($B67,CDM!$L$36:$T$46,3,FALSE)/24,0)+IFERROR(VLOOKUP($B67,CDM!$L$36:$T$46,3,FALSE)/2*$C67/78,0)</f>
        <v>549058.62634680991</v>
      </c>
      <c r="J67" s="254">
        <f t="shared" si="21"/>
        <v>9420600.9622815214</v>
      </c>
      <c r="K67" s="256">
        <v>4205</v>
      </c>
      <c r="L67" s="4">
        <v>23570161.011071999</v>
      </c>
      <c r="M67" s="257">
        <f>IFERROR(VLOOKUP($B67-1,CDM!$L$7:$T$18,4,FALSE)/12,0)+IFERROR(VLOOKUP($B67,CDM!$L$36:$T$46,4,FALSE)/24,0)+IFERROR(VLOOKUP($B67,CDM!$L$36:$T$46,4,FALSE)/2*$C67/78,0)</f>
        <v>648847.08480679814</v>
      </c>
      <c r="N67" s="254">
        <f t="shared" si="22"/>
        <v>24219008.095878799</v>
      </c>
      <c r="O67" s="4">
        <v>66661.329886000007</v>
      </c>
      <c r="P67" s="256">
        <v>538</v>
      </c>
      <c r="Q67" s="256">
        <v>6196914.0201269928</v>
      </c>
      <c r="R67" s="256">
        <f>IFERROR(VLOOKUP($B67-1,CDM!$L$7:$T$18,5,FALSE)/12,0)+IFERROR(VLOOKUP($B67,CDM!$L$36:$T$46,5,FALSE)/24,0)+IFERROR(VLOOKUP($B67,CDM!$L$36:$T$46,5,FALSE)/2*$C67/78,0)</f>
        <v>855578.28438810445</v>
      </c>
      <c r="S67" s="256">
        <f t="shared" ref="S67:S121" si="32">Q67+R67</f>
        <v>7052492.3045150973</v>
      </c>
      <c r="T67" s="256">
        <v>17272.360937999998</v>
      </c>
      <c r="U67" s="256">
        <v>14</v>
      </c>
      <c r="V67" s="256">
        <v>2214827.6747113038</v>
      </c>
      <c r="W67" s="256">
        <f>IFERROR(VLOOKUP($B67-1,CDM!$L$7:$T$18,6,FALSE)/12,0)+IFERROR(VLOOKUP($B67,CDM!$L$36:$T$46,6,FALSE)/24,0)+IFERROR(VLOOKUP($B67,CDM!$L$36:$T$46,6,FALSE)/2*$C67/78,0)</f>
        <v>23206.900587606837</v>
      </c>
      <c r="X67" s="256">
        <f t="shared" ref="X67:X121" si="33">V67+W67</f>
        <v>2238034.5752989105</v>
      </c>
      <c r="Y67" s="256">
        <v>6464.2113899999995</v>
      </c>
      <c r="Z67" s="256">
        <v>1</v>
      </c>
      <c r="AA67" s="4">
        <v>275612.25021846703</v>
      </c>
      <c r="AB67" s="4">
        <v>1022.83</v>
      </c>
      <c r="AC67" s="256">
        <v>13978</v>
      </c>
      <c r="AD67" s="256">
        <v>2285.94</v>
      </c>
      <c r="AE67" s="256">
        <v>0</v>
      </c>
      <c r="AF67" s="256">
        <v>19</v>
      </c>
      <c r="AG67" s="4">
        <v>213656</v>
      </c>
      <c r="AH67" s="4">
        <v>253</v>
      </c>
      <c r="AI67" s="28">
        <f>Economic!H69</f>
        <v>769942</v>
      </c>
      <c r="AJ67" s="28">
        <f>Economic!I69</f>
        <v>596521.6</v>
      </c>
      <c r="AK67" s="28">
        <f>Economic!J69</f>
        <v>58159</v>
      </c>
      <c r="AL67" s="28">
        <f>Economic!K69</f>
        <v>706539</v>
      </c>
      <c r="AM67" s="28">
        <f>Economic!L69</f>
        <v>552481</v>
      </c>
      <c r="AN67" s="28">
        <f>Economic!M69</f>
        <v>20965</v>
      </c>
      <c r="AO67" s="28">
        <f>Economic!D69</f>
        <v>6459.7</v>
      </c>
      <c r="AP67" s="28">
        <f>Economic!E69</f>
        <v>6498.5</v>
      </c>
      <c r="AQ67" s="28">
        <f>Economic!F69</f>
        <v>190.3</v>
      </c>
      <c r="AR67" s="28">
        <f>Economic!G69</f>
        <v>193.9</v>
      </c>
      <c r="AS67" s="28">
        <f>Economic!N69</f>
        <v>-960.60000000000036</v>
      </c>
      <c r="AT67" s="28">
        <f>Economic!O69</f>
        <v>-962.39999999999964</v>
      </c>
      <c r="AU67" s="28">
        <f>Economic!P69</f>
        <v>-28.199999999999989</v>
      </c>
      <c r="AV67" s="28">
        <f>Economic!Q69</f>
        <v>-28.299999999999983</v>
      </c>
      <c r="AW67" s="28">
        <f>Economic!R69</f>
        <v>-37332.5</v>
      </c>
      <c r="AX67" s="28">
        <f>Economic!S69</f>
        <v>-93587</v>
      </c>
      <c r="AY67" s="7">
        <f>Weather!D67</f>
        <v>19.417874396135264</v>
      </c>
      <c r="AZ67" s="7">
        <f>Weather!E67</f>
        <v>53.275000000000006</v>
      </c>
      <c r="BA67" s="7">
        <f>Weather!F67</f>
        <v>35.811231884057946</v>
      </c>
      <c r="BB67" s="7">
        <f>Weather!G67</f>
        <v>29.733333333333348</v>
      </c>
      <c r="BC67" s="7">
        <f>Weather!H67</f>
        <v>72.269565217391289</v>
      </c>
      <c r="BD67" s="7">
        <f>Weather!I67</f>
        <v>13.145833333333346</v>
      </c>
      <c r="BE67" s="7">
        <f>Weather!J67</f>
        <v>115.68206521739128</v>
      </c>
      <c r="BF67" s="7">
        <f>Weather!K67</f>
        <v>3.4333333333333353</v>
      </c>
      <c r="BG67" s="7">
        <f>Weather!L67</f>
        <v>165.96956521739128</v>
      </c>
      <c r="BH67" s="7">
        <f>Weather!M67</f>
        <v>0</v>
      </c>
      <c r="BI67" s="7">
        <f>Weather!N67</f>
        <v>222.53623188405788</v>
      </c>
      <c r="BJ67" s="7">
        <f>Weather!O67</f>
        <v>0</v>
      </c>
      <c r="BK67" s="7">
        <f>Weather!P67</f>
        <v>282.53623188405788</v>
      </c>
      <c r="BL67" s="7">
        <f>Weather!Q67</f>
        <v>0</v>
      </c>
      <c r="BM67" s="7">
        <f>Weather!R67</f>
        <v>342.536231884058</v>
      </c>
      <c r="BN67" s="1">
        <f t="shared" si="27"/>
        <v>0</v>
      </c>
      <c r="BO67" s="1">
        <f t="shared" si="27"/>
        <v>0</v>
      </c>
      <c r="BP67" s="1">
        <f t="shared" si="27"/>
        <v>0</v>
      </c>
      <c r="BQ67" s="1">
        <f t="shared" si="27"/>
        <v>0</v>
      </c>
      <c r="BR67" s="1">
        <f t="shared" si="27"/>
        <v>0</v>
      </c>
      <c r="BS67" s="1">
        <f t="shared" si="27"/>
        <v>1</v>
      </c>
      <c r="BT67" s="1">
        <f t="shared" si="27"/>
        <v>0</v>
      </c>
      <c r="BU67" s="1">
        <f t="shared" si="27"/>
        <v>0</v>
      </c>
      <c r="BV67" s="1">
        <f t="shared" si="27"/>
        <v>0</v>
      </c>
      <c r="BW67" s="1">
        <f t="shared" si="27"/>
        <v>0</v>
      </c>
      <c r="BX67" s="1">
        <f t="shared" si="27"/>
        <v>0</v>
      </c>
      <c r="BY67" s="1">
        <f t="shared" si="27"/>
        <v>0</v>
      </c>
      <c r="BZ67" s="1">
        <f t="shared" si="27"/>
        <v>0</v>
      </c>
      <c r="CA67" s="1">
        <f t="shared" si="27"/>
        <v>0</v>
      </c>
      <c r="CB67" s="1">
        <f t="shared" si="27"/>
        <v>0</v>
      </c>
      <c r="CC67" s="1">
        <f t="shared" si="23"/>
        <v>66</v>
      </c>
      <c r="CD67" s="1">
        <f t="shared" si="17"/>
        <v>30</v>
      </c>
      <c r="CE67" s="1">
        <v>22</v>
      </c>
      <c r="CF67" s="1">
        <v>1</v>
      </c>
      <c r="CG67" s="1">
        <v>0.5</v>
      </c>
      <c r="CH67" s="1">
        <v>1</v>
      </c>
      <c r="CI67" s="1">
        <v>0.5</v>
      </c>
      <c r="CJ67" s="1">
        <f t="shared" si="30"/>
        <v>26.637500000000003</v>
      </c>
      <c r="CK67" s="1">
        <f t="shared" si="30"/>
        <v>17.905615942028973</v>
      </c>
      <c r="CL67" s="1">
        <f t="shared" si="30"/>
        <v>14.866666666666674</v>
      </c>
      <c r="CM67" s="1">
        <f t="shared" si="30"/>
        <v>36.134782608695645</v>
      </c>
      <c r="CN67" s="1">
        <f t="shared" si="30"/>
        <v>6.5729166666666732</v>
      </c>
      <c r="CO67" s="1">
        <f t="shared" si="30"/>
        <v>57.841032608695642</v>
      </c>
      <c r="CP67" s="1">
        <f t="shared" si="28"/>
        <v>1.7166666666666677</v>
      </c>
      <c r="CQ67" s="1">
        <f t="shared" si="28"/>
        <v>82.984782608695639</v>
      </c>
      <c r="CR67" s="1">
        <f t="shared" si="24"/>
        <v>0</v>
      </c>
      <c r="CS67" s="1">
        <f t="shared" si="24"/>
        <v>111.26811594202894</v>
      </c>
      <c r="CT67" s="1">
        <f t="shared" si="24"/>
        <v>0</v>
      </c>
      <c r="CU67" s="1">
        <f t="shared" si="24"/>
        <v>141.26811594202894</v>
      </c>
      <c r="CV67" s="1">
        <f t="shared" si="24"/>
        <v>0</v>
      </c>
      <c r="CW67" s="1">
        <f t="shared" si="24"/>
        <v>171.268115942029</v>
      </c>
      <c r="CX67" s="1">
        <f t="shared" si="31"/>
        <v>53.275000000000006</v>
      </c>
      <c r="CY67" s="1">
        <f t="shared" si="31"/>
        <v>35.811231884057946</v>
      </c>
      <c r="CZ67" s="1">
        <f t="shared" si="31"/>
        <v>29.733333333333348</v>
      </c>
      <c r="DA67" s="1">
        <f t="shared" si="31"/>
        <v>72.269565217391289</v>
      </c>
      <c r="DB67" s="1">
        <f t="shared" si="31"/>
        <v>13.145833333333346</v>
      </c>
      <c r="DC67" s="1">
        <f t="shared" si="31"/>
        <v>115.68206521739128</v>
      </c>
      <c r="DD67" s="1">
        <f t="shared" si="29"/>
        <v>3.4333333333333353</v>
      </c>
      <c r="DE67" s="1">
        <f t="shared" si="29"/>
        <v>165.96956521739128</v>
      </c>
      <c r="DF67" s="1">
        <f t="shared" si="25"/>
        <v>0</v>
      </c>
      <c r="DG67" s="1">
        <f>$CH67*BI67</f>
        <v>222.53623188405788</v>
      </c>
      <c r="DH67" s="1">
        <f t="shared" si="25"/>
        <v>0</v>
      </c>
      <c r="DI67" s="1">
        <f t="shared" si="25"/>
        <v>282.53623188405788</v>
      </c>
      <c r="DJ67" s="1">
        <f t="shared" si="25"/>
        <v>0</v>
      </c>
      <c r="DK67" s="1">
        <f t="shared" si="25"/>
        <v>342.536231884058</v>
      </c>
      <c r="DL67" s="24">
        <v>564184.44999999995</v>
      </c>
      <c r="DM67" s="25">
        <v>1238.79</v>
      </c>
      <c r="DN67" s="24"/>
      <c r="DO67" s="25"/>
      <c r="DP67" s="25"/>
      <c r="DQ67" s="25"/>
      <c r="DR67" s="25"/>
      <c r="DS67" s="25"/>
      <c r="DT67" s="25"/>
      <c r="DU67" s="25"/>
      <c r="DV67" s="25"/>
    </row>
    <row r="68" spans="1:126" x14ac:dyDescent="0.25">
      <c r="A68" s="252">
        <v>44013</v>
      </c>
      <c r="B68" s="253">
        <f t="shared" si="18"/>
        <v>2020</v>
      </c>
      <c r="C68" s="253">
        <f t="shared" si="19"/>
        <v>7</v>
      </c>
      <c r="D68" s="254">
        <v>57758606.220407367</v>
      </c>
      <c r="E68" s="254">
        <f>IFERROR(VLOOKUP($B68-1,CDM!$L$7:$T$18,2,FALSE)/12,0)+IFERROR(VLOOKUP($B68,CDM!$L$36:$T$46,2,FALSE)/24,0)+IFERROR(VLOOKUP($B68,CDM!$L$36:$T$46,2,FALSE)/2*$C68/78,0)</f>
        <v>2435854.3557692305</v>
      </c>
      <c r="F68" s="254">
        <f t="shared" si="20"/>
        <v>60194460.576176599</v>
      </c>
      <c r="G68" s="255">
        <v>54507</v>
      </c>
      <c r="H68" s="254">
        <v>11127357.290681239</v>
      </c>
      <c r="I68" s="254">
        <f>IFERROR(VLOOKUP($B68-1,CDM!$L$7:$T$18,3,FALSE)/12,0)+IFERROR(VLOOKUP($B68,CDM!$L$36:$T$46,3,FALSE)/24,0)+IFERROR(VLOOKUP($B68,CDM!$L$36:$T$46,3,FALSE)/2*$C68/78,0)</f>
        <v>548491.62486926804</v>
      </c>
      <c r="J68" s="254">
        <f t="shared" si="21"/>
        <v>11675848.915550508</v>
      </c>
      <c r="K68" s="256">
        <v>4208</v>
      </c>
      <c r="L68" s="4">
        <v>28239813.818320382</v>
      </c>
      <c r="M68" s="257">
        <f>IFERROR(VLOOKUP($B68-1,CDM!$L$7:$T$18,4,FALSE)/12,0)+IFERROR(VLOOKUP($B68,CDM!$L$36:$T$46,4,FALSE)/24,0)+IFERROR(VLOOKUP($B68,CDM!$L$36:$T$46,4,FALSE)/2*$C68/78,0)</f>
        <v>648650.3882976959</v>
      </c>
      <c r="N68" s="254">
        <f t="shared" si="22"/>
        <v>28888464.206618078</v>
      </c>
      <c r="O68" s="4">
        <v>69985.247881999996</v>
      </c>
      <c r="P68" s="256">
        <v>539</v>
      </c>
      <c r="Q68" s="256">
        <v>7788559.4154939866</v>
      </c>
      <c r="R68" s="256">
        <f>IFERROR(VLOOKUP($B68-1,CDM!$L$7:$T$18,5,FALSE)/12,0)+IFERROR(VLOOKUP($B68,CDM!$L$36:$T$46,5,FALSE)/24,0)+IFERROR(VLOOKUP($B68,CDM!$L$36:$T$46,5,FALSE)/2*$C68/78,0)</f>
        <v>855577.44034964289</v>
      </c>
      <c r="S68" s="256">
        <f t="shared" si="32"/>
        <v>8644136.8558436297</v>
      </c>
      <c r="T68" s="256">
        <v>17139.356513999999</v>
      </c>
      <c r="U68" s="256">
        <v>15</v>
      </c>
      <c r="V68" s="256">
        <v>2771707.1866302304</v>
      </c>
      <c r="W68" s="256">
        <f>IFERROR(VLOOKUP($B68-1,CDM!$L$7:$T$18,6,FALSE)/12,0)+IFERROR(VLOOKUP($B68,CDM!$L$36:$T$46,6,FALSE)/24,0)+IFERROR(VLOOKUP($B68,CDM!$L$36:$T$46,6,FALSE)/2*$C68/78,0)</f>
        <v>23205.491079059826</v>
      </c>
      <c r="X68" s="256">
        <f t="shared" si="33"/>
        <v>2794912.6777092903</v>
      </c>
      <c r="Y68" s="256">
        <v>6329.5669500000004</v>
      </c>
      <c r="Z68" s="256">
        <v>1</v>
      </c>
      <c r="AA68" s="4">
        <v>292500.92674610473</v>
      </c>
      <c r="AB68" s="4">
        <v>1022.83</v>
      </c>
      <c r="AC68" s="256">
        <v>13978</v>
      </c>
      <c r="AD68" s="256">
        <v>2285.94</v>
      </c>
      <c r="AE68" s="256">
        <v>0</v>
      </c>
      <c r="AF68" s="256">
        <v>19</v>
      </c>
      <c r="AG68" s="4">
        <v>213656</v>
      </c>
      <c r="AH68" s="4">
        <v>253</v>
      </c>
      <c r="AI68" s="28">
        <f>Economic!H70</f>
        <v>769942</v>
      </c>
      <c r="AJ68" s="28">
        <f>Economic!I70</f>
        <v>596521.6</v>
      </c>
      <c r="AK68" s="28">
        <f>Economic!J70</f>
        <v>58159</v>
      </c>
      <c r="AL68" s="28">
        <f>Economic!K70</f>
        <v>777225</v>
      </c>
      <c r="AM68" s="28">
        <f>Economic!L70</f>
        <v>598852</v>
      </c>
      <c r="AN68" s="28">
        <f>Economic!M70</f>
        <v>22145</v>
      </c>
      <c r="AO68" s="28">
        <f>Economic!D70</f>
        <v>6643.5</v>
      </c>
      <c r="AP68" s="28">
        <f>Economic!E70</f>
        <v>6711.9</v>
      </c>
      <c r="AQ68" s="28">
        <f>Economic!F70</f>
        <v>195.6</v>
      </c>
      <c r="AR68" s="28">
        <f>Economic!G70</f>
        <v>199.5</v>
      </c>
      <c r="AS68" s="28">
        <f>Economic!N70</f>
        <v>-780.10000000000036</v>
      </c>
      <c r="AT68" s="28">
        <f>Economic!O70</f>
        <v>-798</v>
      </c>
      <c r="AU68" s="28">
        <f>Economic!P70</f>
        <v>-21.400000000000006</v>
      </c>
      <c r="AV68" s="28">
        <f>Economic!Q70</f>
        <v>-22.199999999999989</v>
      </c>
      <c r="AW68" s="28">
        <f>Economic!R70</f>
        <v>-37332.5</v>
      </c>
      <c r="AX68" s="28">
        <f>Economic!S70</f>
        <v>70686</v>
      </c>
      <c r="AY68" s="7">
        <f>Weather!D68</f>
        <v>23.964112903225804</v>
      </c>
      <c r="AZ68" s="7">
        <f>Weather!E68</f>
        <v>0</v>
      </c>
      <c r="BA68" s="7">
        <f>Weather!F68</f>
        <v>122.88750000000002</v>
      </c>
      <c r="BB68" s="7">
        <f>Weather!G68</f>
        <v>0</v>
      </c>
      <c r="BC68" s="7">
        <f>Weather!H68</f>
        <v>184.88749999999999</v>
      </c>
      <c r="BD68" s="7">
        <f>Weather!I68</f>
        <v>0</v>
      </c>
      <c r="BE68" s="7">
        <f>Weather!J68</f>
        <v>246.88749999999999</v>
      </c>
      <c r="BF68" s="7">
        <f>Weather!K68</f>
        <v>0</v>
      </c>
      <c r="BG68" s="7">
        <f>Weather!L68</f>
        <v>308.88750000000005</v>
      </c>
      <c r="BH68" s="7">
        <f>Weather!M68</f>
        <v>0</v>
      </c>
      <c r="BI68" s="7">
        <f>Weather!N68</f>
        <v>370.88750000000005</v>
      </c>
      <c r="BJ68" s="7">
        <f>Weather!O68</f>
        <v>0</v>
      </c>
      <c r="BK68" s="7">
        <f>Weather!P68</f>
        <v>432.88750000000005</v>
      </c>
      <c r="BL68" s="7">
        <f>Weather!Q68</f>
        <v>0</v>
      </c>
      <c r="BM68" s="7">
        <f>Weather!R68</f>
        <v>494.88750000000005</v>
      </c>
      <c r="BN68" s="1">
        <f t="shared" si="27"/>
        <v>0</v>
      </c>
      <c r="BO68" s="1">
        <f t="shared" si="27"/>
        <v>0</v>
      </c>
      <c r="BP68" s="1">
        <f t="shared" si="27"/>
        <v>0</v>
      </c>
      <c r="BQ68" s="1">
        <f t="shared" si="27"/>
        <v>0</v>
      </c>
      <c r="BR68" s="1">
        <f t="shared" si="27"/>
        <v>0</v>
      </c>
      <c r="BS68" s="1">
        <f t="shared" si="27"/>
        <v>0</v>
      </c>
      <c r="BT68" s="1">
        <f t="shared" si="27"/>
        <v>1</v>
      </c>
      <c r="BU68" s="1">
        <f t="shared" si="27"/>
        <v>0</v>
      </c>
      <c r="BV68" s="1">
        <f t="shared" si="27"/>
        <v>0</v>
      </c>
      <c r="BW68" s="1">
        <f t="shared" si="27"/>
        <v>0</v>
      </c>
      <c r="BX68" s="1">
        <f t="shared" si="27"/>
        <v>0</v>
      </c>
      <c r="BY68" s="1">
        <f t="shared" si="27"/>
        <v>0</v>
      </c>
      <c r="BZ68" s="1">
        <f t="shared" si="27"/>
        <v>0</v>
      </c>
      <c r="CA68" s="1">
        <f t="shared" si="27"/>
        <v>0</v>
      </c>
      <c r="CB68" s="1">
        <f t="shared" si="27"/>
        <v>0</v>
      </c>
      <c r="CC68" s="1">
        <f t="shared" si="23"/>
        <v>67</v>
      </c>
      <c r="CD68" s="1">
        <f t="shared" si="17"/>
        <v>31</v>
      </c>
      <c r="CE68" s="1">
        <v>22</v>
      </c>
      <c r="CF68" s="1">
        <v>1</v>
      </c>
      <c r="CG68" s="1">
        <v>0.5</v>
      </c>
      <c r="CH68" s="1">
        <v>1</v>
      </c>
      <c r="CI68" s="1">
        <v>0</v>
      </c>
      <c r="CJ68" s="1">
        <f t="shared" si="30"/>
        <v>0</v>
      </c>
      <c r="CK68" s="1">
        <f t="shared" si="30"/>
        <v>61.443750000000009</v>
      </c>
      <c r="CL68" s="1">
        <f t="shared" si="30"/>
        <v>0</v>
      </c>
      <c r="CM68" s="1">
        <f t="shared" si="30"/>
        <v>92.443749999999994</v>
      </c>
      <c r="CN68" s="1">
        <f t="shared" si="30"/>
        <v>0</v>
      </c>
      <c r="CO68" s="1">
        <f t="shared" si="30"/>
        <v>123.44374999999999</v>
      </c>
      <c r="CP68" s="1">
        <f t="shared" si="28"/>
        <v>0</v>
      </c>
      <c r="CQ68" s="1">
        <f t="shared" si="28"/>
        <v>154.44375000000002</v>
      </c>
      <c r="CR68" s="1">
        <f t="shared" si="24"/>
        <v>0</v>
      </c>
      <c r="CS68" s="1">
        <f t="shared" si="24"/>
        <v>185.44375000000002</v>
      </c>
      <c r="CT68" s="1">
        <f t="shared" si="24"/>
        <v>0</v>
      </c>
      <c r="CU68" s="1">
        <f t="shared" si="24"/>
        <v>216.44375000000002</v>
      </c>
      <c r="CV68" s="1">
        <f t="shared" si="24"/>
        <v>0</v>
      </c>
      <c r="CW68" s="1">
        <f t="shared" si="24"/>
        <v>247.44375000000002</v>
      </c>
      <c r="CX68" s="1">
        <f t="shared" si="31"/>
        <v>0</v>
      </c>
      <c r="CY68" s="1">
        <f t="shared" si="31"/>
        <v>122.88750000000002</v>
      </c>
      <c r="CZ68" s="1">
        <f t="shared" si="31"/>
        <v>0</v>
      </c>
      <c r="DA68" s="1">
        <f t="shared" si="31"/>
        <v>184.88749999999999</v>
      </c>
      <c r="DB68" s="1">
        <f t="shared" si="31"/>
        <v>0</v>
      </c>
      <c r="DC68" s="1">
        <f t="shared" si="31"/>
        <v>246.88749999999999</v>
      </c>
      <c r="DD68" s="1">
        <f t="shared" si="29"/>
        <v>0</v>
      </c>
      <c r="DE68" s="1">
        <f t="shared" si="29"/>
        <v>308.88750000000005</v>
      </c>
      <c r="DF68" s="1">
        <f t="shared" si="25"/>
        <v>0</v>
      </c>
      <c r="DG68" s="1">
        <f t="shared" si="25"/>
        <v>370.88750000000005</v>
      </c>
      <c r="DH68" s="1">
        <f t="shared" si="25"/>
        <v>0</v>
      </c>
      <c r="DI68" s="1">
        <f t="shared" si="25"/>
        <v>432.88750000000005</v>
      </c>
      <c r="DJ68" s="1">
        <f t="shared" si="25"/>
        <v>0</v>
      </c>
      <c r="DK68" s="1">
        <f t="shared" si="25"/>
        <v>494.88750000000005</v>
      </c>
      <c r="DL68" s="24">
        <v>699802.26</v>
      </c>
      <c r="DM68" s="25">
        <v>1402.09</v>
      </c>
      <c r="DN68" s="24"/>
      <c r="DO68" s="25"/>
      <c r="DP68" s="25"/>
      <c r="DQ68" s="25"/>
      <c r="DR68" s="25"/>
      <c r="DS68" s="25"/>
      <c r="DT68" s="25"/>
      <c r="DU68" s="25"/>
      <c r="DV68" s="25"/>
    </row>
    <row r="69" spans="1:126" x14ac:dyDescent="0.25">
      <c r="A69" s="252">
        <v>44044</v>
      </c>
      <c r="B69" s="253">
        <f t="shared" si="18"/>
        <v>2020</v>
      </c>
      <c r="C69" s="253">
        <f t="shared" si="19"/>
        <v>8</v>
      </c>
      <c r="D69" s="254">
        <v>53226824.671886824</v>
      </c>
      <c r="E69" s="254">
        <f>IFERROR(VLOOKUP($B69-1,CDM!$L$7:$T$18,2,FALSE)/12,0)+IFERROR(VLOOKUP($B69,CDM!$L$36:$T$46,2,FALSE)/24,0)+IFERROR(VLOOKUP($B69,CDM!$L$36:$T$46,2,FALSE)/2*$C69/78,0)</f>
        <v>2435842.4006410255</v>
      </c>
      <c r="F69" s="254">
        <f t="shared" si="20"/>
        <v>55662667.072527848</v>
      </c>
      <c r="G69" s="255">
        <v>54502</v>
      </c>
      <c r="H69" s="254">
        <v>10241045.210105941</v>
      </c>
      <c r="I69" s="254">
        <f>IFERROR(VLOOKUP($B69-1,CDM!$L$7:$T$18,3,FALSE)/12,0)+IFERROR(VLOOKUP($B69,CDM!$L$36:$T$46,3,FALSE)/24,0)+IFERROR(VLOOKUP($B69,CDM!$L$36:$T$46,3,FALSE)/2*$C69/78,0)</f>
        <v>547924.62339172617</v>
      </c>
      <c r="J69" s="254">
        <f t="shared" si="21"/>
        <v>10788969.833497668</v>
      </c>
      <c r="K69" s="256">
        <v>4205</v>
      </c>
      <c r="L69" s="4">
        <v>26270580.6002439</v>
      </c>
      <c r="M69" s="257">
        <f>IFERROR(VLOOKUP($B69-1,CDM!$L$7:$T$18,4,FALSE)/12,0)+IFERROR(VLOOKUP($B69,CDM!$L$36:$T$46,4,FALSE)/24,0)+IFERROR(VLOOKUP($B69,CDM!$L$36:$T$46,4,FALSE)/2*$C69/78,0)</f>
        <v>648453.69178859354</v>
      </c>
      <c r="N69" s="254">
        <f t="shared" si="22"/>
        <v>26919034.292032495</v>
      </c>
      <c r="O69" s="4">
        <v>69541.38</v>
      </c>
      <c r="P69" s="256">
        <v>540</v>
      </c>
      <c r="Q69" s="256">
        <v>7260309.3929578299</v>
      </c>
      <c r="R69" s="256">
        <f>IFERROR(VLOOKUP($B69-1,CDM!$L$7:$T$18,5,FALSE)/12,0)+IFERROR(VLOOKUP($B69,CDM!$L$36:$T$46,5,FALSE)/24,0)+IFERROR(VLOOKUP($B69,CDM!$L$36:$T$46,5,FALSE)/2*$C69/78,0)</f>
        <v>855576.59631118132</v>
      </c>
      <c r="S69" s="256">
        <f t="shared" si="32"/>
        <v>8115885.9892690107</v>
      </c>
      <c r="T69" s="256">
        <v>16312.430554</v>
      </c>
      <c r="U69" s="256">
        <v>15</v>
      </c>
      <c r="V69" s="256">
        <v>2823767.8385568643</v>
      </c>
      <c r="W69" s="256">
        <f>IFERROR(VLOOKUP($B69-1,CDM!$L$7:$T$18,6,FALSE)/12,0)+IFERROR(VLOOKUP($B69,CDM!$L$36:$T$46,6,FALSE)/24,0)+IFERROR(VLOOKUP($B69,CDM!$L$36:$T$46,6,FALSE)/2*$C69/78,0)</f>
        <v>23204.081570512819</v>
      </c>
      <c r="X69" s="256">
        <f t="shared" si="33"/>
        <v>2846971.9201273769</v>
      </c>
      <c r="Y69" s="256">
        <v>7453.5326879999993</v>
      </c>
      <c r="Z69" s="256">
        <v>1</v>
      </c>
      <c r="AA69" s="4">
        <v>292494.93183045869</v>
      </c>
      <c r="AB69" s="4">
        <v>1022.83</v>
      </c>
      <c r="AC69" s="256">
        <v>13978</v>
      </c>
      <c r="AD69" s="256">
        <v>2212.1999999999998</v>
      </c>
      <c r="AE69" s="256">
        <v>0</v>
      </c>
      <c r="AF69" s="256">
        <v>19</v>
      </c>
      <c r="AG69" s="4">
        <v>213656</v>
      </c>
      <c r="AH69" s="4">
        <v>254</v>
      </c>
      <c r="AI69" s="28">
        <f>Economic!H71</f>
        <v>769942</v>
      </c>
      <c r="AJ69" s="28">
        <f>Economic!I71</f>
        <v>596521.6</v>
      </c>
      <c r="AK69" s="28">
        <f>Economic!J71</f>
        <v>58159</v>
      </c>
      <c r="AL69" s="28">
        <f>Economic!K71</f>
        <v>777225</v>
      </c>
      <c r="AM69" s="28">
        <f>Economic!L71</f>
        <v>598852</v>
      </c>
      <c r="AN69" s="28">
        <f>Economic!M71</f>
        <v>22145</v>
      </c>
      <c r="AO69" s="28">
        <f>Economic!D71</f>
        <v>6879.1</v>
      </c>
      <c r="AP69" s="28">
        <f>Economic!E71</f>
        <v>6950.9</v>
      </c>
      <c r="AQ69" s="28">
        <f>Economic!F71</f>
        <v>202.7</v>
      </c>
      <c r="AR69" s="28">
        <f>Economic!G71</f>
        <v>205.5</v>
      </c>
      <c r="AS69" s="28">
        <f>Economic!N71</f>
        <v>-554.69999999999982</v>
      </c>
      <c r="AT69" s="28">
        <f>Economic!O71</f>
        <v>-572.40000000000055</v>
      </c>
      <c r="AU69" s="28">
        <f>Economic!P71</f>
        <v>-11.5</v>
      </c>
      <c r="AV69" s="28">
        <f>Economic!Q71</f>
        <v>-11.699999999999989</v>
      </c>
      <c r="AW69" s="28">
        <f>Economic!R71</f>
        <v>-37332.5</v>
      </c>
      <c r="AX69" s="28">
        <f>Economic!S71</f>
        <v>70686</v>
      </c>
      <c r="AY69" s="7">
        <f>Weather!D69</f>
        <v>20.997776148582602</v>
      </c>
      <c r="AZ69" s="7">
        <f>Weather!E69</f>
        <v>19.720833333333321</v>
      </c>
      <c r="BA69" s="7">
        <f>Weather!F69</f>
        <v>50.651893939393972</v>
      </c>
      <c r="BB69" s="7">
        <f>Weather!G69</f>
        <v>3.4874999999999972</v>
      </c>
      <c r="BC69" s="7">
        <f>Weather!H69</f>
        <v>96.418560606060637</v>
      </c>
      <c r="BD69" s="7">
        <f>Weather!I69</f>
        <v>0</v>
      </c>
      <c r="BE69" s="7">
        <f>Weather!J69</f>
        <v>154.93106060606064</v>
      </c>
      <c r="BF69" s="7">
        <f>Weather!K69</f>
        <v>0</v>
      </c>
      <c r="BG69" s="7">
        <f>Weather!L69</f>
        <v>216.93106060606064</v>
      </c>
      <c r="BH69" s="7">
        <f>Weather!M69</f>
        <v>0</v>
      </c>
      <c r="BI69" s="7">
        <f>Weather!N69</f>
        <v>278.93106060606061</v>
      </c>
      <c r="BJ69" s="7">
        <f>Weather!O69</f>
        <v>0</v>
      </c>
      <c r="BK69" s="7">
        <f>Weather!P69</f>
        <v>340.93106060606056</v>
      </c>
      <c r="BL69" s="7">
        <f>Weather!Q69</f>
        <v>0</v>
      </c>
      <c r="BM69" s="7">
        <f>Weather!R69</f>
        <v>402.93106060606067</v>
      </c>
      <c r="BN69" s="1">
        <f t="shared" si="27"/>
        <v>0</v>
      </c>
      <c r="BO69" s="1">
        <f t="shared" si="27"/>
        <v>0</v>
      </c>
      <c r="BP69" s="1">
        <f t="shared" si="27"/>
        <v>0</v>
      </c>
      <c r="BQ69" s="1">
        <f t="shared" si="27"/>
        <v>0</v>
      </c>
      <c r="BR69" s="1">
        <f t="shared" si="27"/>
        <v>0</v>
      </c>
      <c r="BS69" s="1">
        <f t="shared" si="27"/>
        <v>0</v>
      </c>
      <c r="BT69" s="1">
        <f t="shared" si="27"/>
        <v>0</v>
      </c>
      <c r="BU69" s="1">
        <f t="shared" si="27"/>
        <v>1</v>
      </c>
      <c r="BV69" s="1">
        <f t="shared" si="27"/>
        <v>0</v>
      </c>
      <c r="BW69" s="1">
        <f t="shared" si="27"/>
        <v>0</v>
      </c>
      <c r="BX69" s="1">
        <f t="shared" si="27"/>
        <v>0</v>
      </c>
      <c r="BY69" s="1">
        <f t="shared" si="27"/>
        <v>0</v>
      </c>
      <c r="BZ69" s="1">
        <f t="shared" si="27"/>
        <v>0</v>
      </c>
      <c r="CA69" s="1">
        <f t="shared" si="27"/>
        <v>0</v>
      </c>
      <c r="CB69" s="1">
        <f t="shared" si="27"/>
        <v>0</v>
      </c>
      <c r="CC69" s="1">
        <f t="shared" si="23"/>
        <v>68</v>
      </c>
      <c r="CD69" s="1">
        <f t="shared" si="17"/>
        <v>31</v>
      </c>
      <c r="CE69" s="1">
        <v>20</v>
      </c>
      <c r="CF69" s="1">
        <v>1</v>
      </c>
      <c r="CG69" s="1">
        <v>0.5</v>
      </c>
      <c r="CH69" s="1">
        <v>1</v>
      </c>
      <c r="CI69" s="1">
        <v>0</v>
      </c>
      <c r="CJ69" s="1">
        <f t="shared" si="30"/>
        <v>9.8604166666666604</v>
      </c>
      <c r="CK69" s="1">
        <f t="shared" si="30"/>
        <v>25.325946969696986</v>
      </c>
      <c r="CL69" s="1">
        <f t="shared" si="30"/>
        <v>1.7437499999999986</v>
      </c>
      <c r="CM69" s="1">
        <f t="shared" si="30"/>
        <v>48.209280303030319</v>
      </c>
      <c r="CN69" s="1">
        <f t="shared" si="30"/>
        <v>0</v>
      </c>
      <c r="CO69" s="1">
        <f t="shared" si="30"/>
        <v>77.46553030303032</v>
      </c>
      <c r="CP69" s="1">
        <f t="shared" si="28"/>
        <v>0</v>
      </c>
      <c r="CQ69" s="1">
        <f t="shared" si="28"/>
        <v>108.46553030303032</v>
      </c>
      <c r="CR69" s="1">
        <f t="shared" si="24"/>
        <v>0</v>
      </c>
      <c r="CS69" s="1">
        <f t="shared" si="24"/>
        <v>139.46553030303031</v>
      </c>
      <c r="CT69" s="1">
        <f t="shared" si="24"/>
        <v>0</v>
      </c>
      <c r="CU69" s="1">
        <f t="shared" si="24"/>
        <v>170.46553030303028</v>
      </c>
      <c r="CV69" s="1">
        <f t="shared" si="24"/>
        <v>0</v>
      </c>
      <c r="CW69" s="1">
        <f t="shared" si="24"/>
        <v>201.46553030303033</v>
      </c>
      <c r="CX69" s="1">
        <f t="shared" si="31"/>
        <v>19.720833333333321</v>
      </c>
      <c r="CY69" s="1">
        <f t="shared" si="31"/>
        <v>50.651893939393972</v>
      </c>
      <c r="CZ69" s="1">
        <f t="shared" si="31"/>
        <v>3.4874999999999972</v>
      </c>
      <c r="DA69" s="1">
        <f t="shared" si="31"/>
        <v>96.418560606060637</v>
      </c>
      <c r="DB69" s="1">
        <f t="shared" si="31"/>
        <v>0</v>
      </c>
      <c r="DC69" s="1">
        <f t="shared" si="31"/>
        <v>154.93106060606064</v>
      </c>
      <c r="DD69" s="1">
        <f t="shared" si="29"/>
        <v>0</v>
      </c>
      <c r="DE69" s="1">
        <f t="shared" si="29"/>
        <v>216.93106060606064</v>
      </c>
      <c r="DF69" s="1">
        <f t="shared" si="25"/>
        <v>0</v>
      </c>
      <c r="DG69" s="1">
        <f t="shared" si="25"/>
        <v>278.93106060606061</v>
      </c>
      <c r="DH69" s="1">
        <f t="shared" si="25"/>
        <v>0</v>
      </c>
      <c r="DI69" s="1">
        <f t="shared" si="25"/>
        <v>340.93106060606056</v>
      </c>
      <c r="DJ69" s="1">
        <f t="shared" si="25"/>
        <v>0</v>
      </c>
      <c r="DK69" s="1">
        <f t="shared" si="25"/>
        <v>402.93106060606067</v>
      </c>
      <c r="DL69" s="24">
        <v>654383.56000000006</v>
      </c>
      <c r="DM69" s="25">
        <v>1328.35</v>
      </c>
      <c r="DN69" s="24"/>
      <c r="DO69" s="25"/>
      <c r="DP69" s="25"/>
      <c r="DQ69" s="25"/>
      <c r="DR69" s="25"/>
      <c r="DS69" s="25"/>
      <c r="DT69" s="25"/>
      <c r="DU69" s="25"/>
      <c r="DV69" s="25"/>
    </row>
    <row r="70" spans="1:126" x14ac:dyDescent="0.25">
      <c r="A70" s="252">
        <v>44075</v>
      </c>
      <c r="B70" s="253">
        <f t="shared" si="18"/>
        <v>2020</v>
      </c>
      <c r="C70" s="253">
        <f t="shared" si="19"/>
        <v>9</v>
      </c>
      <c r="D70" s="254">
        <v>41896950.032388642</v>
      </c>
      <c r="E70" s="254">
        <f>IFERROR(VLOOKUP($B70-1,CDM!$L$7:$T$18,2,FALSE)/12,0)+IFERROR(VLOOKUP($B70,CDM!$L$36:$T$46,2,FALSE)/24,0)+IFERROR(VLOOKUP($B70,CDM!$L$36:$T$46,2,FALSE)/2*$C70/78,0)</f>
        <v>2435830.4455128205</v>
      </c>
      <c r="F70" s="254">
        <f t="shared" si="20"/>
        <v>44332780.477901466</v>
      </c>
      <c r="G70" s="255">
        <v>54799</v>
      </c>
      <c r="H70" s="254">
        <v>8597696.8064562883</v>
      </c>
      <c r="I70" s="254">
        <f>IFERROR(VLOOKUP($B70-1,CDM!$L$7:$T$18,3,FALSE)/12,0)+IFERROR(VLOOKUP($B70,CDM!$L$36:$T$46,3,FALSE)/24,0)+IFERROR(VLOOKUP($B70,CDM!$L$36:$T$46,3,FALSE)/2*$C70/78,0)</f>
        <v>547357.6219141843</v>
      </c>
      <c r="J70" s="254">
        <f t="shared" si="21"/>
        <v>9145054.428370472</v>
      </c>
      <c r="K70" s="256">
        <v>4229</v>
      </c>
      <c r="L70" s="4">
        <v>22251630.377495181</v>
      </c>
      <c r="M70" s="257">
        <f>IFERROR(VLOOKUP($B70-1,CDM!$L$7:$T$18,4,FALSE)/12,0)+IFERROR(VLOOKUP($B70,CDM!$L$36:$T$46,4,FALSE)/24,0)+IFERROR(VLOOKUP($B70,CDM!$L$36:$T$46,4,FALSE)/2*$C70/78,0)</f>
        <v>648256.9952794913</v>
      </c>
      <c r="N70" s="254">
        <f t="shared" si="22"/>
        <v>22899887.372774672</v>
      </c>
      <c r="O70" s="4">
        <v>61429</v>
      </c>
      <c r="P70" s="256">
        <v>537</v>
      </c>
      <c r="Q70" s="256">
        <v>5985300.0510400096</v>
      </c>
      <c r="R70" s="256">
        <f>IFERROR(VLOOKUP($B70-1,CDM!$L$7:$T$18,5,FALSE)/12,0)+IFERROR(VLOOKUP($B70,CDM!$L$36:$T$46,5,FALSE)/24,0)+IFERROR(VLOOKUP($B70,CDM!$L$36:$T$46,5,FALSE)/2*$C70/78,0)</f>
        <v>855575.75227271975</v>
      </c>
      <c r="S70" s="256">
        <f t="shared" si="32"/>
        <v>6840875.8033127291</v>
      </c>
      <c r="T70" s="256">
        <v>15240.28</v>
      </c>
      <c r="U70" s="256">
        <v>15</v>
      </c>
      <c r="V70" s="256">
        <v>2773278.0060593467</v>
      </c>
      <c r="W70" s="256">
        <f>IFERROR(VLOOKUP($B70-1,CDM!$L$7:$T$18,6,FALSE)/12,0)+IFERROR(VLOOKUP($B70,CDM!$L$36:$T$46,6,FALSE)/24,0)+IFERROR(VLOOKUP($B70,CDM!$L$36:$T$46,6,FALSE)/2*$C70/78,0)</f>
        <v>23202.672061965808</v>
      </c>
      <c r="X70" s="256">
        <f t="shared" si="33"/>
        <v>2796480.6781213125</v>
      </c>
      <c r="Y70" s="256">
        <v>5435</v>
      </c>
      <c r="Z70" s="256">
        <v>1</v>
      </c>
      <c r="AA70" s="4">
        <v>300755.16915870161</v>
      </c>
      <c r="AB70" s="4">
        <v>1023</v>
      </c>
      <c r="AC70" s="256">
        <v>13978</v>
      </c>
      <c r="AD70" s="256">
        <v>2285.94</v>
      </c>
      <c r="AE70" s="256">
        <v>0</v>
      </c>
      <c r="AF70" s="256">
        <v>19</v>
      </c>
      <c r="AG70" s="4">
        <v>213926</v>
      </c>
      <c r="AH70" s="4">
        <v>254</v>
      </c>
      <c r="AI70" s="28">
        <f>Economic!H72</f>
        <v>769942</v>
      </c>
      <c r="AJ70" s="28">
        <f>Economic!I72</f>
        <v>596521.6</v>
      </c>
      <c r="AK70" s="28">
        <f>Economic!J72</f>
        <v>58159</v>
      </c>
      <c r="AL70" s="28">
        <f>Economic!K72</f>
        <v>777225</v>
      </c>
      <c r="AM70" s="28">
        <f>Economic!L72</f>
        <v>598852</v>
      </c>
      <c r="AN70" s="28">
        <f>Economic!M72</f>
        <v>22145</v>
      </c>
      <c r="AO70" s="28">
        <f>Economic!D72</f>
        <v>7040.8</v>
      </c>
      <c r="AP70" s="28">
        <f>Economic!E72</f>
        <v>7075.5</v>
      </c>
      <c r="AQ70" s="28">
        <f>Economic!F72</f>
        <v>208.8</v>
      </c>
      <c r="AR70" s="28">
        <f>Economic!G72</f>
        <v>209.1</v>
      </c>
      <c r="AS70" s="28">
        <f>Economic!N72</f>
        <v>-407.69999999999982</v>
      </c>
      <c r="AT70" s="28">
        <f>Economic!O72</f>
        <v>-429.60000000000036</v>
      </c>
      <c r="AU70" s="28">
        <f>Economic!P72</f>
        <v>-1.1999999999999886</v>
      </c>
      <c r="AV70" s="28">
        <f>Economic!Q72</f>
        <v>-1.5999999999999943</v>
      </c>
      <c r="AW70" s="28">
        <f>Economic!R72</f>
        <v>-37332.5</v>
      </c>
      <c r="AX70" s="28">
        <f>Economic!S72</f>
        <v>70686</v>
      </c>
      <c r="AY70" s="7">
        <f>Weather!D70</f>
        <v>15.728182367149758</v>
      </c>
      <c r="AZ70" s="7">
        <f>Weather!E70</f>
        <v>132.75869565217394</v>
      </c>
      <c r="BA70" s="7">
        <f>Weather!F70</f>
        <v>4.6041666666666714</v>
      </c>
      <c r="BB70" s="7">
        <f>Weather!G70</f>
        <v>85.042028985507244</v>
      </c>
      <c r="BC70" s="7">
        <f>Weather!H70</f>
        <v>16.887500000000003</v>
      </c>
      <c r="BD70" s="7">
        <f>Weather!I70</f>
        <v>46.033695652173925</v>
      </c>
      <c r="BE70" s="7">
        <f>Weather!J70</f>
        <v>37.879166666666663</v>
      </c>
      <c r="BF70" s="7">
        <f>Weather!K70</f>
        <v>23.967028985507248</v>
      </c>
      <c r="BG70" s="7">
        <f>Weather!L70</f>
        <v>75.812499999999972</v>
      </c>
      <c r="BH70" s="7">
        <f>Weather!M70</f>
        <v>8.9666666666666686</v>
      </c>
      <c r="BI70" s="7">
        <f>Weather!N70</f>
        <v>120.81213768115938</v>
      </c>
      <c r="BJ70" s="7">
        <f>Weather!O70</f>
        <v>2.2333333333333343</v>
      </c>
      <c r="BK70" s="7">
        <f>Weather!P70</f>
        <v>174.07880434782609</v>
      </c>
      <c r="BL70" s="7">
        <f>Weather!Q70</f>
        <v>0</v>
      </c>
      <c r="BM70" s="7">
        <f>Weather!R70</f>
        <v>231.84547101449272</v>
      </c>
      <c r="BN70" s="1">
        <f t="shared" si="27"/>
        <v>0</v>
      </c>
      <c r="BO70" s="1">
        <f t="shared" si="27"/>
        <v>0</v>
      </c>
      <c r="BP70" s="1">
        <f t="shared" si="27"/>
        <v>0</v>
      </c>
      <c r="BQ70" s="1">
        <f t="shared" si="27"/>
        <v>0</v>
      </c>
      <c r="BR70" s="1">
        <f t="shared" si="27"/>
        <v>0</v>
      </c>
      <c r="BS70" s="1">
        <f t="shared" si="27"/>
        <v>0</v>
      </c>
      <c r="BT70" s="1">
        <f t="shared" si="27"/>
        <v>0</v>
      </c>
      <c r="BU70" s="1">
        <f t="shared" si="27"/>
        <v>0</v>
      </c>
      <c r="BV70" s="1">
        <f t="shared" si="27"/>
        <v>1</v>
      </c>
      <c r="BW70" s="1">
        <f t="shared" si="27"/>
        <v>0</v>
      </c>
      <c r="BX70" s="1">
        <f t="shared" si="27"/>
        <v>0</v>
      </c>
      <c r="BY70" s="1">
        <f t="shared" si="27"/>
        <v>0</v>
      </c>
      <c r="BZ70" s="1">
        <f t="shared" si="27"/>
        <v>0</v>
      </c>
      <c r="CA70" s="1">
        <f t="shared" si="27"/>
        <v>1</v>
      </c>
      <c r="CB70" s="1">
        <f t="shared" si="27"/>
        <v>1</v>
      </c>
      <c r="CC70" s="1">
        <f t="shared" si="23"/>
        <v>69</v>
      </c>
      <c r="CD70" s="1">
        <f t="shared" si="17"/>
        <v>30</v>
      </c>
      <c r="CE70" s="1">
        <v>21</v>
      </c>
      <c r="CF70" s="1">
        <v>1</v>
      </c>
      <c r="CG70" s="1">
        <v>0.5</v>
      </c>
      <c r="CH70" s="1">
        <v>1</v>
      </c>
      <c r="CI70" s="1">
        <v>0</v>
      </c>
      <c r="CJ70" s="1">
        <f t="shared" si="30"/>
        <v>66.37934782608697</v>
      </c>
      <c r="CK70" s="1">
        <f t="shared" si="30"/>
        <v>2.3020833333333357</v>
      </c>
      <c r="CL70" s="1">
        <f t="shared" si="30"/>
        <v>42.521014492753622</v>
      </c>
      <c r="CM70" s="1">
        <f t="shared" si="30"/>
        <v>8.4437500000000014</v>
      </c>
      <c r="CN70" s="1">
        <f t="shared" si="30"/>
        <v>23.016847826086963</v>
      </c>
      <c r="CO70" s="1">
        <f t="shared" si="30"/>
        <v>18.939583333333331</v>
      </c>
      <c r="CP70" s="1">
        <f t="shared" si="28"/>
        <v>11.983514492753624</v>
      </c>
      <c r="CQ70" s="1">
        <f t="shared" si="28"/>
        <v>37.906249999999986</v>
      </c>
      <c r="CR70" s="1">
        <f t="shared" si="24"/>
        <v>4.4833333333333343</v>
      </c>
      <c r="CS70" s="1">
        <f t="shared" si="24"/>
        <v>60.406068840579692</v>
      </c>
      <c r="CT70" s="1">
        <f t="shared" si="24"/>
        <v>1.1166666666666671</v>
      </c>
      <c r="CU70" s="1">
        <f t="shared" si="24"/>
        <v>87.039402173913047</v>
      </c>
      <c r="CV70" s="1">
        <f t="shared" si="24"/>
        <v>0</v>
      </c>
      <c r="CW70" s="1">
        <f t="shared" si="24"/>
        <v>115.92273550724636</v>
      </c>
      <c r="CX70" s="1">
        <f t="shared" si="31"/>
        <v>132.75869565217394</v>
      </c>
      <c r="CY70" s="1">
        <f t="shared" si="31"/>
        <v>4.6041666666666714</v>
      </c>
      <c r="CZ70" s="1">
        <f t="shared" si="31"/>
        <v>85.042028985507244</v>
      </c>
      <c r="DA70" s="1">
        <f t="shared" si="31"/>
        <v>16.887500000000003</v>
      </c>
      <c r="DB70" s="1">
        <f t="shared" si="31"/>
        <v>46.033695652173925</v>
      </c>
      <c r="DC70" s="1">
        <f t="shared" si="31"/>
        <v>37.879166666666663</v>
      </c>
      <c r="DD70" s="1">
        <f t="shared" si="29"/>
        <v>23.967028985507248</v>
      </c>
      <c r="DE70" s="1">
        <f t="shared" si="29"/>
        <v>75.812499999999972</v>
      </c>
      <c r="DF70" s="1">
        <f t="shared" si="25"/>
        <v>8.9666666666666686</v>
      </c>
      <c r="DG70" s="1">
        <f t="shared" si="25"/>
        <v>120.81213768115938</v>
      </c>
      <c r="DH70" s="1">
        <f t="shared" si="25"/>
        <v>2.2333333333333343</v>
      </c>
      <c r="DI70" s="1">
        <f t="shared" si="25"/>
        <v>174.07880434782609</v>
      </c>
      <c r="DJ70" s="1">
        <f t="shared" si="25"/>
        <v>0</v>
      </c>
      <c r="DK70" s="1">
        <f t="shared" si="25"/>
        <v>231.84547101449272</v>
      </c>
      <c r="DL70" s="24">
        <v>567299.58000000007</v>
      </c>
      <c r="DM70" s="25">
        <v>1173.17</v>
      </c>
      <c r="DN70" s="24"/>
      <c r="DO70" s="25"/>
      <c r="DP70" s="25"/>
      <c r="DQ70" s="25"/>
      <c r="DR70" s="25"/>
      <c r="DS70" s="25"/>
      <c r="DT70" s="25"/>
      <c r="DU70" s="25"/>
      <c r="DV70" s="25"/>
    </row>
    <row r="71" spans="1:126" x14ac:dyDescent="0.25">
      <c r="A71" s="252">
        <v>44105</v>
      </c>
      <c r="B71" s="253">
        <f t="shared" si="18"/>
        <v>2020</v>
      </c>
      <c r="C71" s="253">
        <f t="shared" si="19"/>
        <v>10</v>
      </c>
      <c r="D71" s="254">
        <v>34015292.279456615</v>
      </c>
      <c r="E71" s="254">
        <f>IFERROR(VLOOKUP($B71-1,CDM!$L$7:$T$18,2,FALSE)/12,0)+IFERROR(VLOOKUP($B71,CDM!$L$36:$T$46,2,FALSE)/24,0)+IFERROR(VLOOKUP($B71,CDM!$L$36:$T$46,2,FALSE)/2*$C71/78,0)</f>
        <v>2435818.490384615</v>
      </c>
      <c r="F71" s="254">
        <f t="shared" si="20"/>
        <v>36451110.769841231</v>
      </c>
      <c r="G71" s="255">
        <v>54927</v>
      </c>
      <c r="H71" s="254">
        <v>8570361.3646065779</v>
      </c>
      <c r="I71" s="254">
        <f>IFERROR(VLOOKUP($B71-1,CDM!$L$7:$T$18,3,FALSE)/12,0)+IFERROR(VLOOKUP($B71,CDM!$L$36:$T$46,3,FALSE)/24,0)+IFERROR(VLOOKUP($B71,CDM!$L$36:$T$46,3,FALSE)/2*$C71/78,0)</f>
        <v>546790.62043664232</v>
      </c>
      <c r="J71" s="254">
        <f t="shared" si="21"/>
        <v>9117151.9850432202</v>
      </c>
      <c r="K71" s="256">
        <v>4208</v>
      </c>
      <c r="L71" s="256">
        <v>21713263.563351534</v>
      </c>
      <c r="M71" s="257">
        <f>IFERROR(VLOOKUP($B71-1,CDM!$L$7:$T$18,4,FALSE)/12,0)+IFERROR(VLOOKUP($B71,CDM!$L$36:$T$46,4,FALSE)/24,0)+IFERROR(VLOOKUP($B71,CDM!$L$36:$T$46,4,FALSE)/2*$C71/78,0)</f>
        <v>648060.29877038894</v>
      </c>
      <c r="N71" s="254">
        <f t="shared" si="22"/>
        <v>22361323.862121925</v>
      </c>
      <c r="O71" s="4">
        <v>67806.589777999994</v>
      </c>
      <c r="P71" s="256">
        <v>542</v>
      </c>
      <c r="Q71" s="256">
        <v>5240957.1587472521</v>
      </c>
      <c r="R71" s="256">
        <f>IFERROR(VLOOKUP($B71-1,CDM!$L$7:$T$18,5,FALSE)/12,0)+IFERROR(VLOOKUP($B71,CDM!$L$36:$T$46,5,FALSE)/24,0)+IFERROR(VLOOKUP($B71,CDM!$L$36:$T$46,5,FALSE)/2*$C71/78,0)</f>
        <v>855574.9082342583</v>
      </c>
      <c r="S71" s="256">
        <f t="shared" si="32"/>
        <v>6096532.0669815103</v>
      </c>
      <c r="T71" s="256">
        <v>15182.696762</v>
      </c>
      <c r="U71" s="256">
        <v>15</v>
      </c>
      <c r="V71" s="256">
        <v>2549443.6415996617</v>
      </c>
      <c r="W71" s="256">
        <f>IFERROR(VLOOKUP($B71-1,CDM!$L$7:$T$18,6,FALSE)/12,0)+IFERROR(VLOOKUP($B71,CDM!$L$36:$T$46,6,FALSE)/24,0)+IFERROR(VLOOKUP($B71,CDM!$L$36:$T$46,6,FALSE)/2*$C71/78,0)</f>
        <v>23201.262553418801</v>
      </c>
      <c r="X71" s="256">
        <f t="shared" si="33"/>
        <v>2572644.9041530807</v>
      </c>
      <c r="Y71" s="256">
        <v>5932.1294339999995</v>
      </c>
      <c r="Z71" s="256">
        <v>1</v>
      </c>
      <c r="AA71" s="4">
        <v>418122.92709509423</v>
      </c>
      <c r="AB71" s="4">
        <v>1023</v>
      </c>
      <c r="AC71" s="256">
        <v>13978</v>
      </c>
      <c r="AD71" s="256">
        <v>2212.1999999999998</v>
      </c>
      <c r="AE71" s="256">
        <v>0</v>
      </c>
      <c r="AF71" s="256">
        <v>19</v>
      </c>
      <c r="AG71" s="4">
        <v>214872</v>
      </c>
      <c r="AH71" s="4">
        <v>252</v>
      </c>
      <c r="AI71" s="28">
        <f>Economic!H73</f>
        <v>769942</v>
      </c>
      <c r="AJ71" s="28">
        <f>Economic!I73</f>
        <v>596521.6</v>
      </c>
      <c r="AK71" s="28">
        <f>Economic!J73</f>
        <v>58159</v>
      </c>
      <c r="AL71" s="28">
        <f>Economic!K73</f>
        <v>795879</v>
      </c>
      <c r="AM71" s="28">
        <f>Economic!L73</f>
        <v>613516</v>
      </c>
      <c r="AN71" s="28">
        <f>Economic!M73</f>
        <v>21752</v>
      </c>
      <c r="AO71" s="28">
        <f>Economic!D73</f>
        <v>7159.1</v>
      </c>
      <c r="AP71" s="28">
        <f>Economic!E73</f>
        <v>7184.1</v>
      </c>
      <c r="AQ71" s="28">
        <f>Economic!F73</f>
        <v>213.3</v>
      </c>
      <c r="AR71" s="28">
        <f>Economic!G73</f>
        <v>212</v>
      </c>
      <c r="AS71" s="28">
        <f>Economic!N73</f>
        <v>-303.09999999999945</v>
      </c>
      <c r="AT71" s="28">
        <f>Economic!O73</f>
        <v>-317.09999999999945</v>
      </c>
      <c r="AU71" s="28">
        <f>Economic!P73</f>
        <v>5.8000000000000114</v>
      </c>
      <c r="AV71" s="28">
        <f>Economic!Q73</f>
        <v>5.9000000000000057</v>
      </c>
      <c r="AW71" s="28">
        <f>Economic!R73</f>
        <v>-37332.5</v>
      </c>
      <c r="AX71" s="28">
        <f>Economic!S73</f>
        <v>18654</v>
      </c>
      <c r="AY71" s="7">
        <f>Weather!D71</f>
        <v>8.7150537634408618</v>
      </c>
      <c r="AZ71" s="7">
        <f>Weather!E71</f>
        <v>349.83333333333326</v>
      </c>
      <c r="BA71" s="7">
        <f>Weather!F71</f>
        <v>0</v>
      </c>
      <c r="BB71" s="7">
        <f>Weather!G71</f>
        <v>287.83333333333331</v>
      </c>
      <c r="BC71" s="7">
        <f>Weather!H71</f>
        <v>0</v>
      </c>
      <c r="BD71" s="7">
        <f>Weather!I71</f>
        <v>226.0625</v>
      </c>
      <c r="BE71" s="7">
        <f>Weather!J71</f>
        <v>0.22916666666666785</v>
      </c>
      <c r="BF71" s="7">
        <f>Weather!K71</f>
        <v>167.76250000000005</v>
      </c>
      <c r="BG71" s="7">
        <f>Weather!L71</f>
        <v>3.9291666666666654</v>
      </c>
      <c r="BH71" s="7">
        <f>Weather!M71</f>
        <v>112.09583333333335</v>
      </c>
      <c r="BI71" s="7">
        <f>Weather!N71</f>
        <v>10.262500000000003</v>
      </c>
      <c r="BJ71" s="7">
        <f>Weather!O71</f>
        <v>71.3</v>
      </c>
      <c r="BK71" s="7">
        <f>Weather!P71</f>
        <v>31.466666666666676</v>
      </c>
      <c r="BL71" s="7">
        <f>Weather!Q71</f>
        <v>38.454166666666666</v>
      </c>
      <c r="BM71" s="7">
        <f>Weather!R71</f>
        <v>60.620833333333344</v>
      </c>
      <c r="BN71" s="1">
        <f t="shared" si="27"/>
        <v>0</v>
      </c>
      <c r="BO71" s="1">
        <f t="shared" si="27"/>
        <v>0</v>
      </c>
      <c r="BP71" s="1">
        <f t="shared" si="27"/>
        <v>0</v>
      </c>
      <c r="BQ71" s="1">
        <f t="shared" si="27"/>
        <v>0</v>
      </c>
      <c r="BR71" s="1">
        <f t="shared" si="27"/>
        <v>0</v>
      </c>
      <c r="BS71" s="1">
        <f t="shared" si="27"/>
        <v>0</v>
      </c>
      <c r="BT71" s="1">
        <f t="shared" si="27"/>
        <v>0</v>
      </c>
      <c r="BU71" s="1">
        <f t="shared" si="27"/>
        <v>0</v>
      </c>
      <c r="BV71" s="1">
        <f t="shared" si="27"/>
        <v>0</v>
      </c>
      <c r="BW71" s="1">
        <f t="shared" si="27"/>
        <v>1</v>
      </c>
      <c r="BX71" s="1">
        <f t="shared" si="27"/>
        <v>0</v>
      </c>
      <c r="BY71" s="1">
        <f t="shared" si="27"/>
        <v>0</v>
      </c>
      <c r="BZ71" s="1">
        <f t="shared" si="27"/>
        <v>0</v>
      </c>
      <c r="CA71" s="1">
        <f t="shared" si="27"/>
        <v>1</v>
      </c>
      <c r="CB71" s="1">
        <f t="shared" si="27"/>
        <v>1</v>
      </c>
      <c r="CC71" s="1">
        <f t="shared" si="23"/>
        <v>70</v>
      </c>
      <c r="CD71" s="1">
        <f t="shared" si="17"/>
        <v>31</v>
      </c>
      <c r="CE71" s="1">
        <v>21</v>
      </c>
      <c r="CF71" s="1">
        <v>1</v>
      </c>
      <c r="CG71" s="1">
        <v>0.5</v>
      </c>
      <c r="CH71" s="1">
        <v>1</v>
      </c>
      <c r="CI71" s="1">
        <v>0</v>
      </c>
      <c r="CJ71" s="1">
        <f t="shared" si="30"/>
        <v>174.91666666666663</v>
      </c>
      <c r="CK71" s="1">
        <f t="shared" si="30"/>
        <v>0</v>
      </c>
      <c r="CL71" s="1">
        <f t="shared" si="30"/>
        <v>143.91666666666666</v>
      </c>
      <c r="CM71" s="1">
        <f t="shared" si="30"/>
        <v>0</v>
      </c>
      <c r="CN71" s="1">
        <f t="shared" si="30"/>
        <v>113.03125</v>
      </c>
      <c r="CO71" s="1">
        <f t="shared" si="30"/>
        <v>0.11458333333333393</v>
      </c>
      <c r="CP71" s="1">
        <f t="shared" si="28"/>
        <v>83.881250000000023</v>
      </c>
      <c r="CQ71" s="1">
        <f t="shared" si="28"/>
        <v>1.9645833333333327</v>
      </c>
      <c r="CR71" s="1">
        <f t="shared" si="24"/>
        <v>56.047916666666673</v>
      </c>
      <c r="CS71" s="1">
        <f t="shared" si="24"/>
        <v>5.1312500000000014</v>
      </c>
      <c r="CT71" s="1">
        <f t="shared" si="24"/>
        <v>35.65</v>
      </c>
      <c r="CU71" s="1">
        <f t="shared" si="24"/>
        <v>15.733333333333338</v>
      </c>
      <c r="CV71" s="1">
        <f t="shared" si="24"/>
        <v>19.227083333333333</v>
      </c>
      <c r="CW71" s="1">
        <f t="shared" si="24"/>
        <v>30.310416666666672</v>
      </c>
      <c r="CX71" s="1">
        <f t="shared" si="31"/>
        <v>349.83333333333326</v>
      </c>
      <c r="CY71" s="1">
        <f t="shared" si="31"/>
        <v>0</v>
      </c>
      <c r="CZ71" s="1">
        <f t="shared" si="31"/>
        <v>287.83333333333331</v>
      </c>
      <c r="DA71" s="1">
        <f t="shared" si="31"/>
        <v>0</v>
      </c>
      <c r="DB71" s="1">
        <f t="shared" si="31"/>
        <v>226.0625</v>
      </c>
      <c r="DC71" s="1">
        <f t="shared" si="31"/>
        <v>0.22916666666666785</v>
      </c>
      <c r="DD71" s="1">
        <f t="shared" si="29"/>
        <v>167.76250000000005</v>
      </c>
      <c r="DE71" s="1">
        <f t="shared" si="29"/>
        <v>3.9291666666666654</v>
      </c>
      <c r="DF71" s="1">
        <f t="shared" si="25"/>
        <v>112.09583333333335</v>
      </c>
      <c r="DG71" s="1">
        <f t="shared" si="25"/>
        <v>10.262500000000003</v>
      </c>
      <c r="DH71" s="1">
        <f t="shared" si="25"/>
        <v>71.3</v>
      </c>
      <c r="DI71" s="1">
        <f t="shared" si="25"/>
        <v>31.466666666666676</v>
      </c>
      <c r="DJ71" s="1">
        <f t="shared" si="25"/>
        <v>38.454166666666666</v>
      </c>
      <c r="DK71" s="1">
        <f t="shared" si="25"/>
        <v>60.620833333333344</v>
      </c>
      <c r="DL71" s="24">
        <v>533352.41</v>
      </c>
      <c r="DM71" s="25">
        <v>1057.5</v>
      </c>
      <c r="DN71" s="24"/>
      <c r="DO71" s="25"/>
      <c r="DP71" s="25"/>
      <c r="DQ71" s="25"/>
      <c r="DR71" s="25"/>
      <c r="DS71" s="25"/>
      <c r="DT71" s="25"/>
      <c r="DU71" s="25"/>
      <c r="DV71" s="25"/>
    </row>
    <row r="72" spans="1:126" x14ac:dyDescent="0.25">
      <c r="A72" s="252">
        <v>44136</v>
      </c>
      <c r="B72" s="253">
        <f t="shared" si="18"/>
        <v>2020</v>
      </c>
      <c r="C72" s="253">
        <f t="shared" si="19"/>
        <v>11</v>
      </c>
      <c r="D72" s="254">
        <v>37167527.507904202</v>
      </c>
      <c r="E72" s="254">
        <f>IFERROR(VLOOKUP($B72-1,CDM!$L$7:$T$18,2,FALSE)/12,0)+IFERROR(VLOOKUP($B72,CDM!$L$36:$T$46,2,FALSE)/24,0)+IFERROR(VLOOKUP($B72,CDM!$L$36:$T$46,2,FALSE)/2*$C72/78,0)</f>
        <v>2435806.53525641</v>
      </c>
      <c r="F72" s="254">
        <f t="shared" si="20"/>
        <v>39603334.04316061</v>
      </c>
      <c r="G72" s="255">
        <v>54904</v>
      </c>
      <c r="H72" s="254">
        <v>9063097.1047539897</v>
      </c>
      <c r="I72" s="254">
        <f>IFERROR(VLOOKUP($B72-1,CDM!$L$7:$T$18,3,FALSE)/12,0)+IFERROR(VLOOKUP($B72,CDM!$L$36:$T$46,3,FALSE)/24,0)+IFERROR(VLOOKUP($B72,CDM!$L$36:$T$46,3,FALSE)/2*$C72/78,0)</f>
        <v>546223.61895910045</v>
      </c>
      <c r="J72" s="254">
        <f t="shared" si="21"/>
        <v>9609320.7237130906</v>
      </c>
      <c r="K72" s="256">
        <v>4241</v>
      </c>
      <c r="L72" s="256">
        <v>22453332.966335453</v>
      </c>
      <c r="M72" s="257">
        <f>IFERROR(VLOOKUP($B72-1,CDM!$L$7:$T$18,4,FALSE)/12,0)+IFERROR(VLOOKUP($B72,CDM!$L$36:$T$46,4,FALSE)/24,0)+IFERROR(VLOOKUP($B72,CDM!$L$36:$T$46,4,FALSE)/2*$C72/78,0)</f>
        <v>647863.60226128669</v>
      </c>
      <c r="N72" s="254">
        <f t="shared" si="22"/>
        <v>23101196.568596739</v>
      </c>
      <c r="O72" s="4">
        <v>66735.299555999998</v>
      </c>
      <c r="P72" s="256">
        <v>539</v>
      </c>
      <c r="Q72" s="256">
        <v>5419588.6216879468</v>
      </c>
      <c r="R72" s="256">
        <f>IFERROR(VLOOKUP($B72-1,CDM!$L$7:$T$18,5,FALSE)/12,0)+IFERROR(VLOOKUP($B72,CDM!$L$36:$T$46,5,FALSE)/24,0)+IFERROR(VLOOKUP($B72,CDM!$L$36:$T$46,5,FALSE)/2*$C72/78,0)</f>
        <v>855574.06419579673</v>
      </c>
      <c r="S72" s="256">
        <f t="shared" si="32"/>
        <v>6275162.6858837437</v>
      </c>
      <c r="T72" s="256">
        <v>15700.179971999998</v>
      </c>
      <c r="U72" s="256">
        <v>15</v>
      </c>
      <c r="V72" s="256">
        <v>2612945.5044569829</v>
      </c>
      <c r="W72" s="256">
        <f>IFERROR(VLOOKUP($B72-1,CDM!$L$7:$T$18,6,FALSE)/12,0)+IFERROR(VLOOKUP($B72,CDM!$L$36:$T$46,6,FALSE)/24,0)+IFERROR(VLOOKUP($B72,CDM!$L$36:$T$46,6,FALSE)/2*$C72/78,0)</f>
        <v>23199.85304487179</v>
      </c>
      <c r="X72" s="256">
        <f t="shared" si="33"/>
        <v>2636145.3575018547</v>
      </c>
      <c r="Y72" s="256">
        <v>6079.8876600000003</v>
      </c>
      <c r="Z72" s="256">
        <v>1</v>
      </c>
      <c r="AA72" s="4">
        <v>451299.46328435984</v>
      </c>
      <c r="AB72" s="4">
        <v>1023</v>
      </c>
      <c r="AC72" s="256">
        <v>13978</v>
      </c>
      <c r="AD72" s="256">
        <v>2285.94</v>
      </c>
      <c r="AE72" s="256">
        <v>0</v>
      </c>
      <c r="AF72" s="256">
        <v>19</v>
      </c>
      <c r="AG72" s="4">
        <v>214872</v>
      </c>
      <c r="AH72" s="4">
        <v>253</v>
      </c>
      <c r="AI72" s="28">
        <f>Economic!H74</f>
        <v>769942</v>
      </c>
      <c r="AJ72" s="28">
        <f>Economic!I74</f>
        <v>596521.6</v>
      </c>
      <c r="AK72" s="28">
        <f>Economic!J74</f>
        <v>58159</v>
      </c>
      <c r="AL72" s="28">
        <f>Economic!K74</f>
        <v>795879</v>
      </c>
      <c r="AM72" s="28">
        <f>Economic!L74</f>
        <v>613516</v>
      </c>
      <c r="AN72" s="28">
        <f>Economic!M74</f>
        <v>21752</v>
      </c>
      <c r="AO72" s="28">
        <f>Economic!D74</f>
        <v>7242.5</v>
      </c>
      <c r="AP72" s="28">
        <f>Economic!E74</f>
        <v>7255.2</v>
      </c>
      <c r="AQ72" s="28">
        <f>Economic!F74</f>
        <v>214.2</v>
      </c>
      <c r="AR72" s="28">
        <f>Economic!G74</f>
        <v>211.6</v>
      </c>
      <c r="AS72" s="28">
        <f>Economic!N74</f>
        <v>-227.60000000000036</v>
      </c>
      <c r="AT72" s="28">
        <f>Economic!O74</f>
        <v>-233.10000000000036</v>
      </c>
      <c r="AU72" s="28">
        <f>Economic!P74</f>
        <v>7.8999999999999773</v>
      </c>
      <c r="AV72" s="28">
        <f>Economic!Q74</f>
        <v>8</v>
      </c>
      <c r="AW72" s="28">
        <f>Economic!R74</f>
        <v>-37332.5</v>
      </c>
      <c r="AX72" s="28">
        <f>Economic!S74</f>
        <v>18654</v>
      </c>
      <c r="AY72" s="7">
        <f>Weather!D72</f>
        <v>5.7899758454106278</v>
      </c>
      <c r="AZ72" s="7">
        <f>Weather!E72</f>
        <v>426.30072463768113</v>
      </c>
      <c r="BA72" s="7">
        <f>Weather!F72</f>
        <v>0</v>
      </c>
      <c r="BB72" s="7">
        <f>Weather!G72</f>
        <v>366.30072463768118</v>
      </c>
      <c r="BC72" s="7">
        <f>Weather!H72</f>
        <v>0</v>
      </c>
      <c r="BD72" s="7">
        <f>Weather!I72</f>
        <v>306.30072463768124</v>
      </c>
      <c r="BE72" s="7">
        <f>Weather!J72</f>
        <v>0</v>
      </c>
      <c r="BF72" s="7">
        <f>Weather!K72</f>
        <v>246.30072463768118</v>
      </c>
      <c r="BG72" s="7">
        <f>Weather!L72</f>
        <v>0</v>
      </c>
      <c r="BH72" s="7">
        <f>Weather!M72</f>
        <v>188.12989130434778</v>
      </c>
      <c r="BI72" s="7">
        <f>Weather!N72</f>
        <v>1.8291666666666622</v>
      </c>
      <c r="BJ72" s="7">
        <f>Weather!O72</f>
        <v>136.26322463768113</v>
      </c>
      <c r="BK72" s="7">
        <f>Weather!P72</f>
        <v>9.9624999999999932</v>
      </c>
      <c r="BL72" s="7">
        <f>Weather!Q72</f>
        <v>92.875724637681159</v>
      </c>
      <c r="BM72" s="7">
        <f>Weather!R72</f>
        <v>26.574999999999996</v>
      </c>
      <c r="BN72" s="1">
        <f t="shared" si="27"/>
        <v>0</v>
      </c>
      <c r="BO72" s="1">
        <f t="shared" si="27"/>
        <v>0</v>
      </c>
      <c r="BP72" s="1">
        <f t="shared" si="27"/>
        <v>0</v>
      </c>
      <c r="BQ72" s="1">
        <f t="shared" si="27"/>
        <v>0</v>
      </c>
      <c r="BR72" s="1">
        <f t="shared" si="27"/>
        <v>0</v>
      </c>
      <c r="BS72" s="1">
        <f t="shared" si="27"/>
        <v>0</v>
      </c>
      <c r="BT72" s="1">
        <f t="shared" si="27"/>
        <v>0</v>
      </c>
      <c r="BU72" s="1">
        <f t="shared" si="27"/>
        <v>0</v>
      </c>
      <c r="BV72" s="1">
        <f t="shared" si="27"/>
        <v>0</v>
      </c>
      <c r="BW72" s="1">
        <f t="shared" si="27"/>
        <v>0</v>
      </c>
      <c r="BX72" s="1">
        <f t="shared" si="27"/>
        <v>1</v>
      </c>
      <c r="BY72" s="1">
        <f t="shared" si="27"/>
        <v>0</v>
      </c>
      <c r="BZ72" s="1">
        <f t="shared" si="27"/>
        <v>0</v>
      </c>
      <c r="CA72" s="1">
        <f t="shared" si="27"/>
        <v>1</v>
      </c>
      <c r="CB72" s="1">
        <f t="shared" si="27"/>
        <v>1</v>
      </c>
      <c r="CC72" s="1">
        <f t="shared" si="23"/>
        <v>71</v>
      </c>
      <c r="CD72" s="1">
        <f t="shared" si="17"/>
        <v>30</v>
      </c>
      <c r="CE72" s="1">
        <v>21</v>
      </c>
      <c r="CF72" s="1">
        <v>1</v>
      </c>
      <c r="CG72" s="1">
        <v>0.5</v>
      </c>
      <c r="CH72" s="1">
        <v>1</v>
      </c>
      <c r="CI72" s="1">
        <v>0</v>
      </c>
      <c r="CJ72" s="1">
        <f t="shared" si="30"/>
        <v>213.15036231884056</v>
      </c>
      <c r="CK72" s="1">
        <f t="shared" si="30"/>
        <v>0</v>
      </c>
      <c r="CL72" s="1">
        <f t="shared" si="30"/>
        <v>183.15036231884059</v>
      </c>
      <c r="CM72" s="1">
        <f t="shared" si="30"/>
        <v>0</v>
      </c>
      <c r="CN72" s="1">
        <f t="shared" si="30"/>
        <v>153.15036231884062</v>
      </c>
      <c r="CO72" s="1">
        <f t="shared" si="30"/>
        <v>0</v>
      </c>
      <c r="CP72" s="1">
        <f t="shared" si="28"/>
        <v>123.15036231884059</v>
      </c>
      <c r="CQ72" s="1">
        <f t="shared" si="28"/>
        <v>0</v>
      </c>
      <c r="CR72" s="1">
        <f t="shared" si="24"/>
        <v>94.06494565217389</v>
      </c>
      <c r="CS72" s="1">
        <f t="shared" si="24"/>
        <v>0.91458333333333108</v>
      </c>
      <c r="CT72" s="1">
        <f t="shared" si="24"/>
        <v>68.131612318840567</v>
      </c>
      <c r="CU72" s="1">
        <f t="shared" si="24"/>
        <v>4.9812499999999966</v>
      </c>
      <c r="CV72" s="1">
        <f t="shared" si="24"/>
        <v>46.43786231884058</v>
      </c>
      <c r="CW72" s="1">
        <f t="shared" si="24"/>
        <v>13.287499999999998</v>
      </c>
      <c r="CX72" s="1">
        <f t="shared" si="31"/>
        <v>426.30072463768113</v>
      </c>
      <c r="CY72" s="1">
        <f t="shared" si="31"/>
        <v>0</v>
      </c>
      <c r="CZ72" s="1">
        <f t="shared" si="31"/>
        <v>366.30072463768118</v>
      </c>
      <c r="DA72" s="1">
        <f t="shared" si="31"/>
        <v>0</v>
      </c>
      <c r="DB72" s="1">
        <f t="shared" si="31"/>
        <v>306.30072463768124</v>
      </c>
      <c r="DC72" s="1">
        <f t="shared" si="31"/>
        <v>0</v>
      </c>
      <c r="DD72" s="1">
        <f t="shared" si="29"/>
        <v>246.30072463768118</v>
      </c>
      <c r="DE72" s="1">
        <f t="shared" si="29"/>
        <v>0</v>
      </c>
      <c r="DF72" s="1">
        <f t="shared" si="25"/>
        <v>188.12989130434778</v>
      </c>
      <c r="DG72" s="1">
        <f t="shared" si="25"/>
        <v>1.8291666666666622</v>
      </c>
      <c r="DH72" s="1">
        <f t="shared" si="25"/>
        <v>136.26322463768113</v>
      </c>
      <c r="DI72" s="1">
        <f t="shared" si="25"/>
        <v>9.9624999999999932</v>
      </c>
      <c r="DJ72" s="1">
        <f t="shared" si="25"/>
        <v>92.875724637681159</v>
      </c>
      <c r="DK72" s="1">
        <f t="shared" si="25"/>
        <v>26.574999999999996</v>
      </c>
      <c r="DL72" s="24">
        <v>512293.07</v>
      </c>
      <c r="DM72" s="25">
        <v>977.69</v>
      </c>
      <c r="DN72" s="24"/>
      <c r="DO72" s="25"/>
      <c r="DP72" s="25"/>
      <c r="DQ72" s="25"/>
      <c r="DR72" s="25"/>
      <c r="DS72" s="25"/>
      <c r="DT72" s="25"/>
      <c r="DU72" s="25"/>
      <c r="DV72" s="25"/>
    </row>
    <row r="73" spans="1:126" x14ac:dyDescent="0.25">
      <c r="A73" s="252">
        <v>44166</v>
      </c>
      <c r="B73" s="253">
        <f t="shared" si="18"/>
        <v>2020</v>
      </c>
      <c r="C73" s="253">
        <f t="shared" si="19"/>
        <v>12</v>
      </c>
      <c r="D73" s="254">
        <v>43659564.519347161</v>
      </c>
      <c r="E73" s="254">
        <f>IFERROR(VLOOKUP($B73-1,CDM!$L$7:$T$18,2,FALSE)/12,0)+IFERROR(VLOOKUP($B73,CDM!$L$36:$T$46,2,FALSE)/24,0)+IFERROR(VLOOKUP($B73,CDM!$L$36:$T$46,2,FALSE)/2*$C73/78,0)</f>
        <v>2435794.580128205</v>
      </c>
      <c r="F73" s="254">
        <f t="shared" si="20"/>
        <v>46095359.099475369</v>
      </c>
      <c r="G73" s="255">
        <v>54850</v>
      </c>
      <c r="H73" s="254">
        <v>10344114.057866329</v>
      </c>
      <c r="I73" s="254">
        <f>IFERROR(VLOOKUP($B73-1,CDM!$L$7:$T$18,3,FALSE)/12,0)+IFERROR(VLOOKUP($B73,CDM!$L$36:$T$46,3,FALSE)/24,0)+IFERROR(VLOOKUP($B73,CDM!$L$36:$T$46,3,FALSE)/2*$C73/78,0)</f>
        <v>545656.61748155858</v>
      </c>
      <c r="J73" s="254">
        <f t="shared" si="21"/>
        <v>10889770.675347887</v>
      </c>
      <c r="K73" s="256">
        <v>4248</v>
      </c>
      <c r="L73" s="4">
        <v>31094410.374063455</v>
      </c>
      <c r="M73" s="257">
        <f>IFERROR(VLOOKUP($B73-1,CDM!$L$7:$T$18,4,FALSE)/12,0)+IFERROR(VLOOKUP($B73,CDM!$L$36:$T$46,4,FALSE)/24,0)+IFERROR(VLOOKUP($B73,CDM!$L$36:$T$46,4,FALSE)/2*$C73/78,0)</f>
        <v>647666.90575218434</v>
      </c>
      <c r="N73" s="254">
        <f t="shared" si="22"/>
        <v>31742077.27981564</v>
      </c>
      <c r="O73" s="4">
        <v>76317</v>
      </c>
      <c r="P73" s="256">
        <v>538</v>
      </c>
      <c r="Q73" s="256">
        <v>5739317.214428829</v>
      </c>
      <c r="R73" s="256">
        <f>IFERROR(VLOOKUP($B73-1,CDM!$L$7:$T$18,5,FALSE)/12,0)+IFERROR(VLOOKUP($B73,CDM!$L$36:$T$46,5,FALSE)/24,0)+IFERROR(VLOOKUP($B73,CDM!$L$36:$T$46,5,FALSE)/2*$C73/78,0)</f>
        <v>855573.22015733516</v>
      </c>
      <c r="S73" s="256">
        <f t="shared" si="32"/>
        <v>6594890.4345861645</v>
      </c>
      <c r="T73" s="256">
        <v>13337.41</v>
      </c>
      <c r="U73" s="256">
        <v>15</v>
      </c>
      <c r="V73" s="256">
        <v>2701865.657163329</v>
      </c>
      <c r="W73" s="256">
        <f>IFERROR(VLOOKUP($B73-1,CDM!$L$7:$T$18,6,FALSE)/12,0)+IFERROR(VLOOKUP($B73,CDM!$L$36:$T$46,6,FALSE)/24,0)+IFERROR(VLOOKUP($B73,CDM!$L$36:$T$46,6,FALSE)/2*$C73/78,0)</f>
        <v>23198.443536324783</v>
      </c>
      <c r="X73" s="256">
        <f t="shared" si="33"/>
        <v>2725064.1006996538</v>
      </c>
      <c r="Y73" s="256">
        <v>6286.79</v>
      </c>
      <c r="Z73" s="256">
        <v>1</v>
      </c>
      <c r="AA73" s="4">
        <v>372072.82511036575</v>
      </c>
      <c r="AB73" s="4">
        <v>1024.0739626556017</v>
      </c>
      <c r="AC73" s="256">
        <v>13995</v>
      </c>
      <c r="AD73" s="256">
        <v>2285.94</v>
      </c>
      <c r="AE73" s="256">
        <v>85</v>
      </c>
      <c r="AF73" s="256">
        <v>19</v>
      </c>
      <c r="AG73" s="4">
        <v>214934</v>
      </c>
      <c r="AH73" s="4">
        <v>253</v>
      </c>
      <c r="AI73" s="28">
        <f>Economic!H75</f>
        <v>769942</v>
      </c>
      <c r="AJ73" s="28">
        <f>Economic!I75</f>
        <v>596521.6</v>
      </c>
      <c r="AK73" s="28">
        <f>Economic!J75</f>
        <v>58159</v>
      </c>
      <c r="AL73" s="28">
        <f>Economic!K75</f>
        <v>795879</v>
      </c>
      <c r="AM73" s="28">
        <f>Economic!L75</f>
        <v>613516</v>
      </c>
      <c r="AN73" s="28">
        <f>Economic!M75</f>
        <v>21752</v>
      </c>
      <c r="AO73" s="28">
        <f>Economic!D75</f>
        <v>7258.1</v>
      </c>
      <c r="AP73" s="28">
        <f>Economic!E75</f>
        <v>7273.3</v>
      </c>
      <c r="AQ73" s="28">
        <f>Economic!F75</f>
        <v>213.6</v>
      </c>
      <c r="AR73" s="28">
        <f>Economic!G75</f>
        <v>211.4</v>
      </c>
      <c r="AS73" s="28">
        <f>Economic!N75</f>
        <v>-224.5</v>
      </c>
      <c r="AT73" s="28">
        <f>Economic!O75</f>
        <v>-220.5</v>
      </c>
      <c r="AU73" s="28">
        <f>Economic!P75</f>
        <v>6</v>
      </c>
      <c r="AV73" s="28">
        <f>Economic!Q75</f>
        <v>6.5</v>
      </c>
      <c r="AW73" s="28">
        <f>Economic!R75</f>
        <v>-37332.5</v>
      </c>
      <c r="AX73" s="28">
        <f>Economic!S75</f>
        <v>18654</v>
      </c>
      <c r="AY73" s="7">
        <f>Weather!D73</f>
        <v>-0.80336021505376376</v>
      </c>
      <c r="AZ73" s="7">
        <f>Weather!E73</f>
        <v>644.90416666666681</v>
      </c>
      <c r="BA73" s="7">
        <f>Weather!F73</f>
        <v>0</v>
      </c>
      <c r="BB73" s="7">
        <f>Weather!G73</f>
        <v>582.90416666666681</v>
      </c>
      <c r="BC73" s="7">
        <f>Weather!H73</f>
        <v>0</v>
      </c>
      <c r="BD73" s="7">
        <f>Weather!I73</f>
        <v>520.90416666666681</v>
      </c>
      <c r="BE73" s="7">
        <f>Weather!J73</f>
        <v>0</v>
      </c>
      <c r="BF73" s="7">
        <f>Weather!K73</f>
        <v>458.90416666666681</v>
      </c>
      <c r="BG73" s="7">
        <f>Weather!L73</f>
        <v>0</v>
      </c>
      <c r="BH73" s="7">
        <f>Weather!M73</f>
        <v>396.9041666666667</v>
      </c>
      <c r="BI73" s="7">
        <f>Weather!N73</f>
        <v>0</v>
      </c>
      <c r="BJ73" s="7">
        <f>Weather!O73</f>
        <v>334.90416666666664</v>
      </c>
      <c r="BK73" s="7">
        <f>Weather!P73</f>
        <v>0</v>
      </c>
      <c r="BL73" s="7">
        <f>Weather!Q73</f>
        <v>272.9041666666667</v>
      </c>
      <c r="BM73" s="7">
        <f>Weather!R73</f>
        <v>0</v>
      </c>
      <c r="BN73" s="1">
        <f t="shared" si="27"/>
        <v>0</v>
      </c>
      <c r="BO73" s="1">
        <f t="shared" si="27"/>
        <v>0</v>
      </c>
      <c r="BP73" s="1">
        <f t="shared" si="27"/>
        <v>0</v>
      </c>
      <c r="BQ73" s="1">
        <f t="shared" si="27"/>
        <v>0</v>
      </c>
      <c r="BR73" s="1">
        <f t="shared" si="27"/>
        <v>0</v>
      </c>
      <c r="BS73" s="1">
        <f t="shared" si="27"/>
        <v>0</v>
      </c>
      <c r="BT73" s="1">
        <f t="shared" si="27"/>
        <v>0</v>
      </c>
      <c r="BU73" s="1">
        <f t="shared" si="27"/>
        <v>0</v>
      </c>
      <c r="BV73" s="1">
        <f t="shared" si="27"/>
        <v>0</v>
      </c>
      <c r="BW73" s="1">
        <f t="shared" si="27"/>
        <v>0</v>
      </c>
      <c r="BX73" s="1">
        <f t="shared" si="27"/>
        <v>0</v>
      </c>
      <c r="BY73" s="1">
        <f t="shared" si="27"/>
        <v>1</v>
      </c>
      <c r="BZ73" s="1">
        <f t="shared" si="27"/>
        <v>0</v>
      </c>
      <c r="CA73" s="1">
        <f t="shared" si="27"/>
        <v>0</v>
      </c>
      <c r="CB73" s="1">
        <f t="shared" si="27"/>
        <v>0</v>
      </c>
      <c r="CC73" s="1">
        <f t="shared" si="23"/>
        <v>72</v>
      </c>
      <c r="CD73" s="1">
        <f t="shared" si="17"/>
        <v>31</v>
      </c>
      <c r="CE73" s="1">
        <v>21</v>
      </c>
      <c r="CF73" s="1">
        <v>1</v>
      </c>
      <c r="CG73" s="1">
        <v>0.5</v>
      </c>
      <c r="CH73" s="1">
        <v>1</v>
      </c>
      <c r="CI73" s="1">
        <v>0</v>
      </c>
      <c r="CJ73" s="1">
        <f t="shared" si="30"/>
        <v>322.45208333333341</v>
      </c>
      <c r="CK73" s="1">
        <f t="shared" si="30"/>
        <v>0</v>
      </c>
      <c r="CL73" s="1">
        <f t="shared" si="30"/>
        <v>291.45208333333341</v>
      </c>
      <c r="CM73" s="1">
        <f t="shared" si="30"/>
        <v>0</v>
      </c>
      <c r="CN73" s="1">
        <f t="shared" si="30"/>
        <v>260.45208333333341</v>
      </c>
      <c r="CO73" s="1">
        <f t="shared" si="30"/>
        <v>0</v>
      </c>
      <c r="CP73" s="1">
        <f t="shared" si="28"/>
        <v>229.45208333333341</v>
      </c>
      <c r="CQ73" s="1">
        <f t="shared" si="28"/>
        <v>0</v>
      </c>
      <c r="CR73" s="1">
        <f t="shared" si="24"/>
        <v>198.45208333333335</v>
      </c>
      <c r="CS73" s="1">
        <f t="shared" si="24"/>
        <v>0</v>
      </c>
      <c r="CT73" s="1">
        <f t="shared" si="24"/>
        <v>167.45208333333332</v>
      </c>
      <c r="CU73" s="1">
        <f t="shared" si="24"/>
        <v>0</v>
      </c>
      <c r="CV73" s="1">
        <f t="shared" si="24"/>
        <v>136.45208333333335</v>
      </c>
      <c r="CW73" s="1">
        <f t="shared" si="24"/>
        <v>0</v>
      </c>
      <c r="CX73" s="1">
        <f t="shared" si="31"/>
        <v>644.90416666666681</v>
      </c>
      <c r="CY73" s="1">
        <f t="shared" si="31"/>
        <v>0</v>
      </c>
      <c r="CZ73" s="1">
        <f t="shared" si="31"/>
        <v>582.90416666666681</v>
      </c>
      <c r="DA73" s="1">
        <f t="shared" si="31"/>
        <v>0</v>
      </c>
      <c r="DB73" s="1">
        <f t="shared" si="31"/>
        <v>520.90416666666681</v>
      </c>
      <c r="DC73" s="1">
        <f t="shared" si="31"/>
        <v>0</v>
      </c>
      <c r="DD73" s="1">
        <f t="shared" si="29"/>
        <v>458.90416666666681</v>
      </c>
      <c r="DE73" s="1">
        <f t="shared" si="29"/>
        <v>0</v>
      </c>
      <c r="DF73" s="1">
        <f t="shared" si="25"/>
        <v>396.9041666666667</v>
      </c>
      <c r="DG73" s="1">
        <f t="shared" si="25"/>
        <v>0</v>
      </c>
      <c r="DH73" s="1">
        <f t="shared" si="25"/>
        <v>334.90416666666664</v>
      </c>
      <c r="DI73" s="1">
        <f t="shared" si="25"/>
        <v>0</v>
      </c>
      <c r="DJ73" s="1">
        <f t="shared" si="25"/>
        <v>272.9041666666667</v>
      </c>
      <c r="DK73" s="1">
        <f t="shared" si="25"/>
        <v>0</v>
      </c>
      <c r="DL73" s="24">
        <v>515286.1</v>
      </c>
      <c r="DM73" s="25">
        <v>816.06</v>
      </c>
      <c r="DN73" s="24"/>
      <c r="DO73" s="25"/>
      <c r="DP73" s="25"/>
      <c r="DQ73" s="25"/>
      <c r="DR73" s="25"/>
      <c r="DS73" s="25"/>
      <c r="DT73" s="25"/>
      <c r="DU73" s="25"/>
      <c r="DV73" s="25"/>
    </row>
    <row r="74" spans="1:126" x14ac:dyDescent="0.25">
      <c r="A74" s="252">
        <v>44197</v>
      </c>
      <c r="B74" s="253">
        <f t="shared" si="18"/>
        <v>2021</v>
      </c>
      <c r="C74" s="253">
        <f t="shared" si="19"/>
        <v>1</v>
      </c>
      <c r="D74" s="254">
        <v>49145423.65801616</v>
      </c>
      <c r="E74" s="254">
        <f ca="1">IFERROR(VLOOKUP($B74-1,CDM!$L$7:$T$18,2,FALSE)/12,0)+IFERROR(VLOOKUP($B74,CDM!$L$36:$T$46,2,FALSE)/24,0)+IFERROR(VLOOKUP($B74,CDM!$L$36:$T$46,2,FALSE)/2*$C74/78,0)</f>
        <v>2440438.4585220334</v>
      </c>
      <c r="F74" s="254">
        <f ca="1">D74+E74</f>
        <v>51585862.116538197</v>
      </c>
      <c r="G74" s="255">
        <v>54632</v>
      </c>
      <c r="H74" s="254">
        <v>10200950.573480561</v>
      </c>
      <c r="I74" s="254">
        <f ca="1">IFERROR(VLOOKUP($B74-1,CDM!$L$7:$T$18,3,FALSE)/12,0)+IFERROR(VLOOKUP($B74,CDM!$L$36:$T$46,3,FALSE)/24,0)+IFERROR(VLOOKUP($B74,CDM!$L$36:$T$46,3,FALSE)/2*$C74/78,0)</f>
        <v>562396.10893505707</v>
      </c>
      <c r="J74" s="254">
        <f ca="1">H74+I74</f>
        <v>10763346.682415618</v>
      </c>
      <c r="K74" s="256">
        <v>4251</v>
      </c>
      <c r="L74" s="4">
        <v>29109174.013384208</v>
      </c>
      <c r="M74" s="257">
        <f ca="1">IFERROR(VLOOKUP($B74-1,CDM!$L$7:$T$18,4,FALSE)/12,0)+IFERROR(VLOOKUP($B74,CDM!$L$36:$T$46,4,FALSE)/24,0)+IFERROR(VLOOKUP($B74,CDM!$L$36:$T$46,4,FALSE)/2*$C74/78,0)</f>
        <v>689670.23005942465</v>
      </c>
      <c r="N74" s="254">
        <f ca="1">L74+M74</f>
        <v>29798844.243443634</v>
      </c>
      <c r="O74" s="4">
        <v>66156.36</v>
      </c>
      <c r="P74" s="256">
        <v>534</v>
      </c>
      <c r="Q74" s="256">
        <v>5601737.3531048754</v>
      </c>
      <c r="R74" s="256">
        <f ca="1">IFERROR(VLOOKUP($B74-1,CDM!$L$7:$T$18,5,FALSE)/12,0)+IFERROR(VLOOKUP($B74,CDM!$L$36:$T$46,5,FALSE)/24,0)+IFERROR(VLOOKUP($B74,CDM!$L$36:$T$46,5,FALSE)/2*$C74/78,0)</f>
        <v>861805.52101208922</v>
      </c>
      <c r="S74" s="256">
        <f ca="1">Q74+R74</f>
        <v>6463542.8741169646</v>
      </c>
      <c r="T74" s="256">
        <v>12482.34</v>
      </c>
      <c r="U74" s="256">
        <v>17</v>
      </c>
      <c r="V74" s="256">
        <v>2837674</v>
      </c>
      <c r="W74" s="256">
        <f ca="1">IFERROR(VLOOKUP($B74-1,CDM!$L$7:$T$18,6,FALSE)/12,0)+IFERROR(VLOOKUP($B74,CDM!$L$36:$T$46,6,FALSE)/24,0)+IFERROR(VLOOKUP($B74,CDM!$L$36:$T$46,6,FALSE)/2*$C74/78,0)</f>
        <v>25377.029691040272</v>
      </c>
      <c r="X74" s="256">
        <f ca="1">V74+W74</f>
        <v>2863051.0296910401</v>
      </c>
      <c r="Y74" s="256">
        <v>5352.13</v>
      </c>
      <c r="Z74" s="256">
        <v>1</v>
      </c>
      <c r="AA74" s="4">
        <v>353367.51756721607</v>
      </c>
      <c r="AB74" s="4">
        <v>1024.2441694090712</v>
      </c>
      <c r="AC74" s="256">
        <v>13995</v>
      </c>
      <c r="AD74" s="256">
        <v>2064.7199999999998</v>
      </c>
      <c r="AE74" s="256">
        <v>0</v>
      </c>
      <c r="AF74" s="256">
        <v>19</v>
      </c>
      <c r="AG74" s="4">
        <v>216848</v>
      </c>
      <c r="AH74" s="4">
        <v>251</v>
      </c>
      <c r="AI74" s="28">
        <f>Economic!H76</f>
        <v>817265.5</v>
      </c>
      <c r="AJ74" s="28">
        <f>Economic!I76</f>
        <v>634181.69999999995</v>
      </c>
      <c r="AK74" s="28">
        <f>Economic!J76</f>
        <v>64910</v>
      </c>
      <c r="AL74" s="28">
        <f>Economic!K76</f>
        <v>808584</v>
      </c>
      <c r="AM74" s="28">
        <f>Economic!L76</f>
        <v>622695</v>
      </c>
      <c r="AN74" s="28">
        <f>Economic!M76</f>
        <v>23185</v>
      </c>
      <c r="AO74" s="28">
        <f>Economic!D76</f>
        <v>7204.7</v>
      </c>
      <c r="AP74" s="28">
        <f>Economic!E76</f>
        <v>7180.4</v>
      </c>
      <c r="AQ74" s="28">
        <f>Economic!F76</f>
        <v>207.3</v>
      </c>
      <c r="AR74" s="28">
        <f>Economic!G76</f>
        <v>205.5</v>
      </c>
      <c r="AS74" s="28">
        <f>Economic!N76</f>
        <v>-300.19999999999982</v>
      </c>
      <c r="AT74" s="28">
        <f>Economic!O76</f>
        <v>-291.20000000000073</v>
      </c>
      <c r="AU74" s="28">
        <f>Economic!P76</f>
        <v>-0.79999999999998295</v>
      </c>
      <c r="AV74" s="28">
        <f>Economic!Q76</f>
        <v>0</v>
      </c>
      <c r="AW74" s="28">
        <f>Economic!R76</f>
        <v>47323.5</v>
      </c>
      <c r="AX74" s="28">
        <f>Economic!S76</f>
        <v>12705</v>
      </c>
      <c r="AY74" s="7">
        <f>Weather!D74</f>
        <v>-3.0807795698924729</v>
      </c>
      <c r="AZ74" s="7">
        <f>Weather!E74</f>
        <v>715.50416666666661</v>
      </c>
      <c r="BA74" s="7">
        <f>Weather!F74</f>
        <v>0</v>
      </c>
      <c r="BB74" s="7">
        <f>Weather!G74</f>
        <v>653.50416666666661</v>
      </c>
      <c r="BC74" s="7">
        <f>Weather!H74</f>
        <v>0</v>
      </c>
      <c r="BD74" s="7">
        <f>Weather!I74</f>
        <v>591.50416666666661</v>
      </c>
      <c r="BE74" s="7">
        <f>Weather!J74</f>
        <v>0</v>
      </c>
      <c r="BF74" s="7">
        <f>Weather!K74</f>
        <v>529.50416666666661</v>
      </c>
      <c r="BG74" s="7">
        <f>Weather!L74</f>
        <v>0</v>
      </c>
      <c r="BH74" s="7">
        <f>Weather!M74</f>
        <v>467.50416666666661</v>
      </c>
      <c r="BI74" s="7">
        <f>Weather!N74</f>
        <v>0</v>
      </c>
      <c r="BJ74" s="7">
        <f>Weather!O74</f>
        <v>405.50416666666661</v>
      </c>
      <c r="BK74" s="7">
        <f>Weather!P74</f>
        <v>0</v>
      </c>
      <c r="BL74" s="7">
        <f>Weather!Q74</f>
        <v>343.50416666666661</v>
      </c>
      <c r="BM74" s="7">
        <f>Weather!R74</f>
        <v>0</v>
      </c>
      <c r="BN74" s="1">
        <f t="shared" si="27"/>
        <v>1</v>
      </c>
      <c r="BO74" s="1">
        <f t="shared" si="27"/>
        <v>0</v>
      </c>
      <c r="BP74" s="1">
        <f t="shared" si="27"/>
        <v>0</v>
      </c>
      <c r="BQ74" s="1">
        <f t="shared" si="27"/>
        <v>0</v>
      </c>
      <c r="BR74" s="1">
        <f t="shared" si="27"/>
        <v>0</v>
      </c>
      <c r="BS74" s="1">
        <f t="shared" si="27"/>
        <v>0</v>
      </c>
      <c r="BT74" s="1">
        <f t="shared" si="27"/>
        <v>0</v>
      </c>
      <c r="BU74" s="1">
        <f t="shared" si="27"/>
        <v>0</v>
      </c>
      <c r="BV74" s="1">
        <f t="shared" si="27"/>
        <v>0</v>
      </c>
      <c r="BW74" s="1">
        <f t="shared" si="27"/>
        <v>0</v>
      </c>
      <c r="BX74" s="1">
        <f t="shared" si="27"/>
        <v>0</v>
      </c>
      <c r="BY74" s="1">
        <f t="shared" si="27"/>
        <v>0</v>
      </c>
      <c r="BZ74" s="1">
        <f t="shared" si="27"/>
        <v>0</v>
      </c>
      <c r="CA74" s="1">
        <f t="shared" si="27"/>
        <v>0</v>
      </c>
      <c r="CB74" s="1">
        <f t="shared" si="27"/>
        <v>0</v>
      </c>
      <c r="CC74" s="1">
        <f t="shared" si="23"/>
        <v>73</v>
      </c>
      <c r="CD74" s="1">
        <f t="shared" si="17"/>
        <v>31</v>
      </c>
      <c r="CE74" s="1">
        <v>20</v>
      </c>
      <c r="CF74" s="1">
        <v>1</v>
      </c>
      <c r="CG74" s="1">
        <v>0.5</v>
      </c>
      <c r="CH74" s="1">
        <v>0.75</v>
      </c>
      <c r="CI74" s="1">
        <v>0</v>
      </c>
      <c r="CJ74" s="1">
        <f t="shared" si="30"/>
        <v>357.7520833333333</v>
      </c>
      <c r="CK74" s="1">
        <f t="shared" si="30"/>
        <v>0</v>
      </c>
      <c r="CL74" s="1">
        <f t="shared" si="30"/>
        <v>326.7520833333333</v>
      </c>
      <c r="CM74" s="1">
        <f t="shared" si="30"/>
        <v>0</v>
      </c>
      <c r="CN74" s="1">
        <f t="shared" si="30"/>
        <v>295.7520833333333</v>
      </c>
      <c r="CO74" s="1">
        <f t="shared" si="30"/>
        <v>0</v>
      </c>
      <c r="CP74" s="1">
        <f t="shared" si="28"/>
        <v>264.7520833333333</v>
      </c>
      <c r="CQ74" s="1">
        <f t="shared" si="28"/>
        <v>0</v>
      </c>
      <c r="CR74" s="1">
        <f t="shared" si="24"/>
        <v>233.7520833333333</v>
      </c>
      <c r="CS74" s="1">
        <f t="shared" si="24"/>
        <v>0</v>
      </c>
      <c r="CT74" s="1">
        <f t="shared" si="24"/>
        <v>202.7520833333333</v>
      </c>
      <c r="CU74" s="1">
        <f t="shared" si="24"/>
        <v>0</v>
      </c>
      <c r="CV74" s="1">
        <f t="shared" si="24"/>
        <v>171.7520833333333</v>
      </c>
      <c r="CW74" s="1">
        <f t="shared" si="24"/>
        <v>0</v>
      </c>
      <c r="CX74" s="1">
        <f t="shared" si="31"/>
        <v>536.62812499999995</v>
      </c>
      <c r="CY74" s="1">
        <f t="shared" si="31"/>
        <v>0</v>
      </c>
      <c r="CZ74" s="1">
        <f t="shared" si="31"/>
        <v>490.12812499999995</v>
      </c>
      <c r="DA74" s="1">
        <f t="shared" si="31"/>
        <v>0</v>
      </c>
      <c r="DB74" s="1">
        <f t="shared" si="31"/>
        <v>443.62812499999995</v>
      </c>
      <c r="DC74" s="1">
        <f t="shared" si="31"/>
        <v>0</v>
      </c>
      <c r="DD74" s="1">
        <f t="shared" si="29"/>
        <v>397.12812499999995</v>
      </c>
      <c r="DE74" s="1">
        <f t="shared" si="29"/>
        <v>0</v>
      </c>
      <c r="DF74" s="1">
        <f t="shared" si="25"/>
        <v>350.62812499999995</v>
      </c>
      <c r="DG74" s="1">
        <f t="shared" si="25"/>
        <v>0</v>
      </c>
      <c r="DH74" s="1">
        <f t="shared" si="25"/>
        <v>304.12812499999995</v>
      </c>
      <c r="DI74" s="1">
        <f t="shared" si="25"/>
        <v>0</v>
      </c>
      <c r="DJ74" s="1">
        <f t="shared" si="25"/>
        <v>257.62812499999995</v>
      </c>
      <c r="DK74" s="1">
        <f t="shared" si="25"/>
        <v>0</v>
      </c>
      <c r="DL74" s="24">
        <v>503283.03</v>
      </c>
      <c r="DM74" s="25">
        <v>797</v>
      </c>
      <c r="DN74" s="24"/>
      <c r="DO74" s="25"/>
      <c r="DP74" s="25"/>
      <c r="DQ74" s="25"/>
      <c r="DR74" s="25"/>
      <c r="DS74" s="25"/>
      <c r="DT74" s="25"/>
      <c r="DU74" s="25"/>
      <c r="DV74" s="25"/>
    </row>
    <row r="75" spans="1:126" x14ac:dyDescent="0.25">
      <c r="A75" s="252">
        <v>44228</v>
      </c>
      <c r="B75" s="253">
        <f t="shared" si="18"/>
        <v>2021</v>
      </c>
      <c r="C75" s="253">
        <f t="shared" si="19"/>
        <v>2</v>
      </c>
      <c r="D75" s="254">
        <v>47923330.879952654</v>
      </c>
      <c r="E75" s="254">
        <f ca="1">IFERROR(VLOOKUP($B75-1,CDM!$L$7:$T$18,2,FALSE)/12,0)+IFERROR(VLOOKUP($B75,CDM!$L$36:$T$46,2,FALSE)/24,0)+IFERROR(VLOOKUP($B75,CDM!$L$36:$T$46,2,FALSE)/2*$C75/78,0)</f>
        <v>2441048.8752138601</v>
      </c>
      <c r="F75" s="254">
        <f ca="1">D75+E75</f>
        <v>50364379.755166516</v>
      </c>
      <c r="G75" s="255">
        <v>54720</v>
      </c>
      <c r="H75" s="256">
        <v>9567954.3547166176</v>
      </c>
      <c r="I75" s="254">
        <f ca="1">IFERROR(VLOOKUP($B75-1,CDM!$L$7:$T$18,3,FALSE)/12,0)+IFERROR(VLOOKUP($B75,CDM!$L$36:$T$46,3,FALSE)/24,0)+IFERROR(VLOOKUP($B75,CDM!$L$36:$T$46,3,FALSE)/2*$C75/78,0)</f>
        <v>564212.24004532606</v>
      </c>
      <c r="J75" s="254">
        <f ca="1">H75+I75</f>
        <v>10132166.594761943</v>
      </c>
      <c r="K75" s="256">
        <v>4260</v>
      </c>
      <c r="L75" s="4">
        <v>25010966.92218937</v>
      </c>
      <c r="M75" s="257">
        <f ca="1">IFERROR(VLOOKUP($B75-1,CDM!$L$7:$T$18,4,FALSE)/12,0)+IFERROR(VLOOKUP($B75,CDM!$L$36:$T$46,4,FALSE)/24,0)+IFERROR(VLOOKUP($B75,CDM!$L$36:$T$46,4,FALSE)/2*$C75/78,0)</f>
        <v>695126.42919371498</v>
      </c>
      <c r="N75" s="254">
        <f ca="1">L75+M75</f>
        <v>25706093.351383086</v>
      </c>
      <c r="O75" s="4">
        <v>66828.53</v>
      </c>
      <c r="P75" s="256">
        <v>537</v>
      </c>
      <c r="Q75" s="256">
        <v>4596159.5861919159</v>
      </c>
      <c r="R75" s="256">
        <f ca="1">IFERROR(VLOOKUP($B75-1,CDM!$L$7:$T$18,5,FALSE)/12,0)+IFERROR(VLOOKUP($B75,CDM!$L$36:$T$46,5,FALSE)/24,0)+IFERROR(VLOOKUP($B75,CDM!$L$36:$T$46,5,FALSE)/2*$C75/78,0)</f>
        <v>862635.87549785129</v>
      </c>
      <c r="S75" s="256">
        <f ca="1">Q75+R75</f>
        <v>5458795.4616897674</v>
      </c>
      <c r="T75" s="256">
        <v>8854.77</v>
      </c>
      <c r="U75" s="256">
        <v>17</v>
      </c>
      <c r="V75" s="256">
        <v>2471480</v>
      </c>
      <c r="W75" s="256">
        <f ca="1">IFERROR(VLOOKUP($B75-1,CDM!$L$7:$T$18,6,FALSE)/12,0)+IFERROR(VLOOKUP($B75,CDM!$L$36:$T$46,6,FALSE)/24,0)+IFERROR(VLOOKUP($B75,CDM!$L$36:$T$46,6,FALSE)/2*$C75/78,0)</f>
        <v>25666.474205401195</v>
      </c>
      <c r="X75" s="256">
        <f ca="1">V75+W75</f>
        <v>2497146.4742054013</v>
      </c>
      <c r="Y75" s="256">
        <v>5609.43</v>
      </c>
      <c r="Z75" s="256">
        <v>1</v>
      </c>
      <c r="AA75" s="4">
        <v>353367.51756721607</v>
      </c>
      <c r="AB75" s="4">
        <v>1024.4398340248963</v>
      </c>
      <c r="AC75" s="256">
        <v>14000</v>
      </c>
      <c r="AD75" s="256">
        <v>2285.94</v>
      </c>
      <c r="AE75" s="256">
        <v>0</v>
      </c>
      <c r="AF75" s="256">
        <v>19</v>
      </c>
      <c r="AG75" s="4">
        <v>216848</v>
      </c>
      <c r="AH75" s="4">
        <v>251</v>
      </c>
      <c r="AI75" s="28">
        <f>Economic!H77</f>
        <v>817265.5</v>
      </c>
      <c r="AJ75" s="28">
        <f>Economic!I77</f>
        <v>634181.69999999995</v>
      </c>
      <c r="AK75" s="28">
        <f>Economic!J77</f>
        <v>64910</v>
      </c>
      <c r="AL75" s="28">
        <f>Economic!K77</f>
        <v>808584</v>
      </c>
      <c r="AM75" s="28">
        <f>Economic!L77</f>
        <v>622695</v>
      </c>
      <c r="AN75" s="28">
        <f>Economic!M77</f>
        <v>23185</v>
      </c>
      <c r="AO75" s="28">
        <f>Economic!D77</f>
        <v>7181.2</v>
      </c>
      <c r="AP75" s="28">
        <f>Economic!E77</f>
        <v>7124.8</v>
      </c>
      <c r="AQ75" s="28">
        <f>Economic!F77</f>
        <v>205.4</v>
      </c>
      <c r="AR75" s="28">
        <f>Economic!G77</f>
        <v>204.1</v>
      </c>
      <c r="AS75" s="28">
        <f>Economic!N77</f>
        <v>-331.10000000000036</v>
      </c>
      <c r="AT75" s="28">
        <f>Economic!O77</f>
        <v>-317.30000000000018</v>
      </c>
      <c r="AU75" s="28">
        <f>Economic!P77</f>
        <v>-5.2999999999999829</v>
      </c>
      <c r="AV75" s="28">
        <f>Economic!Q77</f>
        <v>-4.7000000000000171</v>
      </c>
      <c r="AW75" s="28">
        <f>Economic!R77</f>
        <v>47323.5</v>
      </c>
      <c r="AX75" s="28">
        <f>Economic!S77</f>
        <v>12705</v>
      </c>
      <c r="AY75" s="7">
        <f>Weather!D75</f>
        <v>-5.3376488095238086</v>
      </c>
      <c r="AZ75" s="7">
        <f>Weather!E75</f>
        <v>709.45416666666654</v>
      </c>
      <c r="BA75" s="7">
        <f>Weather!F75</f>
        <v>0</v>
      </c>
      <c r="BB75" s="7">
        <f>Weather!G75</f>
        <v>653.45416666666654</v>
      </c>
      <c r="BC75" s="7">
        <f>Weather!H75</f>
        <v>0</v>
      </c>
      <c r="BD75" s="7">
        <f>Weather!I75</f>
        <v>597.45416666666665</v>
      </c>
      <c r="BE75" s="7">
        <f>Weather!J75</f>
        <v>0</v>
      </c>
      <c r="BF75" s="7">
        <f>Weather!K75</f>
        <v>541.45416666666677</v>
      </c>
      <c r="BG75" s="7">
        <f>Weather!L75</f>
        <v>0</v>
      </c>
      <c r="BH75" s="7">
        <f>Weather!M75</f>
        <v>485.45416666666677</v>
      </c>
      <c r="BI75" s="7">
        <f>Weather!N75</f>
        <v>0</v>
      </c>
      <c r="BJ75" s="7">
        <f>Weather!O75</f>
        <v>429.45416666666677</v>
      </c>
      <c r="BK75" s="7">
        <f>Weather!P75</f>
        <v>0</v>
      </c>
      <c r="BL75" s="7">
        <f>Weather!Q75</f>
        <v>373.45416666666665</v>
      </c>
      <c r="BM75" s="7">
        <f>Weather!R75</f>
        <v>0</v>
      </c>
      <c r="BN75" s="1">
        <f t="shared" si="27"/>
        <v>0</v>
      </c>
      <c r="BO75" s="1">
        <f t="shared" si="27"/>
        <v>1</v>
      </c>
      <c r="BP75" s="1">
        <f t="shared" si="27"/>
        <v>0</v>
      </c>
      <c r="BQ75" s="1">
        <f t="shared" si="27"/>
        <v>0</v>
      </c>
      <c r="BR75" s="1">
        <f t="shared" si="27"/>
        <v>0</v>
      </c>
      <c r="BS75" s="1">
        <f t="shared" si="27"/>
        <v>0</v>
      </c>
      <c r="BT75" s="1">
        <f t="shared" si="27"/>
        <v>0</v>
      </c>
      <c r="BU75" s="1">
        <f t="shared" si="27"/>
        <v>0</v>
      </c>
      <c r="BV75" s="1">
        <f t="shared" si="27"/>
        <v>0</v>
      </c>
      <c r="BW75" s="1">
        <f t="shared" si="27"/>
        <v>0</v>
      </c>
      <c r="BX75" s="1">
        <f t="shared" si="27"/>
        <v>0</v>
      </c>
      <c r="BY75" s="1">
        <f t="shared" si="27"/>
        <v>0</v>
      </c>
      <c r="BZ75" s="1">
        <f t="shared" si="27"/>
        <v>0</v>
      </c>
      <c r="CA75" s="1">
        <f t="shared" si="27"/>
        <v>0</v>
      </c>
      <c r="CB75" s="1">
        <f t="shared" si="27"/>
        <v>0</v>
      </c>
      <c r="CC75" s="1">
        <f t="shared" si="23"/>
        <v>74</v>
      </c>
      <c r="CD75" s="1">
        <f t="shared" si="17"/>
        <v>28</v>
      </c>
      <c r="CE75" s="1">
        <v>19</v>
      </c>
      <c r="CF75" s="1">
        <v>1</v>
      </c>
      <c r="CG75" s="1">
        <v>0.5</v>
      </c>
      <c r="CH75" s="1">
        <v>0.75</v>
      </c>
      <c r="CI75" s="1">
        <v>0</v>
      </c>
      <c r="CJ75" s="1">
        <f t="shared" si="30"/>
        <v>354.72708333333327</v>
      </c>
      <c r="CK75" s="1">
        <f t="shared" si="30"/>
        <v>0</v>
      </c>
      <c r="CL75" s="1">
        <f t="shared" si="30"/>
        <v>326.72708333333327</v>
      </c>
      <c r="CM75" s="1">
        <f t="shared" si="30"/>
        <v>0</v>
      </c>
      <c r="CN75" s="1">
        <f t="shared" si="30"/>
        <v>298.72708333333333</v>
      </c>
      <c r="CO75" s="1">
        <f t="shared" si="30"/>
        <v>0</v>
      </c>
      <c r="CP75" s="1">
        <f t="shared" si="28"/>
        <v>270.72708333333338</v>
      </c>
      <c r="CQ75" s="1">
        <f t="shared" si="28"/>
        <v>0</v>
      </c>
      <c r="CR75" s="1">
        <f t="shared" si="24"/>
        <v>242.72708333333338</v>
      </c>
      <c r="CS75" s="1">
        <f t="shared" si="24"/>
        <v>0</v>
      </c>
      <c r="CT75" s="1">
        <f t="shared" si="24"/>
        <v>214.72708333333338</v>
      </c>
      <c r="CU75" s="1">
        <f t="shared" si="24"/>
        <v>0</v>
      </c>
      <c r="CV75" s="1">
        <f t="shared" si="24"/>
        <v>186.72708333333333</v>
      </c>
      <c r="CW75" s="1">
        <f t="shared" si="24"/>
        <v>0</v>
      </c>
      <c r="CX75" s="1">
        <f t="shared" si="31"/>
        <v>532.09062499999993</v>
      </c>
      <c r="CY75" s="1">
        <f t="shared" si="31"/>
        <v>0</v>
      </c>
      <c r="CZ75" s="1">
        <f t="shared" si="31"/>
        <v>490.09062499999993</v>
      </c>
      <c r="DA75" s="1">
        <f t="shared" si="31"/>
        <v>0</v>
      </c>
      <c r="DB75" s="1">
        <f t="shared" si="31"/>
        <v>448.09062499999999</v>
      </c>
      <c r="DC75" s="1">
        <f t="shared" si="31"/>
        <v>0</v>
      </c>
      <c r="DD75" s="1">
        <f t="shared" si="29"/>
        <v>406.09062500000005</v>
      </c>
      <c r="DE75" s="1">
        <f t="shared" si="29"/>
        <v>0</v>
      </c>
      <c r="DF75" s="1">
        <f t="shared" si="25"/>
        <v>364.09062500000005</v>
      </c>
      <c r="DG75" s="1">
        <f t="shared" si="25"/>
        <v>0</v>
      </c>
      <c r="DH75" s="1">
        <f t="shared" si="25"/>
        <v>322.09062500000005</v>
      </c>
      <c r="DI75" s="1">
        <f t="shared" si="25"/>
        <v>0</v>
      </c>
      <c r="DJ75" s="1">
        <f t="shared" si="25"/>
        <v>280.09062499999999</v>
      </c>
      <c r="DK75" s="1">
        <f t="shared" si="25"/>
        <v>0</v>
      </c>
      <c r="DL75" s="24">
        <v>355079.12</v>
      </c>
      <c r="DM75" s="25">
        <v>795.22</v>
      </c>
      <c r="DN75" s="24"/>
      <c r="DO75" s="25"/>
      <c r="DP75" s="25"/>
      <c r="DQ75" s="25"/>
      <c r="DR75" s="25"/>
      <c r="DS75" s="25"/>
      <c r="DT75" s="25"/>
      <c r="DU75" s="25"/>
      <c r="DV75" s="25"/>
    </row>
    <row r="76" spans="1:126" x14ac:dyDescent="0.25">
      <c r="A76" s="252">
        <v>44256</v>
      </c>
      <c r="B76" s="253">
        <f t="shared" si="18"/>
        <v>2021</v>
      </c>
      <c r="C76" s="253">
        <f t="shared" si="19"/>
        <v>3</v>
      </c>
      <c r="D76" s="254">
        <v>39145126.205931425</v>
      </c>
      <c r="E76" s="254">
        <f ca="1">IFERROR(VLOOKUP($B76-1,CDM!$L$7:$T$18,2,FALSE)/12,0)+IFERROR(VLOOKUP($B76,CDM!$L$36:$T$46,2,FALSE)/24,0)+IFERROR(VLOOKUP($B76,CDM!$L$36:$T$46,2,FALSE)/2*$C76/78,0)</f>
        <v>2441659.2919056867</v>
      </c>
      <c r="F76" s="254">
        <f ca="1">D76+E76</f>
        <v>41586785.497837111</v>
      </c>
      <c r="G76" s="255">
        <v>54871</v>
      </c>
      <c r="H76" s="256">
        <v>11126791.162067626</v>
      </c>
      <c r="I76" s="254">
        <f ca="1">IFERROR(VLOOKUP($B76-1,CDM!$L$7:$T$18,3,FALSE)/12,0)+IFERROR(VLOOKUP($B76,CDM!$L$36:$T$46,3,FALSE)/24,0)+IFERROR(VLOOKUP($B76,CDM!$L$36:$T$46,3,FALSE)/2*$C76/78,0)</f>
        <v>566028.37115559517</v>
      </c>
      <c r="J76" s="254">
        <f ca="1">H76+I76</f>
        <v>11692819.533223221</v>
      </c>
      <c r="K76" s="256">
        <v>4267</v>
      </c>
      <c r="L76" s="4">
        <v>29085820.79171351</v>
      </c>
      <c r="M76" s="257">
        <f ca="1">IFERROR(VLOOKUP($B76-1,CDM!$L$7:$T$18,4,FALSE)/12,0)+IFERROR(VLOOKUP($B76,CDM!$L$36:$T$46,4,FALSE)/24,0)+IFERROR(VLOOKUP($B76,CDM!$L$36:$T$46,4,FALSE)/2*$C76/78,0)</f>
        <v>700582.62832800532</v>
      </c>
      <c r="N76" s="254">
        <f ca="1">L76+M76</f>
        <v>29786403.420041516</v>
      </c>
      <c r="O76" s="4">
        <v>66039.520000000004</v>
      </c>
      <c r="P76" s="256">
        <v>536</v>
      </c>
      <c r="Q76" s="256">
        <v>5224858.0969039006</v>
      </c>
      <c r="R76" s="256">
        <f ca="1">IFERROR(VLOOKUP($B76-1,CDM!$L$7:$T$18,5,FALSE)/12,0)+IFERROR(VLOOKUP($B76,CDM!$L$36:$T$46,5,FALSE)/24,0)+IFERROR(VLOOKUP($B76,CDM!$L$36:$T$46,5,FALSE)/2*$C76/78,0)</f>
        <v>863466.22998361336</v>
      </c>
      <c r="S76" s="256">
        <f ca="1">Q76+R76</f>
        <v>6088324.3268875144</v>
      </c>
      <c r="T76" s="256">
        <v>12865.09</v>
      </c>
      <c r="U76" s="256">
        <v>17</v>
      </c>
      <c r="V76" s="256">
        <v>3003749</v>
      </c>
      <c r="W76" s="256">
        <f ca="1">IFERROR(VLOOKUP($B76-1,CDM!$L$7:$T$18,6,FALSE)/12,0)+IFERROR(VLOOKUP($B76,CDM!$L$36:$T$46,6,FALSE)/24,0)+IFERROR(VLOOKUP($B76,CDM!$L$36:$T$46,6,FALSE)/2*$C76/78,0)</f>
        <v>25955.918719762121</v>
      </c>
      <c r="X76" s="256">
        <f ca="1">V76+W76</f>
        <v>3029704.918719762</v>
      </c>
      <c r="Y76" s="256">
        <v>5224.8</v>
      </c>
      <c r="Z76" s="256">
        <v>1</v>
      </c>
      <c r="AA76" s="4">
        <v>353367.51756721607</v>
      </c>
      <c r="AB76" s="4">
        <v>1025.3910995850624</v>
      </c>
      <c r="AC76" s="256">
        <v>14013</v>
      </c>
      <c r="AD76" s="256">
        <v>2212.1999999999998</v>
      </c>
      <c r="AE76" s="256">
        <v>0</v>
      </c>
      <c r="AF76" s="256">
        <v>19</v>
      </c>
      <c r="AG76" s="4">
        <v>217478</v>
      </c>
      <c r="AH76" s="4">
        <v>251</v>
      </c>
      <c r="AI76" s="28">
        <f>Economic!H78</f>
        <v>817265.5</v>
      </c>
      <c r="AJ76" s="28">
        <f>Economic!I78</f>
        <v>634181.69999999995</v>
      </c>
      <c r="AK76" s="28">
        <f>Economic!J78</f>
        <v>64910</v>
      </c>
      <c r="AL76" s="28">
        <f>Economic!K78</f>
        <v>808584</v>
      </c>
      <c r="AM76" s="28">
        <f>Economic!L78</f>
        <v>622695</v>
      </c>
      <c r="AN76" s="28">
        <f>Economic!M78</f>
        <v>23185</v>
      </c>
      <c r="AO76" s="28">
        <f>Economic!D78</f>
        <v>7218.1</v>
      </c>
      <c r="AP76" s="28">
        <f>Economic!E78</f>
        <v>7129.5</v>
      </c>
      <c r="AQ76" s="28">
        <f>Economic!F78</f>
        <v>204.5</v>
      </c>
      <c r="AR76" s="28">
        <f>Economic!G78</f>
        <v>203.7</v>
      </c>
      <c r="AS76" s="28">
        <f>Economic!N78</f>
        <v>-139.89999999999964</v>
      </c>
      <c r="AT76" s="28">
        <f>Economic!O78</f>
        <v>-126.69999999999982</v>
      </c>
      <c r="AU76" s="28">
        <f>Economic!P78</f>
        <v>-3.8000000000000114</v>
      </c>
      <c r="AV76" s="28">
        <f>Economic!Q78</f>
        <v>-3.5</v>
      </c>
      <c r="AW76" s="28">
        <f>Economic!R78</f>
        <v>47323.5</v>
      </c>
      <c r="AX76" s="28">
        <f>Economic!S78</f>
        <v>12705</v>
      </c>
      <c r="AY76" s="7">
        <f>Weather!D76</f>
        <v>2.1097942964001866</v>
      </c>
      <c r="AZ76" s="7">
        <f>Weather!E76</f>
        <v>554.59637681159427</v>
      </c>
      <c r="BA76" s="7">
        <f>Weather!F76</f>
        <v>0</v>
      </c>
      <c r="BB76" s="7">
        <f>Weather!G76</f>
        <v>492.59637681159415</v>
      </c>
      <c r="BC76" s="7">
        <f>Weather!H76</f>
        <v>0</v>
      </c>
      <c r="BD76" s="7">
        <f>Weather!I76</f>
        <v>430.59637681159427</v>
      </c>
      <c r="BE76" s="7">
        <f>Weather!J76</f>
        <v>0</v>
      </c>
      <c r="BF76" s="7">
        <f>Weather!K76</f>
        <v>368.59637681159427</v>
      </c>
      <c r="BG76" s="7">
        <f>Weather!L76</f>
        <v>0</v>
      </c>
      <c r="BH76" s="7">
        <f>Weather!M76</f>
        <v>306.89221014492756</v>
      </c>
      <c r="BI76" s="7">
        <f>Weather!N76</f>
        <v>0.29583333333332895</v>
      </c>
      <c r="BJ76" s="7">
        <f>Weather!O76</f>
        <v>249.74637681159425</v>
      </c>
      <c r="BK76" s="7">
        <f>Weather!P76</f>
        <v>5.1499999999999932</v>
      </c>
      <c r="BL76" s="7">
        <f>Weather!Q76</f>
        <v>194.65054347826086</v>
      </c>
      <c r="BM76" s="7">
        <f>Weather!R76</f>
        <v>12.05416666666666</v>
      </c>
      <c r="BN76" s="1">
        <f t="shared" si="27"/>
        <v>0</v>
      </c>
      <c r="BO76" s="1">
        <f t="shared" si="27"/>
        <v>0</v>
      </c>
      <c r="BP76" s="1">
        <f t="shared" si="27"/>
        <v>1</v>
      </c>
      <c r="BQ76" s="1">
        <f t="shared" si="27"/>
        <v>0</v>
      </c>
      <c r="BR76" s="1">
        <f t="shared" si="27"/>
        <v>0</v>
      </c>
      <c r="BS76" s="1">
        <f t="shared" si="27"/>
        <v>0</v>
      </c>
      <c r="BT76" s="1">
        <f t="shared" si="27"/>
        <v>0</v>
      </c>
      <c r="BU76" s="1">
        <f t="shared" si="27"/>
        <v>0</v>
      </c>
      <c r="BV76" s="1">
        <f t="shared" si="27"/>
        <v>0</v>
      </c>
      <c r="BW76" s="1">
        <f t="shared" si="27"/>
        <v>0</v>
      </c>
      <c r="BX76" s="1">
        <f t="shared" si="27"/>
        <v>0</v>
      </c>
      <c r="BY76" s="1">
        <f t="shared" si="27"/>
        <v>0</v>
      </c>
      <c r="BZ76" s="1">
        <f t="shared" si="27"/>
        <v>1</v>
      </c>
      <c r="CA76" s="1">
        <f t="shared" si="27"/>
        <v>0</v>
      </c>
      <c r="CB76" s="1">
        <f t="shared" si="27"/>
        <v>1</v>
      </c>
      <c r="CC76" s="1">
        <f t="shared" si="23"/>
        <v>75</v>
      </c>
      <c r="CD76" s="1">
        <f t="shared" si="17"/>
        <v>31</v>
      </c>
      <c r="CE76" s="1">
        <v>23</v>
      </c>
      <c r="CF76" s="1">
        <v>1</v>
      </c>
      <c r="CG76" s="1">
        <v>0.5</v>
      </c>
      <c r="CH76" s="1">
        <v>0.75</v>
      </c>
      <c r="CI76" s="1">
        <v>0</v>
      </c>
      <c r="CJ76" s="1">
        <f t="shared" si="30"/>
        <v>277.29818840579713</v>
      </c>
      <c r="CK76" s="1">
        <f t="shared" si="30"/>
        <v>0</v>
      </c>
      <c r="CL76" s="1">
        <f t="shared" si="30"/>
        <v>246.29818840579708</v>
      </c>
      <c r="CM76" s="1">
        <f t="shared" si="30"/>
        <v>0</v>
      </c>
      <c r="CN76" s="1">
        <f t="shared" si="30"/>
        <v>215.29818840579713</v>
      </c>
      <c r="CO76" s="1">
        <f t="shared" si="30"/>
        <v>0</v>
      </c>
      <c r="CP76" s="1">
        <f t="shared" si="28"/>
        <v>184.29818840579713</v>
      </c>
      <c r="CQ76" s="1">
        <f t="shared" si="28"/>
        <v>0</v>
      </c>
      <c r="CR76" s="1">
        <f t="shared" si="24"/>
        <v>153.44610507246378</v>
      </c>
      <c r="CS76" s="1">
        <f t="shared" si="24"/>
        <v>0.14791666666666448</v>
      </c>
      <c r="CT76" s="1">
        <f t="shared" si="24"/>
        <v>124.87318840579712</v>
      </c>
      <c r="CU76" s="1">
        <f t="shared" si="24"/>
        <v>2.5749999999999966</v>
      </c>
      <c r="CV76" s="1">
        <f t="shared" si="24"/>
        <v>97.325271739130429</v>
      </c>
      <c r="CW76" s="1">
        <f t="shared" si="24"/>
        <v>6.02708333333333</v>
      </c>
      <c r="CX76" s="1">
        <f t="shared" si="31"/>
        <v>415.94728260869567</v>
      </c>
      <c r="CY76" s="1">
        <f t="shared" si="31"/>
        <v>0</v>
      </c>
      <c r="CZ76" s="1">
        <f t="shared" si="31"/>
        <v>369.44728260869562</v>
      </c>
      <c r="DA76" s="1">
        <f t="shared" si="31"/>
        <v>0</v>
      </c>
      <c r="DB76" s="1">
        <f t="shared" si="31"/>
        <v>322.94728260869567</v>
      </c>
      <c r="DC76" s="1">
        <f t="shared" si="31"/>
        <v>0</v>
      </c>
      <c r="DD76" s="1">
        <f t="shared" si="29"/>
        <v>276.44728260869567</v>
      </c>
      <c r="DE76" s="1">
        <f t="shared" si="29"/>
        <v>0</v>
      </c>
      <c r="DF76" s="1">
        <f t="shared" si="25"/>
        <v>230.16915760869568</v>
      </c>
      <c r="DG76" s="1">
        <f t="shared" si="25"/>
        <v>0.22187499999999671</v>
      </c>
      <c r="DH76" s="1">
        <f t="shared" si="25"/>
        <v>187.30978260869568</v>
      </c>
      <c r="DI76" s="1">
        <f t="shared" si="25"/>
        <v>3.8624999999999949</v>
      </c>
      <c r="DJ76" s="1">
        <f t="shared" si="25"/>
        <v>145.98790760869565</v>
      </c>
      <c r="DK76" s="1">
        <f t="shared" si="25"/>
        <v>9.040624999999995</v>
      </c>
      <c r="DL76" s="24">
        <v>602334.84000000008</v>
      </c>
      <c r="DM76" s="25">
        <v>894.48</v>
      </c>
      <c r="DN76" s="24"/>
      <c r="DO76" s="25"/>
      <c r="DP76" s="25"/>
      <c r="DQ76" s="25"/>
      <c r="DR76" s="25"/>
      <c r="DS76" s="25"/>
      <c r="DT76" s="25"/>
      <c r="DU76" s="25"/>
      <c r="DV76" s="25"/>
    </row>
    <row r="77" spans="1:126" x14ac:dyDescent="0.25">
      <c r="A77" s="252">
        <v>44287</v>
      </c>
      <c r="B77" s="253">
        <f t="shared" si="18"/>
        <v>2021</v>
      </c>
      <c r="C77" s="253">
        <f t="shared" si="19"/>
        <v>4</v>
      </c>
      <c r="D77" s="254">
        <v>36828281.665552825</v>
      </c>
      <c r="E77" s="254">
        <f ca="1">IFERROR(VLOOKUP($B77-1,CDM!$L$7:$T$18,2,FALSE)/12,0)+IFERROR(VLOOKUP($B77,CDM!$L$36:$T$46,2,FALSE)/24,0)+IFERROR(VLOOKUP($B77,CDM!$L$36:$T$46,2,FALSE)/2*$C77/78,0)</f>
        <v>2442269.7085975134</v>
      </c>
      <c r="F77" s="254">
        <f ca="1">D77+E77</f>
        <v>39270551.374150336</v>
      </c>
      <c r="G77" s="255">
        <v>55046</v>
      </c>
      <c r="H77" s="254">
        <v>8759108.6372692473</v>
      </c>
      <c r="I77" s="254">
        <f ca="1">IFERROR(VLOOKUP($B77-1,CDM!$L$7:$T$18,3,FALSE)/12,0)+IFERROR(VLOOKUP($B77,CDM!$L$36:$T$46,3,FALSE)/24,0)+IFERROR(VLOOKUP($B77,CDM!$L$36:$T$46,3,FALSE)/2*$C77/78,0)</f>
        <v>567844.50226586428</v>
      </c>
      <c r="J77" s="254">
        <f ca="1">H77+I77</f>
        <v>9326953.1395351123</v>
      </c>
      <c r="K77" s="256">
        <v>4264</v>
      </c>
      <c r="L77" s="4">
        <v>22896615.961238336</v>
      </c>
      <c r="M77" s="257">
        <f ca="1">IFERROR(VLOOKUP($B77-1,CDM!$L$7:$T$18,4,FALSE)/12,0)+IFERROR(VLOOKUP($B77,CDM!$L$36:$T$46,4,FALSE)/24,0)+IFERROR(VLOOKUP($B77,CDM!$L$36:$T$46,4,FALSE)/2*$C77/78,0)</f>
        <v>706038.82746229565</v>
      </c>
      <c r="N77" s="254">
        <f ca="1">L77+M77</f>
        <v>23602654.788700633</v>
      </c>
      <c r="O77" s="4">
        <v>60354.57</v>
      </c>
      <c r="P77" s="256">
        <v>537</v>
      </c>
      <c r="Q77" s="256">
        <v>6062437.8063914152</v>
      </c>
      <c r="R77" s="256">
        <f ca="1">IFERROR(VLOOKUP($B77-1,CDM!$L$7:$T$18,5,FALSE)/12,0)+IFERROR(VLOOKUP($B77,CDM!$L$36:$T$46,5,FALSE)/24,0)+IFERROR(VLOOKUP($B77,CDM!$L$36:$T$46,5,FALSE)/2*$C77/78,0)</f>
        <v>864296.58446937543</v>
      </c>
      <c r="S77" s="256">
        <f ca="1">Q77+R77</f>
        <v>6926734.3908607904</v>
      </c>
      <c r="T77" s="256">
        <v>14927.449999999999</v>
      </c>
      <c r="U77" s="256">
        <v>17</v>
      </c>
      <c r="V77" s="256">
        <v>2727156</v>
      </c>
      <c r="W77" s="256">
        <f ca="1">IFERROR(VLOOKUP($B77-1,CDM!$L$7:$T$18,6,FALSE)/12,0)+IFERROR(VLOOKUP($B77,CDM!$L$36:$T$46,6,FALSE)/24,0)+IFERROR(VLOOKUP($B77,CDM!$L$36:$T$46,6,FALSE)/2*$C77/78,0)</f>
        <v>26245.363234123048</v>
      </c>
      <c r="X77" s="256">
        <f ca="1">V77+W77</f>
        <v>2753401.3632341232</v>
      </c>
      <c r="Y77" s="256">
        <v>7290.36</v>
      </c>
      <c r="Z77" s="256">
        <v>1</v>
      </c>
      <c r="AA77" s="4">
        <v>353367.51756721607</v>
      </c>
      <c r="AB77" s="4">
        <v>1026.1960165975104</v>
      </c>
      <c r="AC77" s="256">
        <v>14024</v>
      </c>
      <c r="AD77" s="256">
        <v>2285.94</v>
      </c>
      <c r="AE77" s="256">
        <v>0</v>
      </c>
      <c r="AF77" s="256">
        <v>19</v>
      </c>
      <c r="AG77" s="4">
        <v>217478</v>
      </c>
      <c r="AH77" s="4">
        <v>251</v>
      </c>
      <c r="AI77" s="28">
        <f>Economic!H79</f>
        <v>817265.5</v>
      </c>
      <c r="AJ77" s="28">
        <f>Economic!I79</f>
        <v>634181.69999999995</v>
      </c>
      <c r="AK77" s="28">
        <f>Economic!J79</f>
        <v>64910</v>
      </c>
      <c r="AL77" s="28">
        <f>Economic!K79</f>
        <v>802518</v>
      </c>
      <c r="AM77" s="28">
        <f>Economic!L79</f>
        <v>620093</v>
      </c>
      <c r="AN77" s="28">
        <f>Economic!M79</f>
        <v>24138</v>
      </c>
      <c r="AO77" s="28">
        <f>Economic!D79</f>
        <v>7264</v>
      </c>
      <c r="AP77" s="28">
        <f>Economic!E79</f>
        <v>7197</v>
      </c>
      <c r="AQ77" s="28">
        <f>Economic!F79</f>
        <v>206</v>
      </c>
      <c r="AR77" s="28">
        <f>Economic!G79</f>
        <v>206.1</v>
      </c>
      <c r="AS77" s="28">
        <f>Economic!N79</f>
        <v>300.30000000000018</v>
      </c>
      <c r="AT77" s="28">
        <f>Economic!O79</f>
        <v>311.80000000000018</v>
      </c>
      <c r="AU77" s="28">
        <f>Economic!P79</f>
        <v>4.0999999999999943</v>
      </c>
      <c r="AV77" s="28">
        <f>Economic!Q79</f>
        <v>3.7999999999999829</v>
      </c>
      <c r="AW77" s="28">
        <f>Economic!R79</f>
        <v>47323.5</v>
      </c>
      <c r="AX77" s="28">
        <f>Economic!S79</f>
        <v>-6066</v>
      </c>
      <c r="AY77" s="7">
        <f>Weather!D77</f>
        <v>7.3401388888888865</v>
      </c>
      <c r="AZ77" s="7">
        <f>Weather!E77</f>
        <v>379.79583333333329</v>
      </c>
      <c r="BA77" s="7">
        <f>Weather!F77</f>
        <v>0</v>
      </c>
      <c r="BB77" s="7">
        <f>Weather!G77</f>
        <v>319.79583333333329</v>
      </c>
      <c r="BC77" s="7">
        <f>Weather!H77</f>
        <v>0</v>
      </c>
      <c r="BD77" s="7">
        <f>Weather!I77</f>
        <v>260.00833333333338</v>
      </c>
      <c r="BE77" s="7">
        <f>Weather!J77</f>
        <v>0.21249999999999858</v>
      </c>
      <c r="BF77" s="7">
        <f>Weather!K77</f>
        <v>203.50416666666672</v>
      </c>
      <c r="BG77" s="7">
        <f>Weather!L77</f>
        <v>3.7083333333333339</v>
      </c>
      <c r="BH77" s="7">
        <f>Weather!M77</f>
        <v>150.85000000000002</v>
      </c>
      <c r="BI77" s="7">
        <f>Weather!N77</f>
        <v>11.054166666666664</v>
      </c>
      <c r="BJ77" s="7">
        <f>Weather!O77</f>
        <v>102.15833333333332</v>
      </c>
      <c r="BK77" s="7">
        <f>Weather!P77</f>
        <v>22.362499999999997</v>
      </c>
      <c r="BL77" s="7">
        <f>Weather!Q77</f>
        <v>60.454166666666659</v>
      </c>
      <c r="BM77" s="7">
        <f>Weather!R77</f>
        <v>40.658333333333331</v>
      </c>
      <c r="BN77" s="1">
        <f t="shared" si="27"/>
        <v>0</v>
      </c>
      <c r="BO77" s="1">
        <f t="shared" si="27"/>
        <v>0</v>
      </c>
      <c r="BP77" s="1">
        <f t="shared" si="27"/>
        <v>0</v>
      </c>
      <c r="BQ77" s="1">
        <f t="shared" si="27"/>
        <v>1</v>
      </c>
      <c r="BR77" s="1">
        <f t="shared" si="27"/>
        <v>0</v>
      </c>
      <c r="BS77" s="1">
        <f t="shared" si="27"/>
        <v>0</v>
      </c>
      <c r="BT77" s="1">
        <f t="shared" si="27"/>
        <v>0</v>
      </c>
      <c r="BU77" s="1">
        <f t="shared" si="27"/>
        <v>0</v>
      </c>
      <c r="BV77" s="1">
        <f t="shared" si="27"/>
        <v>0</v>
      </c>
      <c r="BW77" s="1">
        <f t="shared" si="27"/>
        <v>0</v>
      </c>
      <c r="BX77" s="1">
        <f t="shared" si="27"/>
        <v>0</v>
      </c>
      <c r="BY77" s="1">
        <f t="shared" si="27"/>
        <v>0</v>
      </c>
      <c r="BZ77" s="1">
        <f t="shared" si="27"/>
        <v>1</v>
      </c>
      <c r="CA77" s="1">
        <f t="shared" si="27"/>
        <v>0</v>
      </c>
      <c r="CB77" s="1">
        <f t="shared" si="27"/>
        <v>1</v>
      </c>
      <c r="CC77" s="1">
        <f t="shared" si="23"/>
        <v>76</v>
      </c>
      <c r="CD77" s="1">
        <f t="shared" si="17"/>
        <v>30</v>
      </c>
      <c r="CE77" s="1">
        <v>21</v>
      </c>
      <c r="CF77" s="1">
        <v>1</v>
      </c>
      <c r="CG77" s="1">
        <v>0.5</v>
      </c>
      <c r="CH77" s="1">
        <v>0.75</v>
      </c>
      <c r="CI77" s="1">
        <v>0</v>
      </c>
      <c r="CJ77" s="1">
        <f t="shared" si="30"/>
        <v>189.89791666666665</v>
      </c>
      <c r="CK77" s="1">
        <f t="shared" si="30"/>
        <v>0</v>
      </c>
      <c r="CL77" s="1">
        <f t="shared" si="30"/>
        <v>159.89791666666665</v>
      </c>
      <c r="CM77" s="1">
        <f t="shared" si="30"/>
        <v>0</v>
      </c>
      <c r="CN77" s="1">
        <f t="shared" si="30"/>
        <v>130.00416666666669</v>
      </c>
      <c r="CO77" s="1">
        <f t="shared" si="30"/>
        <v>0.10624999999999929</v>
      </c>
      <c r="CP77" s="1">
        <f t="shared" si="28"/>
        <v>101.75208333333336</v>
      </c>
      <c r="CQ77" s="1">
        <f t="shared" si="28"/>
        <v>1.854166666666667</v>
      </c>
      <c r="CR77" s="1">
        <f t="shared" si="24"/>
        <v>75.425000000000011</v>
      </c>
      <c r="CS77" s="1">
        <f t="shared" si="24"/>
        <v>5.5270833333333318</v>
      </c>
      <c r="CT77" s="1">
        <f t="shared" si="24"/>
        <v>51.079166666666659</v>
      </c>
      <c r="CU77" s="1">
        <f t="shared" si="24"/>
        <v>11.181249999999999</v>
      </c>
      <c r="CV77" s="1">
        <f t="shared" si="24"/>
        <v>30.227083333333329</v>
      </c>
      <c r="CW77" s="1">
        <f t="shared" si="24"/>
        <v>20.329166666666666</v>
      </c>
      <c r="CX77" s="1">
        <f t="shared" si="31"/>
        <v>284.84687499999995</v>
      </c>
      <c r="CY77" s="1">
        <f t="shared" si="31"/>
        <v>0</v>
      </c>
      <c r="CZ77" s="1">
        <f t="shared" si="31"/>
        <v>239.84687499999995</v>
      </c>
      <c r="DA77" s="1">
        <f t="shared" si="31"/>
        <v>0</v>
      </c>
      <c r="DB77" s="1">
        <f t="shared" si="31"/>
        <v>195.00625000000002</v>
      </c>
      <c r="DC77" s="1">
        <f t="shared" si="31"/>
        <v>0.15937499999999893</v>
      </c>
      <c r="DD77" s="1">
        <f t="shared" si="29"/>
        <v>152.62812500000004</v>
      </c>
      <c r="DE77" s="1">
        <f t="shared" si="29"/>
        <v>2.7812500000000004</v>
      </c>
      <c r="DF77" s="1">
        <f t="shared" si="25"/>
        <v>113.13750000000002</v>
      </c>
      <c r="DG77" s="1">
        <f t="shared" si="25"/>
        <v>8.2906249999999986</v>
      </c>
      <c r="DH77" s="1">
        <f t="shared" si="25"/>
        <v>76.618749999999991</v>
      </c>
      <c r="DI77" s="1">
        <f t="shared" si="25"/>
        <v>16.771874999999998</v>
      </c>
      <c r="DJ77" s="1">
        <f t="shared" si="25"/>
        <v>45.340624999999996</v>
      </c>
      <c r="DK77" s="1">
        <f t="shared" si="25"/>
        <v>30.493749999999999</v>
      </c>
      <c r="DL77" s="24">
        <v>499433.04000000004</v>
      </c>
      <c r="DM77" s="25">
        <v>974.63</v>
      </c>
      <c r="DN77" s="24"/>
      <c r="DO77" s="25"/>
      <c r="DP77" s="25"/>
      <c r="DQ77" s="25"/>
      <c r="DR77" s="25"/>
      <c r="DS77" s="25"/>
      <c r="DT77" s="25"/>
      <c r="DU77" s="25"/>
      <c r="DV77" s="25"/>
    </row>
    <row r="78" spans="1:126" x14ac:dyDescent="0.25">
      <c r="A78" s="252">
        <v>44317</v>
      </c>
      <c r="B78" s="253">
        <f t="shared" si="18"/>
        <v>2021</v>
      </c>
      <c r="C78" s="253">
        <f t="shared" si="19"/>
        <v>5</v>
      </c>
      <c r="D78" s="254">
        <v>35995803.39913632</v>
      </c>
      <c r="E78" s="254">
        <f ca="1">IFERROR(VLOOKUP($B78-1,CDM!$L$7:$T$18,2,FALSE)/12,0)+IFERROR(VLOOKUP($B78,CDM!$L$36:$T$46,2,FALSE)/24,0)+IFERROR(VLOOKUP($B78,CDM!$L$36:$T$46,2,FALSE)/2*$C78/78,0)</f>
        <v>2442880.12528934</v>
      </c>
      <c r="F78" s="254">
        <f ca="1">D78+E78</f>
        <v>38438683.524425663</v>
      </c>
      <c r="G78" s="255">
        <v>55153</v>
      </c>
      <c r="H78" s="254">
        <v>8442837.8660268169</v>
      </c>
      <c r="I78" s="254">
        <f ca="1">IFERROR(VLOOKUP($B78-1,CDM!$L$7:$T$18,3,FALSE)/12,0)+IFERROR(VLOOKUP($B78,CDM!$L$36:$T$46,3,FALSE)/24,0)+IFERROR(VLOOKUP($B78,CDM!$L$36:$T$46,3,FALSE)/2*$C78/78,0)</f>
        <v>569660.63337613328</v>
      </c>
      <c r="J78" s="254">
        <f ca="1">H78+I78</f>
        <v>9012498.4994029496</v>
      </c>
      <c r="K78" s="256">
        <v>4268</v>
      </c>
      <c r="L78" s="4">
        <v>22498975.641380794</v>
      </c>
      <c r="M78" s="257">
        <f ca="1">IFERROR(VLOOKUP($B78-1,CDM!$L$7:$T$18,4,FALSE)/12,0)+IFERROR(VLOOKUP($B78,CDM!$L$36:$T$46,4,FALSE)/24,0)+IFERROR(VLOOKUP($B78,CDM!$L$36:$T$46,4,FALSE)/2*$C78/78,0)</f>
        <v>711495.02659658599</v>
      </c>
      <c r="N78" s="254">
        <f ca="1">L78+M78</f>
        <v>23210470.667977381</v>
      </c>
      <c r="O78" s="4">
        <v>62132.58</v>
      </c>
      <c r="P78" s="256">
        <v>537</v>
      </c>
      <c r="Q78" s="256">
        <v>5815255.4507628521</v>
      </c>
      <c r="R78" s="256">
        <f ca="1">IFERROR(VLOOKUP($B78-1,CDM!$L$7:$T$18,5,FALSE)/12,0)+IFERROR(VLOOKUP($B78,CDM!$L$36:$T$46,5,FALSE)/24,0)+IFERROR(VLOOKUP($B78,CDM!$L$36:$T$46,5,FALSE)/2*$C78/78,0)</f>
        <v>865126.93895513751</v>
      </c>
      <c r="S78" s="256">
        <f ca="1">Q78+R78</f>
        <v>6680382.3897179896</v>
      </c>
      <c r="T78" s="256">
        <v>18335.22</v>
      </c>
      <c r="U78" s="256">
        <v>17</v>
      </c>
      <c r="V78" s="256">
        <v>2846646</v>
      </c>
      <c r="W78" s="256">
        <f ca="1">IFERROR(VLOOKUP($B78-1,CDM!$L$7:$T$18,6,FALSE)/12,0)+IFERROR(VLOOKUP($B78,CDM!$L$36:$T$46,6,FALSE)/24,0)+IFERROR(VLOOKUP($B78,CDM!$L$36:$T$46,6,FALSE)/2*$C78/78,0)</f>
        <v>26534.807748483974</v>
      </c>
      <c r="X78" s="256">
        <f ca="1">V78+W78</f>
        <v>2873180.807748484</v>
      </c>
      <c r="Y78" s="256">
        <v>6273.96</v>
      </c>
      <c r="Z78" s="256">
        <v>1</v>
      </c>
      <c r="AA78" s="4">
        <v>353367.51756721607</v>
      </c>
      <c r="AB78" s="4">
        <v>1026.1960165975104</v>
      </c>
      <c r="AC78" s="256">
        <v>14024</v>
      </c>
      <c r="AD78" s="256">
        <v>2212.1999999999998</v>
      </c>
      <c r="AE78" s="256">
        <v>0</v>
      </c>
      <c r="AF78" s="256">
        <v>19</v>
      </c>
      <c r="AG78" s="4">
        <v>217583</v>
      </c>
      <c r="AH78" s="4">
        <v>251</v>
      </c>
      <c r="AI78" s="28">
        <f>Economic!H80</f>
        <v>817265.5</v>
      </c>
      <c r="AJ78" s="28">
        <f>Economic!I80</f>
        <v>634181.69999999995</v>
      </c>
      <c r="AK78" s="28">
        <f>Economic!J80</f>
        <v>64910</v>
      </c>
      <c r="AL78" s="28">
        <f>Economic!K80</f>
        <v>802518</v>
      </c>
      <c r="AM78" s="28">
        <f>Economic!L80</f>
        <v>620093</v>
      </c>
      <c r="AN78" s="28">
        <f>Economic!M80</f>
        <v>24138</v>
      </c>
      <c r="AO78" s="28">
        <f>Economic!D80</f>
        <v>7259.3</v>
      </c>
      <c r="AP78" s="28">
        <f>Economic!E80</f>
        <v>7237.7</v>
      </c>
      <c r="AQ78" s="28">
        <f>Economic!F80</f>
        <v>204.1</v>
      </c>
      <c r="AR78" s="28">
        <f>Economic!G80</f>
        <v>206</v>
      </c>
      <c r="AS78" s="28">
        <f>Economic!N80</f>
        <v>691.10000000000036</v>
      </c>
      <c r="AT78" s="28">
        <f>Economic!O80</f>
        <v>701</v>
      </c>
      <c r="AU78" s="28">
        <f>Economic!P80</f>
        <v>10.799999999999983</v>
      </c>
      <c r="AV78" s="28">
        <f>Economic!Q80</f>
        <v>10.5</v>
      </c>
      <c r="AW78" s="28">
        <f>Economic!R80</f>
        <v>47323.5</v>
      </c>
      <c r="AX78" s="28">
        <f>Economic!S80</f>
        <v>-6066</v>
      </c>
      <c r="AY78" s="7">
        <f>Weather!D78</f>
        <v>13.049417562724015</v>
      </c>
      <c r="AZ78" s="7">
        <f>Weather!E78</f>
        <v>221.92222222222222</v>
      </c>
      <c r="BA78" s="7">
        <f>Weather!F78</f>
        <v>6.4541666666666622</v>
      </c>
      <c r="BB78" s="7">
        <f>Weather!G78</f>
        <v>173.64305555555555</v>
      </c>
      <c r="BC78" s="7">
        <f>Weather!H78</f>
        <v>20.174999999999997</v>
      </c>
      <c r="BD78" s="7">
        <f>Weather!I78</f>
        <v>127.04305555555555</v>
      </c>
      <c r="BE78" s="7">
        <f>Weather!J78</f>
        <v>35.574999999999996</v>
      </c>
      <c r="BF78" s="7">
        <f>Weather!K78</f>
        <v>83.376388888888897</v>
      </c>
      <c r="BG78" s="7">
        <f>Weather!L78</f>
        <v>53.908333333333317</v>
      </c>
      <c r="BH78" s="7">
        <f>Weather!M78</f>
        <v>50.724999999999987</v>
      </c>
      <c r="BI78" s="7">
        <f>Weather!N78</f>
        <v>83.256944444444414</v>
      </c>
      <c r="BJ78" s="7">
        <f>Weather!O78</f>
        <v>25.983333333333327</v>
      </c>
      <c r="BK78" s="7">
        <f>Weather!P78</f>
        <v>120.51527777777777</v>
      </c>
      <c r="BL78" s="7">
        <f>Weather!Q78</f>
        <v>8.125</v>
      </c>
      <c r="BM78" s="7">
        <f>Weather!R78</f>
        <v>164.65694444444446</v>
      </c>
      <c r="BN78" s="1">
        <f t="shared" si="27"/>
        <v>0</v>
      </c>
      <c r="BO78" s="1">
        <f t="shared" si="27"/>
        <v>0</v>
      </c>
      <c r="BP78" s="1">
        <f t="shared" si="27"/>
        <v>0</v>
      </c>
      <c r="BQ78" s="1">
        <f t="shared" si="27"/>
        <v>0</v>
      </c>
      <c r="BR78" s="1">
        <f t="shared" si="27"/>
        <v>1</v>
      </c>
      <c r="BS78" s="1">
        <f t="shared" si="27"/>
        <v>0</v>
      </c>
      <c r="BT78" s="1">
        <f t="shared" si="27"/>
        <v>0</v>
      </c>
      <c r="BU78" s="1">
        <f t="shared" si="27"/>
        <v>0</v>
      </c>
      <c r="BV78" s="1">
        <f t="shared" si="27"/>
        <v>0</v>
      </c>
      <c r="BW78" s="1">
        <f t="shared" si="27"/>
        <v>0</v>
      </c>
      <c r="BX78" s="1">
        <f t="shared" si="27"/>
        <v>0</v>
      </c>
      <c r="BY78" s="1">
        <f t="shared" si="27"/>
        <v>0</v>
      </c>
      <c r="BZ78" s="1">
        <f t="shared" si="27"/>
        <v>1</v>
      </c>
      <c r="CA78" s="1">
        <f t="shared" si="27"/>
        <v>0</v>
      </c>
      <c r="CB78" s="1">
        <f t="shared" si="27"/>
        <v>1</v>
      </c>
      <c r="CC78" s="1">
        <f t="shared" si="23"/>
        <v>77</v>
      </c>
      <c r="CD78" s="1">
        <f t="shared" si="17"/>
        <v>31</v>
      </c>
      <c r="CE78" s="1">
        <v>20</v>
      </c>
      <c r="CF78" s="1">
        <v>1</v>
      </c>
      <c r="CG78" s="1">
        <v>0.5</v>
      </c>
      <c r="CH78" s="1">
        <v>0.75</v>
      </c>
      <c r="CI78" s="1">
        <v>0</v>
      </c>
      <c r="CJ78" s="1">
        <f t="shared" si="30"/>
        <v>110.96111111111111</v>
      </c>
      <c r="CK78" s="1">
        <f t="shared" si="30"/>
        <v>3.2270833333333311</v>
      </c>
      <c r="CL78" s="1">
        <f t="shared" si="30"/>
        <v>86.821527777777774</v>
      </c>
      <c r="CM78" s="1">
        <f t="shared" si="30"/>
        <v>10.087499999999999</v>
      </c>
      <c r="CN78" s="1">
        <f t="shared" si="30"/>
        <v>63.521527777777777</v>
      </c>
      <c r="CO78" s="1">
        <f t="shared" si="30"/>
        <v>17.787499999999998</v>
      </c>
      <c r="CP78" s="1">
        <f t="shared" si="28"/>
        <v>41.688194444444449</v>
      </c>
      <c r="CQ78" s="1">
        <f t="shared" si="28"/>
        <v>26.954166666666659</v>
      </c>
      <c r="CR78" s="1">
        <f t="shared" si="24"/>
        <v>25.362499999999994</v>
      </c>
      <c r="CS78" s="1">
        <f t="shared" si="24"/>
        <v>41.628472222222207</v>
      </c>
      <c r="CT78" s="1">
        <f t="shared" si="24"/>
        <v>12.991666666666664</v>
      </c>
      <c r="CU78" s="1">
        <f t="shared" si="24"/>
        <v>60.257638888888884</v>
      </c>
      <c r="CV78" s="1">
        <f t="shared" si="24"/>
        <v>4.0625</v>
      </c>
      <c r="CW78" s="1">
        <f t="shared" si="24"/>
        <v>82.328472222222231</v>
      </c>
      <c r="CX78" s="1">
        <f t="shared" si="31"/>
        <v>166.44166666666666</v>
      </c>
      <c r="CY78" s="1">
        <f t="shared" si="31"/>
        <v>4.8406249999999966</v>
      </c>
      <c r="CZ78" s="1">
        <f t="shared" si="31"/>
        <v>130.23229166666667</v>
      </c>
      <c r="DA78" s="1">
        <f t="shared" si="31"/>
        <v>15.131249999999998</v>
      </c>
      <c r="DB78" s="1">
        <f t="shared" si="31"/>
        <v>95.282291666666666</v>
      </c>
      <c r="DC78" s="1">
        <f t="shared" si="31"/>
        <v>26.681249999999999</v>
      </c>
      <c r="DD78" s="1">
        <f t="shared" si="29"/>
        <v>62.532291666666673</v>
      </c>
      <c r="DE78" s="1">
        <f t="shared" si="29"/>
        <v>40.431249999999991</v>
      </c>
      <c r="DF78" s="1">
        <f t="shared" si="25"/>
        <v>38.043749999999989</v>
      </c>
      <c r="DG78" s="1">
        <f t="shared" si="25"/>
        <v>62.442708333333314</v>
      </c>
      <c r="DH78" s="1">
        <f t="shared" si="25"/>
        <v>19.487499999999997</v>
      </c>
      <c r="DI78" s="1">
        <f t="shared" si="25"/>
        <v>90.386458333333323</v>
      </c>
      <c r="DJ78" s="1">
        <f t="shared" si="25"/>
        <v>6.09375</v>
      </c>
      <c r="DK78" s="1">
        <f t="shared" si="25"/>
        <v>123.49270833333335</v>
      </c>
      <c r="DL78" s="24">
        <v>547384.67999999993</v>
      </c>
      <c r="DM78" s="25">
        <v>1165.3899999999999</v>
      </c>
      <c r="DN78" s="24"/>
      <c r="DO78" s="25"/>
      <c r="DP78" s="25"/>
      <c r="DQ78" s="25"/>
      <c r="DR78" s="25"/>
      <c r="DS78" s="25"/>
      <c r="DT78" s="25"/>
      <c r="DU78" s="25"/>
      <c r="DV78" s="25"/>
    </row>
    <row r="79" spans="1:126" x14ac:dyDescent="0.25">
      <c r="A79" s="252">
        <v>44348</v>
      </c>
      <c r="B79" s="253">
        <f t="shared" si="18"/>
        <v>2021</v>
      </c>
      <c r="C79" s="253">
        <f t="shared" si="19"/>
        <v>6</v>
      </c>
      <c r="D79" s="254">
        <v>43713536.892255127</v>
      </c>
      <c r="E79" s="254">
        <f ca="1">IFERROR(VLOOKUP($B79-1,CDM!$L$7:$T$18,2,FALSE)/12,0)+IFERROR(VLOOKUP($B79,CDM!$L$36:$T$46,2,FALSE)/24,0)+IFERROR(VLOOKUP($B79,CDM!$L$36:$T$46,2,FALSE)/2*$C79/78,0)</f>
        <v>2443490.5419811667</v>
      </c>
      <c r="F79" s="254">
        <f ca="1">D79+E79</f>
        <v>46157027.434236296</v>
      </c>
      <c r="G79" s="255">
        <v>55404</v>
      </c>
      <c r="H79" s="254">
        <v>9587962.8296610471</v>
      </c>
      <c r="I79" s="254">
        <f ca="1">IFERROR(VLOOKUP($B79-1,CDM!$L$7:$T$18,3,FALSE)/12,0)+IFERROR(VLOOKUP($B79,CDM!$L$36:$T$46,3,FALSE)/24,0)+IFERROR(VLOOKUP($B79,CDM!$L$36:$T$46,3,FALSE)/2*$C79/78,0)</f>
        <v>571476.76448640239</v>
      </c>
      <c r="J79" s="254">
        <f ca="1">H79+I79</f>
        <v>10159439.594147449</v>
      </c>
      <c r="K79" s="256">
        <v>4270</v>
      </c>
      <c r="L79" s="4">
        <v>24562188.53065829</v>
      </c>
      <c r="M79" s="257">
        <f ca="1">IFERROR(VLOOKUP($B79-1,CDM!$L$7:$T$18,4,FALSE)/12,0)+IFERROR(VLOOKUP($B79,CDM!$L$36:$T$46,4,FALSE)/24,0)+IFERROR(VLOOKUP($B79,CDM!$L$36:$T$46,4,FALSE)/2*$C79/78,0)</f>
        <v>716951.22573087632</v>
      </c>
      <c r="N79" s="254">
        <f ca="1">L79+M79</f>
        <v>25279139.756389167</v>
      </c>
      <c r="O79" s="4">
        <v>69109.299999999988</v>
      </c>
      <c r="P79" s="256">
        <v>537</v>
      </c>
      <c r="Q79" s="256">
        <v>6382156.0224160412</v>
      </c>
      <c r="R79" s="256">
        <f ca="1">IFERROR(VLOOKUP($B79-1,CDM!$L$7:$T$18,5,FALSE)/12,0)+IFERROR(VLOOKUP($B79,CDM!$L$36:$T$46,5,FALSE)/24,0)+IFERROR(VLOOKUP($B79,CDM!$L$36:$T$46,5,FALSE)/2*$C79/78,0)</f>
        <v>865957.29344089958</v>
      </c>
      <c r="S79" s="256">
        <f ca="1">Q79+R79</f>
        <v>7248113.315856941</v>
      </c>
      <c r="T79" s="256">
        <v>14217.419999999998</v>
      </c>
      <c r="U79" s="256">
        <v>17</v>
      </c>
      <c r="V79" s="256">
        <v>3068568</v>
      </c>
      <c r="W79" s="256">
        <f ca="1">IFERROR(VLOOKUP($B79-1,CDM!$L$7:$T$18,6,FALSE)/12,0)+IFERROR(VLOOKUP($B79,CDM!$L$36:$T$46,6,FALSE)/24,0)+IFERROR(VLOOKUP($B79,CDM!$L$36:$T$46,6,FALSE)/2*$C79/78,0)</f>
        <v>26824.252262844897</v>
      </c>
      <c r="X79" s="256">
        <f ca="1">V79+W79</f>
        <v>3095392.2522628447</v>
      </c>
      <c r="Y79" s="256">
        <v>5985.84</v>
      </c>
      <c r="Z79" s="256">
        <v>1</v>
      </c>
      <c r="AA79" s="4">
        <v>353367.51756721607</v>
      </c>
      <c r="AB79" s="4">
        <v>1026.1960165975104</v>
      </c>
      <c r="AC79" s="256">
        <v>14024</v>
      </c>
      <c r="AD79" s="256">
        <v>2285.94</v>
      </c>
      <c r="AE79" s="256">
        <v>0</v>
      </c>
      <c r="AF79" s="256">
        <v>19</v>
      </c>
      <c r="AG79" s="4">
        <v>217583</v>
      </c>
      <c r="AH79" s="4">
        <v>251</v>
      </c>
      <c r="AI79" s="28">
        <f>Economic!H81</f>
        <v>817265.5</v>
      </c>
      <c r="AJ79" s="28">
        <f>Economic!I81</f>
        <v>634181.69999999995</v>
      </c>
      <c r="AK79" s="28">
        <f>Economic!J81</f>
        <v>64910</v>
      </c>
      <c r="AL79" s="28">
        <f>Economic!K81</f>
        <v>802518</v>
      </c>
      <c r="AM79" s="28">
        <f>Economic!L81</f>
        <v>620093</v>
      </c>
      <c r="AN79" s="28">
        <f>Economic!M81</f>
        <v>24138</v>
      </c>
      <c r="AO79" s="28">
        <f>Economic!D81</f>
        <v>7245.3</v>
      </c>
      <c r="AP79" s="28">
        <f>Economic!E81</f>
        <v>7293</v>
      </c>
      <c r="AQ79" s="28">
        <f>Economic!F81</f>
        <v>203.9</v>
      </c>
      <c r="AR79" s="28">
        <f>Economic!G81</f>
        <v>207.1</v>
      </c>
      <c r="AS79" s="28">
        <f>Economic!N81</f>
        <v>785.60000000000036</v>
      </c>
      <c r="AT79" s="28">
        <f>Economic!O81</f>
        <v>794.5</v>
      </c>
      <c r="AU79" s="28">
        <f>Economic!P81</f>
        <v>13.599999999999994</v>
      </c>
      <c r="AV79" s="28">
        <f>Economic!Q81</f>
        <v>13.199999999999989</v>
      </c>
      <c r="AW79" s="28">
        <f>Economic!R81</f>
        <v>47323.5</v>
      </c>
      <c r="AX79" s="28">
        <f>Economic!S81</f>
        <v>-6066</v>
      </c>
      <c r="AY79" s="7">
        <f>Weather!D79</f>
        <v>20.055833333333332</v>
      </c>
      <c r="AZ79" s="7">
        <f>Weather!E79</f>
        <v>36.066666666666677</v>
      </c>
      <c r="BA79" s="7">
        <f>Weather!F79</f>
        <v>37.74166666666666</v>
      </c>
      <c r="BB79" s="7">
        <f>Weather!G79</f>
        <v>14.254166666666677</v>
      </c>
      <c r="BC79" s="7">
        <f>Weather!H79</f>
        <v>75.92916666666666</v>
      </c>
      <c r="BD79" s="7">
        <f>Weather!I79</f>
        <v>3.2708333333333357</v>
      </c>
      <c r="BE79" s="7">
        <f>Weather!J79</f>
        <v>124.94583333333331</v>
      </c>
      <c r="BF79" s="7">
        <f>Weather!K79</f>
        <v>0</v>
      </c>
      <c r="BG79" s="7">
        <f>Weather!L79</f>
        <v>181.67499999999995</v>
      </c>
      <c r="BH79" s="7">
        <f>Weather!M79</f>
        <v>0</v>
      </c>
      <c r="BI79" s="7">
        <f>Weather!N79</f>
        <v>241.67500000000001</v>
      </c>
      <c r="BJ79" s="7">
        <f>Weather!O79</f>
        <v>0</v>
      </c>
      <c r="BK79" s="7">
        <f>Weather!P79</f>
        <v>301.67500000000001</v>
      </c>
      <c r="BL79" s="7">
        <f>Weather!Q79</f>
        <v>0</v>
      </c>
      <c r="BM79" s="7">
        <f>Weather!R79</f>
        <v>361.67500000000001</v>
      </c>
      <c r="BN79" s="1">
        <f t="shared" ref="BN79:CB94" si="34">BN67</f>
        <v>0</v>
      </c>
      <c r="BO79" s="1">
        <f t="shared" si="34"/>
        <v>0</v>
      </c>
      <c r="BP79" s="1">
        <f t="shared" si="34"/>
        <v>0</v>
      </c>
      <c r="BQ79" s="1">
        <f t="shared" si="34"/>
        <v>0</v>
      </c>
      <c r="BR79" s="1">
        <f t="shared" si="34"/>
        <v>0</v>
      </c>
      <c r="BS79" s="1">
        <f t="shared" si="34"/>
        <v>1</v>
      </c>
      <c r="BT79" s="1">
        <f t="shared" si="34"/>
        <v>0</v>
      </c>
      <c r="BU79" s="1">
        <f t="shared" si="34"/>
        <v>0</v>
      </c>
      <c r="BV79" s="1">
        <f t="shared" si="34"/>
        <v>0</v>
      </c>
      <c r="BW79" s="1">
        <f t="shared" si="34"/>
        <v>0</v>
      </c>
      <c r="BX79" s="1">
        <f t="shared" si="34"/>
        <v>0</v>
      </c>
      <c r="BY79" s="1">
        <f t="shared" si="34"/>
        <v>0</v>
      </c>
      <c r="BZ79" s="1">
        <f t="shared" si="34"/>
        <v>0</v>
      </c>
      <c r="CA79" s="1">
        <f t="shared" si="34"/>
        <v>0</v>
      </c>
      <c r="CB79" s="1">
        <f t="shared" si="34"/>
        <v>0</v>
      </c>
      <c r="CC79" s="1">
        <f t="shared" si="23"/>
        <v>78</v>
      </c>
      <c r="CD79" s="1">
        <f t="shared" si="17"/>
        <v>30</v>
      </c>
      <c r="CE79" s="1">
        <v>22</v>
      </c>
      <c r="CF79" s="1">
        <v>1</v>
      </c>
      <c r="CG79" s="1">
        <v>0.5</v>
      </c>
      <c r="CH79" s="1">
        <v>0.75</v>
      </c>
      <c r="CI79" s="1">
        <v>0</v>
      </c>
      <c r="CJ79" s="1">
        <f t="shared" si="30"/>
        <v>18.033333333333339</v>
      </c>
      <c r="CK79" s="1">
        <f t="shared" si="30"/>
        <v>18.87083333333333</v>
      </c>
      <c r="CL79" s="1">
        <f t="shared" si="30"/>
        <v>7.1270833333333385</v>
      </c>
      <c r="CM79" s="1">
        <f t="shared" si="30"/>
        <v>37.96458333333333</v>
      </c>
      <c r="CN79" s="1">
        <f t="shared" si="30"/>
        <v>1.6354166666666679</v>
      </c>
      <c r="CO79" s="1">
        <f t="shared" si="30"/>
        <v>62.472916666666656</v>
      </c>
      <c r="CP79" s="1">
        <f t="shared" si="28"/>
        <v>0</v>
      </c>
      <c r="CQ79" s="1">
        <f t="shared" si="28"/>
        <v>90.837499999999977</v>
      </c>
      <c r="CR79" s="1">
        <f t="shared" si="24"/>
        <v>0</v>
      </c>
      <c r="CS79" s="1">
        <f t="shared" si="24"/>
        <v>120.83750000000001</v>
      </c>
      <c r="CT79" s="1">
        <f t="shared" si="24"/>
        <v>0</v>
      </c>
      <c r="CU79" s="1">
        <f t="shared" si="24"/>
        <v>150.83750000000001</v>
      </c>
      <c r="CV79" s="1">
        <f t="shared" si="24"/>
        <v>0</v>
      </c>
      <c r="CW79" s="1">
        <f t="shared" si="24"/>
        <v>180.83750000000001</v>
      </c>
      <c r="CX79" s="1">
        <f t="shared" si="31"/>
        <v>27.050000000000008</v>
      </c>
      <c r="CY79" s="1">
        <f t="shared" si="31"/>
        <v>28.306249999999995</v>
      </c>
      <c r="CZ79" s="1">
        <f t="shared" si="31"/>
        <v>10.690625000000008</v>
      </c>
      <c r="DA79" s="1">
        <f t="shared" si="31"/>
        <v>56.946874999999991</v>
      </c>
      <c r="DB79" s="1">
        <f t="shared" si="31"/>
        <v>2.4531250000000018</v>
      </c>
      <c r="DC79" s="1">
        <f t="shared" si="31"/>
        <v>93.70937499999998</v>
      </c>
      <c r="DD79" s="1">
        <f t="shared" si="29"/>
        <v>0</v>
      </c>
      <c r="DE79" s="1">
        <f t="shared" si="29"/>
        <v>136.25624999999997</v>
      </c>
      <c r="DF79" s="1">
        <f t="shared" si="25"/>
        <v>0</v>
      </c>
      <c r="DG79" s="1">
        <f t="shared" si="25"/>
        <v>181.25625000000002</v>
      </c>
      <c r="DH79" s="1">
        <f t="shared" si="25"/>
        <v>0</v>
      </c>
      <c r="DI79" s="1">
        <f t="shared" si="25"/>
        <v>226.25625000000002</v>
      </c>
      <c r="DJ79" s="1">
        <f t="shared" si="25"/>
        <v>0</v>
      </c>
      <c r="DK79" s="1">
        <f t="shared" si="25"/>
        <v>271.25625000000002</v>
      </c>
      <c r="DL79" s="24">
        <v>557775.06000000006</v>
      </c>
      <c r="DM79" s="25">
        <v>1223.74</v>
      </c>
      <c r="DN79" s="24"/>
      <c r="DO79" s="25"/>
      <c r="DP79" s="25"/>
      <c r="DQ79" s="25"/>
      <c r="DR79" s="25"/>
      <c r="DS79" s="25"/>
      <c r="DT79" s="25"/>
      <c r="DU79" s="25"/>
      <c r="DV79" s="25"/>
    </row>
    <row r="80" spans="1:126" x14ac:dyDescent="0.25">
      <c r="A80" s="252">
        <v>44378</v>
      </c>
      <c r="B80" s="253">
        <f t="shared" si="18"/>
        <v>2021</v>
      </c>
      <c r="C80" s="253">
        <f t="shared" si="19"/>
        <v>7</v>
      </c>
      <c r="D80" s="254">
        <v>47047389.679963157</v>
      </c>
      <c r="E80" s="254">
        <f ca="1">IFERROR(VLOOKUP($B80-1,CDM!$L$7:$T$18,2,FALSE)/12,0)+IFERROR(VLOOKUP($B80,CDM!$L$36:$T$46,2,FALSE)/24,0)+IFERROR(VLOOKUP($B80,CDM!$L$36:$T$46,2,FALSE)/2*$C80/78,0)</f>
        <v>2444100.9586729934</v>
      </c>
      <c r="F80" s="254">
        <f ca="1">D80+E80</f>
        <v>49491490.638636149</v>
      </c>
      <c r="G80" s="255">
        <v>55324</v>
      </c>
      <c r="H80" s="254">
        <v>10358324.258117903</v>
      </c>
      <c r="I80" s="254">
        <f ca="1">IFERROR(VLOOKUP($B80-1,CDM!$L$7:$T$18,3,FALSE)/12,0)+IFERROR(VLOOKUP($B80,CDM!$L$36:$T$46,3,FALSE)/24,0)+IFERROR(VLOOKUP($B80,CDM!$L$36:$T$46,3,FALSE)/2*$C80/78,0)</f>
        <v>573292.8955966715</v>
      </c>
      <c r="J80" s="254">
        <f ca="1">H80+I80</f>
        <v>10931617.153714575</v>
      </c>
      <c r="K80" s="256">
        <v>4273</v>
      </c>
      <c r="L80" s="4">
        <v>25551058.954685975</v>
      </c>
      <c r="M80" s="257">
        <f ca="1">IFERROR(VLOOKUP($B80-1,CDM!$L$7:$T$18,4,FALSE)/12,0)+IFERROR(VLOOKUP($B80,CDM!$L$36:$T$46,4,FALSE)/24,0)+IFERROR(VLOOKUP($B80,CDM!$L$36:$T$46,4,FALSE)/2*$C80/78,0)</f>
        <v>722407.42486516677</v>
      </c>
      <c r="N80" s="254">
        <f ca="1">L80+M80</f>
        <v>26273466.379551142</v>
      </c>
      <c r="O80" s="4">
        <v>67554.58</v>
      </c>
      <c r="P80" s="256">
        <v>538</v>
      </c>
      <c r="Q80" s="256">
        <v>6381407.9570662873</v>
      </c>
      <c r="R80" s="256">
        <f ca="1">IFERROR(VLOOKUP($B80-1,CDM!$L$7:$T$18,5,FALSE)/12,0)+IFERROR(VLOOKUP($B80,CDM!$L$36:$T$46,5,FALSE)/24,0)+IFERROR(VLOOKUP($B80,CDM!$L$36:$T$46,5,FALSE)/2*$C80/78,0)</f>
        <v>866787.64792666165</v>
      </c>
      <c r="S80" s="256">
        <f ca="1">Q80+R80</f>
        <v>7248195.6049929485</v>
      </c>
      <c r="T80" s="256">
        <v>15863.15</v>
      </c>
      <c r="U80" s="256">
        <v>17</v>
      </c>
      <c r="V80" s="256">
        <v>3205744</v>
      </c>
      <c r="W80" s="256">
        <f ca="1">IFERROR(VLOOKUP($B80-1,CDM!$L$7:$T$18,6,FALSE)/12,0)+IFERROR(VLOOKUP($B80,CDM!$L$36:$T$46,6,FALSE)/24,0)+IFERROR(VLOOKUP($B80,CDM!$L$36:$T$46,6,FALSE)/2*$C80/78,0)</f>
        <v>27113.696777205823</v>
      </c>
      <c r="X80" s="256">
        <f ca="1">V80+W80</f>
        <v>3232857.6967772059</v>
      </c>
      <c r="Y80" s="256">
        <v>7051.8</v>
      </c>
      <c r="Z80" s="256">
        <v>1</v>
      </c>
      <c r="AA80" s="4">
        <v>353367.51756721607</v>
      </c>
      <c r="AB80" s="4">
        <v>1026.1960165975104</v>
      </c>
      <c r="AC80" s="256">
        <v>14024</v>
      </c>
      <c r="AD80" s="256">
        <v>2285.94</v>
      </c>
      <c r="AE80" s="256">
        <v>0</v>
      </c>
      <c r="AF80" s="256">
        <v>19</v>
      </c>
      <c r="AG80" s="4">
        <v>209359</v>
      </c>
      <c r="AH80" s="4">
        <v>251</v>
      </c>
      <c r="AI80" s="28">
        <f>Economic!H82</f>
        <v>817265.5</v>
      </c>
      <c r="AJ80" s="28">
        <f>Economic!I82</f>
        <v>634181.69999999995</v>
      </c>
      <c r="AK80" s="28">
        <f>Economic!J82</f>
        <v>64910</v>
      </c>
      <c r="AL80" s="28">
        <f>Economic!K82</f>
        <v>819564</v>
      </c>
      <c r="AM80" s="28">
        <f>Economic!L82</f>
        <v>639578</v>
      </c>
      <c r="AN80" s="28">
        <f>Economic!M82</f>
        <v>25974</v>
      </c>
      <c r="AO80" s="28">
        <f>Economic!D82</f>
        <v>7311.4</v>
      </c>
      <c r="AP80" s="28">
        <f>Economic!E82</f>
        <v>7391.8</v>
      </c>
      <c r="AQ80" s="28">
        <f>Economic!F82</f>
        <v>205.7</v>
      </c>
      <c r="AR80" s="28">
        <f>Economic!G82</f>
        <v>208.8</v>
      </c>
      <c r="AS80" s="28">
        <f>Economic!N82</f>
        <v>667.89999999999964</v>
      </c>
      <c r="AT80" s="28">
        <f>Economic!O82</f>
        <v>679.90000000000055</v>
      </c>
      <c r="AU80" s="28">
        <f>Economic!P82</f>
        <v>10.099999999999994</v>
      </c>
      <c r="AV80" s="28">
        <f>Economic!Q82</f>
        <v>9.3000000000000114</v>
      </c>
      <c r="AW80" s="28">
        <f>Economic!R82</f>
        <v>47323.5</v>
      </c>
      <c r="AX80" s="28">
        <f>Economic!S82</f>
        <v>17046</v>
      </c>
      <c r="AY80" s="7">
        <f>Weather!D80</f>
        <v>20.221774193548388</v>
      </c>
      <c r="AZ80" s="7">
        <f>Weather!E80</f>
        <v>25.516666666666669</v>
      </c>
      <c r="BA80" s="7">
        <f>Weather!F80</f>
        <v>32.391666666666652</v>
      </c>
      <c r="BB80" s="7">
        <f>Weather!G80</f>
        <v>5.3541666666666572</v>
      </c>
      <c r="BC80" s="7">
        <f>Weather!H80</f>
        <v>74.229166666666615</v>
      </c>
      <c r="BD80" s="7">
        <f>Weather!I80</f>
        <v>0.74583333333333002</v>
      </c>
      <c r="BE80" s="7">
        <f>Weather!J80</f>
        <v>131.62083333333331</v>
      </c>
      <c r="BF80" s="7">
        <f>Weather!K80</f>
        <v>0</v>
      </c>
      <c r="BG80" s="7">
        <f>Weather!L80</f>
        <v>192.87499999999994</v>
      </c>
      <c r="BH80" s="7">
        <f>Weather!M80</f>
        <v>0</v>
      </c>
      <c r="BI80" s="7">
        <f>Weather!N80</f>
        <v>254.87499999999994</v>
      </c>
      <c r="BJ80" s="7">
        <f>Weather!O80</f>
        <v>0</v>
      </c>
      <c r="BK80" s="7">
        <f>Weather!P80</f>
        <v>316.87499999999994</v>
      </c>
      <c r="BL80" s="7">
        <f>Weather!Q80</f>
        <v>0</v>
      </c>
      <c r="BM80" s="7">
        <f>Weather!R80</f>
        <v>378.87499999999994</v>
      </c>
      <c r="BN80" s="1">
        <f t="shared" si="34"/>
        <v>0</v>
      </c>
      <c r="BO80" s="1">
        <f t="shared" si="34"/>
        <v>0</v>
      </c>
      <c r="BP80" s="1">
        <f t="shared" si="34"/>
        <v>0</v>
      </c>
      <c r="BQ80" s="1">
        <f t="shared" si="34"/>
        <v>0</v>
      </c>
      <c r="BR80" s="1">
        <f t="shared" si="34"/>
        <v>0</v>
      </c>
      <c r="BS80" s="1">
        <f t="shared" si="34"/>
        <v>0</v>
      </c>
      <c r="BT80" s="1">
        <f t="shared" si="34"/>
        <v>1</v>
      </c>
      <c r="BU80" s="1">
        <f t="shared" si="34"/>
        <v>0</v>
      </c>
      <c r="BV80" s="1">
        <f t="shared" si="34"/>
        <v>0</v>
      </c>
      <c r="BW80" s="1">
        <f t="shared" si="34"/>
        <v>0</v>
      </c>
      <c r="BX80" s="1">
        <f t="shared" si="34"/>
        <v>0</v>
      </c>
      <c r="BY80" s="1">
        <f t="shared" si="34"/>
        <v>0</v>
      </c>
      <c r="BZ80" s="1">
        <f t="shared" si="34"/>
        <v>0</v>
      </c>
      <c r="CA80" s="1">
        <f t="shared" si="34"/>
        <v>0</v>
      </c>
      <c r="CB80" s="1">
        <f t="shared" si="34"/>
        <v>0</v>
      </c>
      <c r="CC80" s="1">
        <f t="shared" si="23"/>
        <v>79</v>
      </c>
      <c r="CD80" s="1">
        <f t="shared" si="17"/>
        <v>31</v>
      </c>
      <c r="CE80" s="1">
        <v>21</v>
      </c>
      <c r="CF80" s="1">
        <v>1</v>
      </c>
      <c r="CG80" s="1">
        <v>0.5</v>
      </c>
      <c r="CH80" s="1">
        <v>0.75</v>
      </c>
      <c r="CI80" s="1">
        <v>0</v>
      </c>
      <c r="CJ80" s="1">
        <f t="shared" si="30"/>
        <v>12.758333333333335</v>
      </c>
      <c r="CK80" s="1">
        <f t="shared" si="30"/>
        <v>16.195833333333326</v>
      </c>
      <c r="CL80" s="1">
        <f t="shared" si="30"/>
        <v>2.6770833333333286</v>
      </c>
      <c r="CM80" s="1">
        <f t="shared" si="30"/>
        <v>37.114583333333307</v>
      </c>
      <c r="CN80" s="1">
        <f t="shared" si="30"/>
        <v>0.37291666666666501</v>
      </c>
      <c r="CO80" s="1">
        <f t="shared" si="30"/>
        <v>65.810416666666654</v>
      </c>
      <c r="CP80" s="1">
        <f t="shared" si="28"/>
        <v>0</v>
      </c>
      <c r="CQ80" s="1">
        <f t="shared" si="28"/>
        <v>96.437499999999972</v>
      </c>
      <c r="CR80" s="1">
        <f t="shared" si="24"/>
        <v>0</v>
      </c>
      <c r="CS80" s="1">
        <f t="shared" si="24"/>
        <v>127.43749999999997</v>
      </c>
      <c r="CT80" s="1">
        <f t="shared" si="24"/>
        <v>0</v>
      </c>
      <c r="CU80" s="1">
        <f t="shared" si="24"/>
        <v>158.43749999999997</v>
      </c>
      <c r="CV80" s="1">
        <f t="shared" si="24"/>
        <v>0</v>
      </c>
      <c r="CW80" s="1">
        <f t="shared" si="24"/>
        <v>189.43749999999997</v>
      </c>
      <c r="CX80" s="1">
        <f t="shared" si="31"/>
        <v>19.137500000000003</v>
      </c>
      <c r="CY80" s="1">
        <f t="shared" si="31"/>
        <v>24.293749999999989</v>
      </c>
      <c r="CZ80" s="1">
        <f t="shared" si="31"/>
        <v>4.0156249999999929</v>
      </c>
      <c r="DA80" s="1">
        <f t="shared" si="31"/>
        <v>55.671874999999957</v>
      </c>
      <c r="DB80" s="1">
        <f t="shared" si="31"/>
        <v>0.55937499999999751</v>
      </c>
      <c r="DC80" s="1">
        <f t="shared" si="31"/>
        <v>98.715624999999989</v>
      </c>
      <c r="DD80" s="1">
        <f t="shared" si="29"/>
        <v>0</v>
      </c>
      <c r="DE80" s="1">
        <f t="shared" si="29"/>
        <v>144.65624999999994</v>
      </c>
      <c r="DF80" s="1">
        <f t="shared" si="25"/>
        <v>0</v>
      </c>
      <c r="DG80" s="1">
        <f t="shared" si="25"/>
        <v>191.15624999999994</v>
      </c>
      <c r="DH80" s="1">
        <f t="shared" si="25"/>
        <v>0</v>
      </c>
      <c r="DI80" s="1">
        <f t="shared" si="25"/>
        <v>237.65624999999994</v>
      </c>
      <c r="DJ80" s="1">
        <f t="shared" si="25"/>
        <v>0</v>
      </c>
      <c r="DK80" s="1">
        <f t="shared" si="25"/>
        <v>284.15624999999994</v>
      </c>
      <c r="DL80" s="24">
        <v>608466.51</v>
      </c>
      <c r="DM80" s="25">
        <v>1232.06</v>
      </c>
      <c r="DN80" s="24"/>
      <c r="DO80" s="25"/>
      <c r="DP80" s="25"/>
      <c r="DQ80" s="25"/>
      <c r="DR80" s="25"/>
      <c r="DS80" s="25"/>
      <c r="DT80" s="25"/>
      <c r="DU80" s="25"/>
      <c r="DV80" s="25"/>
    </row>
    <row r="81" spans="1:126" x14ac:dyDescent="0.25">
      <c r="A81" s="252">
        <v>44409</v>
      </c>
      <c r="B81" s="253">
        <f t="shared" si="18"/>
        <v>2021</v>
      </c>
      <c r="C81" s="253">
        <f t="shared" si="19"/>
        <v>8</v>
      </c>
      <c r="D81" s="254">
        <v>52851836.160633028</v>
      </c>
      <c r="E81" s="254">
        <f ca="1">IFERROR(VLOOKUP($B81-1,CDM!$L$7:$T$18,2,FALSE)/12,0)+IFERROR(VLOOKUP($B81,CDM!$L$36:$T$46,2,FALSE)/24,0)+IFERROR(VLOOKUP($B81,CDM!$L$36:$T$46,2,FALSE)/2*$C81/78,0)</f>
        <v>2444711.37536482</v>
      </c>
      <c r="F81" s="254">
        <f ca="1">D81+E81</f>
        <v>55296547.535997845</v>
      </c>
      <c r="G81" s="255">
        <v>55241</v>
      </c>
      <c r="H81" s="254">
        <v>11530835.803471135</v>
      </c>
      <c r="I81" s="254">
        <f ca="1">IFERROR(VLOOKUP($B81-1,CDM!$L$7:$T$18,3,FALSE)/12,0)+IFERROR(VLOOKUP($B81,CDM!$L$36:$T$46,3,FALSE)/24,0)+IFERROR(VLOOKUP($B81,CDM!$L$36:$T$46,3,FALSE)/2*$C81/78,0)</f>
        <v>575109.02670694061</v>
      </c>
      <c r="J81" s="254">
        <f ca="1">H81+I81</f>
        <v>12105944.830178076</v>
      </c>
      <c r="K81" s="256">
        <v>4277</v>
      </c>
      <c r="L81" s="4">
        <v>28650378.844364963</v>
      </c>
      <c r="M81" s="257">
        <f ca="1">IFERROR(VLOOKUP($B81-1,CDM!$L$7:$T$18,4,FALSE)/12,0)+IFERROR(VLOOKUP($B81,CDM!$L$36:$T$46,4,FALSE)/24,0)+IFERROR(VLOOKUP($B81,CDM!$L$36:$T$46,4,FALSE)/2*$C81/78,0)</f>
        <v>727863.62399945711</v>
      </c>
      <c r="N81" s="254">
        <f ca="1">L81+M81</f>
        <v>29378242.468364421</v>
      </c>
      <c r="O81" s="4">
        <v>73268.13</v>
      </c>
      <c r="P81" s="256">
        <v>539</v>
      </c>
      <c r="Q81" s="256">
        <v>7499460.5497037359</v>
      </c>
      <c r="R81" s="256">
        <f ca="1">IFERROR(VLOOKUP($B81-1,CDM!$L$7:$T$18,5,FALSE)/12,0)+IFERROR(VLOOKUP($B81,CDM!$L$36:$T$46,5,FALSE)/24,0)+IFERROR(VLOOKUP($B81,CDM!$L$36:$T$46,5,FALSE)/2*$C81/78,0)</f>
        <v>867618.00241242372</v>
      </c>
      <c r="S81" s="256">
        <f ca="1">Q81+R81</f>
        <v>8367078.5521161593</v>
      </c>
      <c r="T81" s="256">
        <v>16684.54</v>
      </c>
      <c r="U81" s="256">
        <v>17</v>
      </c>
      <c r="V81" s="256">
        <v>3545099</v>
      </c>
      <c r="W81" s="256">
        <f ca="1">IFERROR(VLOOKUP($B81-1,CDM!$L$7:$T$18,6,FALSE)/12,0)+IFERROR(VLOOKUP($B81,CDM!$L$36:$T$46,6,FALSE)/24,0)+IFERROR(VLOOKUP($B81,CDM!$L$36:$T$46,6,FALSE)/2*$C81/78,0)</f>
        <v>27403.14129156675</v>
      </c>
      <c r="X81" s="256">
        <f ca="1">V81+W81</f>
        <v>3572502.1412915667</v>
      </c>
      <c r="Y81" s="256">
        <v>6362.16</v>
      </c>
      <c r="Z81" s="256">
        <v>1</v>
      </c>
      <c r="AA81" s="4">
        <v>353367.51756721607</v>
      </c>
      <c r="AB81" s="4">
        <v>1026.3665760480756</v>
      </c>
      <c r="AC81" s="256">
        <v>14024</v>
      </c>
      <c r="AD81" s="256">
        <v>2212.1999999999998</v>
      </c>
      <c r="AE81" s="256">
        <v>0</v>
      </c>
      <c r="AF81" s="256">
        <v>19</v>
      </c>
      <c r="AG81" s="4">
        <v>218214</v>
      </c>
      <c r="AH81" s="4">
        <v>252</v>
      </c>
      <c r="AI81" s="28">
        <f>Economic!H83</f>
        <v>817265.5</v>
      </c>
      <c r="AJ81" s="28">
        <f>Economic!I83</f>
        <v>634181.69999999995</v>
      </c>
      <c r="AK81" s="28">
        <f>Economic!J83</f>
        <v>64910</v>
      </c>
      <c r="AL81" s="28">
        <f>Economic!K83</f>
        <v>819564</v>
      </c>
      <c r="AM81" s="28">
        <f>Economic!L83</f>
        <v>639578</v>
      </c>
      <c r="AN81" s="28">
        <f>Economic!M83</f>
        <v>25974</v>
      </c>
      <c r="AO81" s="28">
        <f>Economic!D83</f>
        <v>7400.1</v>
      </c>
      <c r="AP81" s="28">
        <f>Economic!E83</f>
        <v>7475.2</v>
      </c>
      <c r="AQ81" s="28">
        <f>Economic!F83</f>
        <v>208.6</v>
      </c>
      <c r="AR81" s="28">
        <f>Economic!G83</f>
        <v>209.6</v>
      </c>
      <c r="AS81" s="28">
        <f>Economic!N83</f>
        <v>521</v>
      </c>
      <c r="AT81" s="28">
        <f>Economic!O83</f>
        <v>524.30000000000018</v>
      </c>
      <c r="AU81" s="28">
        <f>Economic!P83</f>
        <v>5.9000000000000057</v>
      </c>
      <c r="AV81" s="28">
        <f>Economic!Q83</f>
        <v>4.0999999999999943</v>
      </c>
      <c r="AW81" s="28">
        <f>Economic!R83</f>
        <v>47323.5</v>
      </c>
      <c r="AX81" s="28">
        <f>Economic!S83</f>
        <v>17046</v>
      </c>
      <c r="AY81" s="7">
        <f>Weather!D81</f>
        <v>22.58266129032258</v>
      </c>
      <c r="AZ81" s="7">
        <f>Weather!E81</f>
        <v>8.524999999999995</v>
      </c>
      <c r="BA81" s="7">
        <f>Weather!F81</f>
        <v>88.587499999999991</v>
      </c>
      <c r="BB81" s="7">
        <f>Weather!G81</f>
        <v>0.69166666666666643</v>
      </c>
      <c r="BC81" s="7">
        <f>Weather!H81</f>
        <v>142.75416666666666</v>
      </c>
      <c r="BD81" s="7">
        <f>Weather!I81</f>
        <v>0</v>
      </c>
      <c r="BE81" s="7">
        <f>Weather!J81</f>
        <v>204.06249999999994</v>
      </c>
      <c r="BF81" s="7">
        <f>Weather!K81</f>
        <v>0</v>
      </c>
      <c r="BG81" s="7">
        <f>Weather!L81</f>
        <v>266.0625</v>
      </c>
      <c r="BH81" s="7">
        <f>Weather!M81</f>
        <v>0</v>
      </c>
      <c r="BI81" s="7">
        <f>Weather!N81</f>
        <v>328.06249999999989</v>
      </c>
      <c r="BJ81" s="7">
        <f>Weather!O81</f>
        <v>0</v>
      </c>
      <c r="BK81" s="7">
        <f>Weather!P81</f>
        <v>390.06249999999989</v>
      </c>
      <c r="BL81" s="7">
        <f>Weather!Q81</f>
        <v>0</v>
      </c>
      <c r="BM81" s="7">
        <f>Weather!R81</f>
        <v>452.06249999999989</v>
      </c>
      <c r="BN81" s="1">
        <f t="shared" si="34"/>
        <v>0</v>
      </c>
      <c r="BO81" s="1">
        <f t="shared" si="34"/>
        <v>0</v>
      </c>
      <c r="BP81" s="1">
        <f t="shared" si="34"/>
        <v>0</v>
      </c>
      <c r="BQ81" s="1">
        <f t="shared" si="34"/>
        <v>0</v>
      </c>
      <c r="BR81" s="1">
        <f t="shared" si="34"/>
        <v>0</v>
      </c>
      <c r="BS81" s="1">
        <f t="shared" si="34"/>
        <v>0</v>
      </c>
      <c r="BT81" s="1">
        <f t="shared" si="34"/>
        <v>0</v>
      </c>
      <c r="BU81" s="1">
        <f t="shared" si="34"/>
        <v>1</v>
      </c>
      <c r="BV81" s="1">
        <f t="shared" si="34"/>
        <v>0</v>
      </c>
      <c r="BW81" s="1">
        <f t="shared" si="34"/>
        <v>0</v>
      </c>
      <c r="BX81" s="1">
        <f t="shared" si="34"/>
        <v>0</v>
      </c>
      <c r="BY81" s="1">
        <f t="shared" si="34"/>
        <v>0</v>
      </c>
      <c r="BZ81" s="1">
        <f t="shared" si="34"/>
        <v>0</v>
      </c>
      <c r="CA81" s="1">
        <f t="shared" si="34"/>
        <v>0</v>
      </c>
      <c r="CB81" s="1">
        <f t="shared" si="34"/>
        <v>0</v>
      </c>
      <c r="CC81" s="1">
        <f t="shared" si="23"/>
        <v>80</v>
      </c>
      <c r="CD81" s="1">
        <f t="shared" si="17"/>
        <v>31</v>
      </c>
      <c r="CE81" s="1">
        <v>20</v>
      </c>
      <c r="CF81" s="1">
        <v>1</v>
      </c>
      <c r="CG81" s="1">
        <v>0.5</v>
      </c>
      <c r="CH81" s="1">
        <v>0.75</v>
      </c>
      <c r="CI81" s="1">
        <v>0</v>
      </c>
      <c r="CJ81" s="1">
        <f t="shared" si="30"/>
        <v>4.2624999999999975</v>
      </c>
      <c r="CK81" s="1">
        <f t="shared" si="30"/>
        <v>44.293749999999996</v>
      </c>
      <c r="CL81" s="1">
        <f t="shared" si="30"/>
        <v>0.34583333333333321</v>
      </c>
      <c r="CM81" s="1">
        <f t="shared" si="30"/>
        <v>71.377083333333331</v>
      </c>
      <c r="CN81" s="1">
        <f t="shared" si="30"/>
        <v>0</v>
      </c>
      <c r="CO81" s="1">
        <f t="shared" si="30"/>
        <v>102.03124999999997</v>
      </c>
      <c r="CP81" s="1">
        <f t="shared" si="28"/>
        <v>0</v>
      </c>
      <c r="CQ81" s="1">
        <f t="shared" si="28"/>
        <v>133.03125</v>
      </c>
      <c r="CR81" s="1">
        <f t="shared" si="24"/>
        <v>0</v>
      </c>
      <c r="CS81" s="1">
        <f t="shared" si="24"/>
        <v>164.03124999999994</v>
      </c>
      <c r="CT81" s="1">
        <f t="shared" si="24"/>
        <v>0</v>
      </c>
      <c r="CU81" s="1">
        <f t="shared" si="24"/>
        <v>195.03124999999994</v>
      </c>
      <c r="CV81" s="1">
        <f t="shared" si="24"/>
        <v>0</v>
      </c>
      <c r="CW81" s="1">
        <f t="shared" si="24"/>
        <v>226.03124999999994</v>
      </c>
      <c r="CX81" s="1">
        <f t="shared" si="31"/>
        <v>6.3937499999999963</v>
      </c>
      <c r="CY81" s="1">
        <f t="shared" si="31"/>
        <v>66.440624999999997</v>
      </c>
      <c r="CZ81" s="1">
        <f t="shared" si="31"/>
        <v>0.51874999999999982</v>
      </c>
      <c r="DA81" s="1">
        <f t="shared" si="31"/>
        <v>107.065625</v>
      </c>
      <c r="DB81" s="1">
        <f t="shared" si="31"/>
        <v>0</v>
      </c>
      <c r="DC81" s="1">
        <f t="shared" si="31"/>
        <v>153.04687499999994</v>
      </c>
      <c r="DD81" s="1">
        <f t="shared" si="29"/>
        <v>0</v>
      </c>
      <c r="DE81" s="1">
        <f t="shared" si="29"/>
        <v>199.546875</v>
      </c>
      <c r="DF81" s="1">
        <f t="shared" si="25"/>
        <v>0</v>
      </c>
      <c r="DG81" s="1">
        <f t="shared" si="25"/>
        <v>246.04687499999991</v>
      </c>
      <c r="DH81" s="1">
        <f t="shared" si="25"/>
        <v>0</v>
      </c>
      <c r="DI81" s="1">
        <f t="shared" si="25"/>
        <v>292.54687499999989</v>
      </c>
      <c r="DJ81" s="1">
        <f t="shared" si="25"/>
        <v>0</v>
      </c>
      <c r="DK81" s="1">
        <f t="shared" si="25"/>
        <v>339.04687499999989</v>
      </c>
      <c r="DL81" s="24">
        <v>596795.34</v>
      </c>
      <c r="DM81" s="25">
        <v>1288.6500000000001</v>
      </c>
      <c r="DN81" s="24"/>
      <c r="DO81" s="25"/>
      <c r="DP81" s="25"/>
      <c r="DQ81" s="25"/>
      <c r="DR81" s="25"/>
      <c r="DS81" s="25"/>
      <c r="DT81" s="25"/>
      <c r="DU81" s="25"/>
      <c r="DV81" s="25"/>
    </row>
    <row r="82" spans="1:126" x14ac:dyDescent="0.25">
      <c r="A82" s="252">
        <v>44440</v>
      </c>
      <c r="B82" s="253">
        <f t="shared" si="18"/>
        <v>2021</v>
      </c>
      <c r="C82" s="253">
        <f t="shared" si="19"/>
        <v>9</v>
      </c>
      <c r="D82" s="254">
        <v>45399151.967572339</v>
      </c>
      <c r="E82" s="254">
        <f ca="1">IFERROR(VLOOKUP($B82-1,CDM!$L$7:$T$18,2,FALSE)/12,0)+IFERROR(VLOOKUP($B82,CDM!$L$36:$T$46,2,FALSE)/24,0)+IFERROR(VLOOKUP($B82,CDM!$L$36:$T$46,2,FALSE)/2*$C82/78,0)</f>
        <v>2445321.7920566467</v>
      </c>
      <c r="F82" s="254">
        <f ca="1">D82+E82</f>
        <v>47844473.759628989</v>
      </c>
      <c r="G82" s="255">
        <v>55270</v>
      </c>
      <c r="H82" s="254">
        <v>9369627.7703919634</v>
      </c>
      <c r="I82" s="254">
        <f ca="1">IFERROR(VLOOKUP($B82-1,CDM!$L$7:$T$18,3,FALSE)/12,0)+IFERROR(VLOOKUP($B82,CDM!$L$36:$T$46,3,FALSE)/24,0)+IFERROR(VLOOKUP($B82,CDM!$L$36:$T$46,3,FALSE)/2*$C82/78,0)</f>
        <v>576925.15781720961</v>
      </c>
      <c r="J82" s="254">
        <f ca="1">H82+I82</f>
        <v>9946552.9282091726</v>
      </c>
      <c r="K82" s="256">
        <v>4283</v>
      </c>
      <c r="L82" s="4">
        <v>21411469.050524954</v>
      </c>
      <c r="M82" s="257">
        <f ca="1">IFERROR(VLOOKUP($B82-1,CDM!$L$7:$T$18,4,FALSE)/12,0)+IFERROR(VLOOKUP($B82,CDM!$L$36:$T$46,4,FALSE)/24,0)+IFERROR(VLOOKUP($B82,CDM!$L$36:$T$46,4,FALSE)/2*$C82/78,0)</f>
        <v>733319.82313374744</v>
      </c>
      <c r="N82" s="254">
        <f ca="1">L82+M82</f>
        <v>22144788.873658702</v>
      </c>
      <c r="O82" s="4">
        <v>58928.14</v>
      </c>
      <c r="P82" s="256">
        <v>538</v>
      </c>
      <c r="Q82" s="256">
        <v>5541807.9203949142</v>
      </c>
      <c r="R82" s="256">
        <f ca="1">IFERROR(VLOOKUP($B82-1,CDM!$L$7:$T$18,5,FALSE)/12,0)+IFERROR(VLOOKUP($B82,CDM!$L$36:$T$46,5,FALSE)/24,0)+IFERROR(VLOOKUP($B82,CDM!$L$36:$T$46,5,FALSE)/2*$C82/78,0)</f>
        <v>868448.3568981858</v>
      </c>
      <c r="S82" s="256">
        <f ca="1">Q82+R82</f>
        <v>6410256.2772931</v>
      </c>
      <c r="T82" s="256">
        <v>10256.48</v>
      </c>
      <c r="U82" s="256">
        <v>17</v>
      </c>
      <c r="V82" s="256">
        <v>3231896</v>
      </c>
      <c r="W82" s="256">
        <f ca="1">IFERROR(VLOOKUP($B82-1,CDM!$L$7:$T$18,6,FALSE)/12,0)+IFERROR(VLOOKUP($B82,CDM!$L$36:$T$46,6,FALSE)/24,0)+IFERROR(VLOOKUP($B82,CDM!$L$36:$T$46,6,FALSE)/2*$C82/78,0)</f>
        <v>27692.585805927676</v>
      </c>
      <c r="X82" s="256">
        <f ca="1">V82+W82</f>
        <v>3259588.5858059279</v>
      </c>
      <c r="Y82" s="256">
        <v>6200.04</v>
      </c>
      <c r="Z82" s="256">
        <v>1</v>
      </c>
      <c r="AA82" s="4">
        <v>353367.51756721607</v>
      </c>
      <c r="AB82" s="4">
        <v>1027.1716268421806</v>
      </c>
      <c r="AC82" s="256">
        <v>14035</v>
      </c>
      <c r="AD82" s="256">
        <v>2285.94</v>
      </c>
      <c r="AE82" s="256">
        <v>0</v>
      </c>
      <c r="AF82" s="256">
        <v>19</v>
      </c>
      <c r="AG82" s="4">
        <v>218476</v>
      </c>
      <c r="AH82" s="4">
        <v>252</v>
      </c>
      <c r="AI82" s="28">
        <f>Economic!H84</f>
        <v>817265.5</v>
      </c>
      <c r="AJ82" s="28">
        <f>Economic!I84</f>
        <v>634181.69999999995</v>
      </c>
      <c r="AK82" s="28">
        <f>Economic!J84</f>
        <v>64910</v>
      </c>
      <c r="AL82" s="28">
        <f>Economic!K84</f>
        <v>819564</v>
      </c>
      <c r="AM82" s="28">
        <f>Economic!L84</f>
        <v>639578</v>
      </c>
      <c r="AN82" s="28">
        <f>Economic!M84</f>
        <v>25974</v>
      </c>
      <c r="AO82" s="28">
        <f>Economic!D84</f>
        <v>7474.5</v>
      </c>
      <c r="AP82" s="28">
        <f>Economic!E84</f>
        <v>7503.2</v>
      </c>
      <c r="AQ82" s="28">
        <f>Economic!F84</f>
        <v>212.9</v>
      </c>
      <c r="AR82" s="28">
        <f>Economic!G84</f>
        <v>211.6</v>
      </c>
      <c r="AS82" s="28">
        <f>Economic!N84</f>
        <v>433.69999999999982</v>
      </c>
      <c r="AT82" s="28">
        <f>Economic!O84</f>
        <v>427.69999999999982</v>
      </c>
      <c r="AU82" s="28">
        <f>Economic!P84</f>
        <v>4.0999999999999943</v>
      </c>
      <c r="AV82" s="28">
        <f>Economic!Q84</f>
        <v>2.5</v>
      </c>
      <c r="AW82" s="28">
        <f>Economic!R84</f>
        <v>47323.5</v>
      </c>
      <c r="AX82" s="28">
        <f>Economic!S84</f>
        <v>17046</v>
      </c>
      <c r="AY82" s="7">
        <f>Weather!D82</f>
        <v>16.975833333333334</v>
      </c>
      <c r="AZ82" s="7">
        <f>Weather!E82</f>
        <v>93.104166666666671</v>
      </c>
      <c r="BA82" s="7">
        <f>Weather!F82</f>
        <v>2.37916666666667</v>
      </c>
      <c r="BB82" s="7">
        <f>Weather!G82</f>
        <v>45.679166666666674</v>
      </c>
      <c r="BC82" s="7">
        <f>Weather!H82</f>
        <v>14.954166666666683</v>
      </c>
      <c r="BD82" s="7">
        <f>Weather!I82</f>
        <v>20.066666666666677</v>
      </c>
      <c r="BE82" s="7">
        <f>Weather!J82</f>
        <v>49.341666666666683</v>
      </c>
      <c r="BF82" s="7">
        <f>Weather!K82</f>
        <v>5.9833333333333432</v>
      </c>
      <c r="BG82" s="7">
        <f>Weather!L82</f>
        <v>95.25833333333334</v>
      </c>
      <c r="BH82" s="7">
        <f>Weather!M82</f>
        <v>0.28333333333333321</v>
      </c>
      <c r="BI82" s="7">
        <f>Weather!N82</f>
        <v>149.55833333333328</v>
      </c>
      <c r="BJ82" s="7">
        <f>Weather!O82</f>
        <v>0</v>
      </c>
      <c r="BK82" s="7">
        <f>Weather!P82</f>
        <v>209.27500000000001</v>
      </c>
      <c r="BL82" s="7">
        <f>Weather!Q82</f>
        <v>0</v>
      </c>
      <c r="BM82" s="7">
        <f>Weather!R82</f>
        <v>269.27499999999998</v>
      </c>
      <c r="BN82" s="1">
        <f t="shared" si="34"/>
        <v>0</v>
      </c>
      <c r="BO82" s="1">
        <f t="shared" si="34"/>
        <v>0</v>
      </c>
      <c r="BP82" s="1">
        <f t="shared" si="34"/>
        <v>0</v>
      </c>
      <c r="BQ82" s="1">
        <f t="shared" si="34"/>
        <v>0</v>
      </c>
      <c r="BR82" s="1">
        <f t="shared" si="34"/>
        <v>0</v>
      </c>
      <c r="BS82" s="1">
        <f t="shared" si="34"/>
        <v>0</v>
      </c>
      <c r="BT82" s="1">
        <f t="shared" si="34"/>
        <v>0</v>
      </c>
      <c r="BU82" s="1">
        <f t="shared" si="34"/>
        <v>0</v>
      </c>
      <c r="BV82" s="1">
        <f t="shared" si="34"/>
        <v>1</v>
      </c>
      <c r="BW82" s="1">
        <f t="shared" si="34"/>
        <v>0</v>
      </c>
      <c r="BX82" s="1">
        <f t="shared" si="34"/>
        <v>0</v>
      </c>
      <c r="BY82" s="1">
        <f t="shared" si="34"/>
        <v>0</v>
      </c>
      <c r="BZ82" s="1">
        <f t="shared" si="34"/>
        <v>0</v>
      </c>
      <c r="CA82" s="1">
        <f t="shared" si="34"/>
        <v>1</v>
      </c>
      <c r="CB82" s="1">
        <f t="shared" si="34"/>
        <v>1</v>
      </c>
      <c r="CC82" s="1">
        <f t="shared" si="23"/>
        <v>81</v>
      </c>
      <c r="CD82" s="1">
        <f t="shared" si="17"/>
        <v>30</v>
      </c>
      <c r="CE82" s="1">
        <v>20</v>
      </c>
      <c r="CF82" s="1">
        <v>1</v>
      </c>
      <c r="CG82" s="1">
        <v>0.5</v>
      </c>
      <c r="CH82" s="1">
        <v>0.75</v>
      </c>
      <c r="CI82" s="1">
        <v>0</v>
      </c>
      <c r="CJ82" s="1">
        <f t="shared" si="30"/>
        <v>46.552083333333336</v>
      </c>
      <c r="CK82" s="1">
        <f t="shared" si="30"/>
        <v>1.189583333333335</v>
      </c>
      <c r="CL82" s="1">
        <f t="shared" si="30"/>
        <v>22.839583333333337</v>
      </c>
      <c r="CM82" s="1">
        <f t="shared" si="30"/>
        <v>7.4770833333333417</v>
      </c>
      <c r="CN82" s="1">
        <f t="shared" si="30"/>
        <v>10.033333333333339</v>
      </c>
      <c r="CO82" s="1">
        <f t="shared" si="30"/>
        <v>24.670833333333341</v>
      </c>
      <c r="CP82" s="1">
        <f t="shared" si="28"/>
        <v>2.9916666666666716</v>
      </c>
      <c r="CQ82" s="1">
        <f t="shared" si="28"/>
        <v>47.62916666666667</v>
      </c>
      <c r="CR82" s="1">
        <f t="shared" si="24"/>
        <v>0.14166666666666661</v>
      </c>
      <c r="CS82" s="1">
        <f t="shared" si="24"/>
        <v>74.77916666666664</v>
      </c>
      <c r="CT82" s="1">
        <f t="shared" si="24"/>
        <v>0</v>
      </c>
      <c r="CU82" s="1">
        <f t="shared" si="24"/>
        <v>104.6375</v>
      </c>
      <c r="CV82" s="1">
        <f t="shared" si="24"/>
        <v>0</v>
      </c>
      <c r="CW82" s="1">
        <f t="shared" si="24"/>
        <v>134.63749999999999</v>
      </c>
      <c r="CX82" s="1">
        <f t="shared" si="31"/>
        <v>69.828125</v>
      </c>
      <c r="CY82" s="1">
        <f t="shared" si="31"/>
        <v>1.7843750000000025</v>
      </c>
      <c r="CZ82" s="1">
        <f t="shared" si="31"/>
        <v>34.259375000000006</v>
      </c>
      <c r="DA82" s="1">
        <f t="shared" si="31"/>
        <v>11.215625000000014</v>
      </c>
      <c r="DB82" s="1">
        <f t="shared" si="31"/>
        <v>15.050000000000008</v>
      </c>
      <c r="DC82" s="1">
        <f t="shared" si="31"/>
        <v>37.006250000000009</v>
      </c>
      <c r="DD82" s="1">
        <f t="shared" si="29"/>
        <v>4.4875000000000078</v>
      </c>
      <c r="DE82" s="1">
        <f t="shared" si="29"/>
        <v>71.443750000000009</v>
      </c>
      <c r="DF82" s="1">
        <f t="shared" si="25"/>
        <v>0.21249999999999991</v>
      </c>
      <c r="DG82" s="1">
        <f t="shared" si="25"/>
        <v>112.16874999999996</v>
      </c>
      <c r="DH82" s="1">
        <f t="shared" si="25"/>
        <v>0</v>
      </c>
      <c r="DI82" s="1">
        <f t="shared" si="25"/>
        <v>156.95625000000001</v>
      </c>
      <c r="DJ82" s="1">
        <f t="shared" si="25"/>
        <v>0</v>
      </c>
      <c r="DK82" s="1">
        <f t="shared" si="25"/>
        <v>201.95624999999998</v>
      </c>
      <c r="DL82" s="24">
        <v>585041.29</v>
      </c>
      <c r="DM82" s="25">
        <v>1126.1099999999999</v>
      </c>
      <c r="DN82" s="24"/>
      <c r="DO82" s="25"/>
      <c r="DP82" s="25"/>
      <c r="DQ82" s="25"/>
      <c r="DR82" s="25"/>
      <c r="DS82" s="25"/>
      <c r="DT82" s="25"/>
      <c r="DU82" s="25"/>
      <c r="DV82" s="25"/>
    </row>
    <row r="83" spans="1:126" x14ac:dyDescent="0.25">
      <c r="A83" s="252">
        <v>44470</v>
      </c>
      <c r="B83" s="253">
        <f t="shared" si="18"/>
        <v>2021</v>
      </c>
      <c r="C83" s="253">
        <f t="shared" si="19"/>
        <v>10</v>
      </c>
      <c r="D83" s="254">
        <v>34380551.359517463</v>
      </c>
      <c r="E83" s="254">
        <f ca="1">IFERROR(VLOOKUP($B83-1,CDM!$L$7:$T$18,2,FALSE)/12,0)+IFERROR(VLOOKUP($B83,CDM!$L$36:$T$46,2,FALSE)/24,0)+IFERROR(VLOOKUP($B83,CDM!$L$36:$T$46,2,FALSE)/2*$C83/78,0)</f>
        <v>2445932.2087484729</v>
      </c>
      <c r="F83" s="254">
        <f ca="1">D83+E83</f>
        <v>36826483.568265937</v>
      </c>
      <c r="G83" s="255">
        <v>55179</v>
      </c>
      <c r="H83" s="254">
        <v>9055184.2546245717</v>
      </c>
      <c r="I83" s="254">
        <f ca="1">IFERROR(VLOOKUP($B83-1,CDM!$L$7:$T$18,3,FALSE)/12,0)+IFERROR(VLOOKUP($B83,CDM!$L$36:$T$46,3,FALSE)/24,0)+IFERROR(VLOOKUP($B83,CDM!$L$36:$T$46,3,FALSE)/2*$C83/78,0)</f>
        <v>578741.28892747872</v>
      </c>
      <c r="J83" s="254">
        <f ca="1">H83+I83</f>
        <v>9633925.5435520504</v>
      </c>
      <c r="K83" s="256">
        <v>4282</v>
      </c>
      <c r="L83" s="4">
        <v>25810496.735273238</v>
      </c>
      <c r="M83" s="257">
        <f ca="1">IFERROR(VLOOKUP($B83-1,CDM!$L$7:$T$18,4,FALSE)/12,0)+IFERROR(VLOOKUP($B83,CDM!$L$36:$T$46,4,FALSE)/24,0)+IFERROR(VLOOKUP($B83,CDM!$L$36:$T$46,4,FALSE)/2*$C83/78,0)</f>
        <v>738776.02226803778</v>
      </c>
      <c r="N83" s="254">
        <f ca="1">L83+M83</f>
        <v>26549272.757541277</v>
      </c>
      <c r="O83" s="4">
        <v>68363.69</v>
      </c>
      <c r="P83" s="256">
        <v>540</v>
      </c>
      <c r="Q83" s="256">
        <v>6021058.876073407</v>
      </c>
      <c r="R83" s="256">
        <f ca="1">IFERROR(VLOOKUP($B83-1,CDM!$L$7:$T$18,5,FALSE)/12,0)+IFERROR(VLOOKUP($B83,CDM!$L$36:$T$46,5,FALSE)/24,0)+IFERROR(VLOOKUP($B83,CDM!$L$36:$T$46,5,FALSE)/2*$C83/78,0)</f>
        <v>869278.71138394775</v>
      </c>
      <c r="S83" s="256">
        <f ca="1">Q83+R83</f>
        <v>6890337.5874573551</v>
      </c>
      <c r="T83" s="256">
        <v>16547.82</v>
      </c>
      <c r="U83" s="256">
        <v>17</v>
      </c>
      <c r="V83" s="256">
        <v>3100549</v>
      </c>
      <c r="W83" s="256">
        <f ca="1">IFERROR(VLOOKUP($B83-1,CDM!$L$7:$T$18,6,FALSE)/12,0)+IFERROR(VLOOKUP($B83,CDM!$L$36:$T$46,6,FALSE)/24,0)+IFERROR(VLOOKUP($B83,CDM!$L$36:$T$46,6,FALSE)/2*$C83/78,0)</f>
        <v>27982.030320288599</v>
      </c>
      <c r="X83" s="256">
        <f ca="1">V83+W83</f>
        <v>3128531.0303202886</v>
      </c>
      <c r="Y83" s="256">
        <v>6759.48</v>
      </c>
      <c r="Z83" s="256">
        <v>1</v>
      </c>
      <c r="AA83" s="4">
        <v>353367.51756721607</v>
      </c>
      <c r="AB83" s="4">
        <v>1031.7091858634997</v>
      </c>
      <c r="AC83" s="256">
        <v>14097</v>
      </c>
      <c r="AD83" s="256">
        <v>2212.1999999999998</v>
      </c>
      <c r="AE83" s="256">
        <v>0</v>
      </c>
      <c r="AF83" s="256">
        <v>19</v>
      </c>
      <c r="AG83" s="4">
        <v>221773</v>
      </c>
      <c r="AH83" s="4">
        <v>252</v>
      </c>
      <c r="AI83" s="28">
        <f>Economic!H85</f>
        <v>817265.5</v>
      </c>
      <c r="AJ83" s="28">
        <f>Economic!I85</f>
        <v>634181.69999999995</v>
      </c>
      <c r="AK83" s="28">
        <f>Economic!J85</f>
        <v>64910</v>
      </c>
      <c r="AL83" s="28">
        <f>Economic!K85</f>
        <v>838397</v>
      </c>
      <c r="AM83" s="28">
        <f>Economic!L85</f>
        <v>654360</v>
      </c>
      <c r="AN83" s="28">
        <f>Economic!M85</f>
        <v>27605</v>
      </c>
      <c r="AO83" s="28">
        <f>Economic!D85</f>
        <v>7529.4</v>
      </c>
      <c r="AP83" s="28">
        <f>Economic!E85</f>
        <v>7538.5</v>
      </c>
      <c r="AQ83" s="28">
        <f>Economic!F85</f>
        <v>217.2</v>
      </c>
      <c r="AR83" s="28">
        <f>Economic!G85</f>
        <v>214.5</v>
      </c>
      <c r="AS83" s="28">
        <f>Economic!N85</f>
        <v>370.29999999999927</v>
      </c>
      <c r="AT83" s="28">
        <f>Economic!O85</f>
        <v>354.39999999999964</v>
      </c>
      <c r="AU83" s="28">
        <f>Economic!P85</f>
        <v>3.8999999999999773</v>
      </c>
      <c r="AV83" s="28">
        <f>Economic!Q85</f>
        <v>2.5</v>
      </c>
      <c r="AW83" s="28">
        <f>Economic!R85</f>
        <v>47323.5</v>
      </c>
      <c r="AX83" s="28">
        <f>Economic!S85</f>
        <v>18833</v>
      </c>
      <c r="AY83" s="7">
        <f>Weather!D83</f>
        <v>13.09072580645161</v>
      </c>
      <c r="AZ83" s="7">
        <f>Weather!E83</f>
        <v>214.18749999999994</v>
      </c>
      <c r="BA83" s="7">
        <f>Weather!F83</f>
        <v>0</v>
      </c>
      <c r="BB83" s="7">
        <f>Weather!G83</f>
        <v>153.47499999999997</v>
      </c>
      <c r="BC83" s="7">
        <f>Weather!H83</f>
        <v>1.2875000000000014</v>
      </c>
      <c r="BD83" s="7">
        <f>Weather!I83</f>
        <v>108.43333333333334</v>
      </c>
      <c r="BE83" s="7">
        <f>Weather!J83</f>
        <v>18.245833333333344</v>
      </c>
      <c r="BF83" s="7">
        <f>Weather!K83</f>
        <v>72.749999999999986</v>
      </c>
      <c r="BG83" s="7">
        <f>Weather!L83</f>
        <v>44.562500000000028</v>
      </c>
      <c r="BH83" s="7">
        <f>Weather!M83</f>
        <v>44.166666666666664</v>
      </c>
      <c r="BI83" s="7">
        <f>Weather!N83</f>
        <v>77.979166666666686</v>
      </c>
      <c r="BJ83" s="7">
        <f>Weather!O83</f>
        <v>22.266666666666666</v>
      </c>
      <c r="BK83" s="7">
        <f>Weather!P83</f>
        <v>118.07916666666668</v>
      </c>
      <c r="BL83" s="7">
        <f>Weather!Q83</f>
        <v>6.6666666666666643</v>
      </c>
      <c r="BM83" s="7">
        <f>Weather!R83</f>
        <v>164.47916666666669</v>
      </c>
      <c r="BN83" s="1">
        <f t="shared" si="34"/>
        <v>0</v>
      </c>
      <c r="BO83" s="1">
        <f t="shared" si="34"/>
        <v>0</v>
      </c>
      <c r="BP83" s="1">
        <f t="shared" si="34"/>
        <v>0</v>
      </c>
      <c r="BQ83" s="1">
        <f t="shared" si="34"/>
        <v>0</v>
      </c>
      <c r="BR83" s="1">
        <f t="shared" si="34"/>
        <v>0</v>
      </c>
      <c r="BS83" s="1">
        <f t="shared" si="34"/>
        <v>0</v>
      </c>
      <c r="BT83" s="1">
        <f t="shared" si="34"/>
        <v>0</v>
      </c>
      <c r="BU83" s="1">
        <f t="shared" si="34"/>
        <v>0</v>
      </c>
      <c r="BV83" s="1">
        <f t="shared" si="34"/>
        <v>0</v>
      </c>
      <c r="BW83" s="1">
        <f t="shared" si="34"/>
        <v>1</v>
      </c>
      <c r="BX83" s="1">
        <f t="shared" si="34"/>
        <v>0</v>
      </c>
      <c r="BY83" s="1">
        <f t="shared" si="34"/>
        <v>0</v>
      </c>
      <c r="BZ83" s="1">
        <f t="shared" si="34"/>
        <v>0</v>
      </c>
      <c r="CA83" s="1">
        <f t="shared" si="34"/>
        <v>1</v>
      </c>
      <c r="CB83" s="1">
        <f t="shared" si="34"/>
        <v>1</v>
      </c>
      <c r="CC83" s="1">
        <f t="shared" si="23"/>
        <v>82</v>
      </c>
      <c r="CD83" s="1">
        <f t="shared" si="17"/>
        <v>31</v>
      </c>
      <c r="CE83" s="1">
        <v>20</v>
      </c>
      <c r="CF83" s="1">
        <v>1</v>
      </c>
      <c r="CG83" s="1">
        <v>0.5</v>
      </c>
      <c r="CH83" s="1">
        <v>0.75</v>
      </c>
      <c r="CI83" s="1">
        <v>0</v>
      </c>
      <c r="CJ83" s="1">
        <f t="shared" si="30"/>
        <v>107.09374999999997</v>
      </c>
      <c r="CK83" s="1">
        <f t="shared" si="30"/>
        <v>0</v>
      </c>
      <c r="CL83" s="1">
        <f t="shared" si="30"/>
        <v>76.737499999999983</v>
      </c>
      <c r="CM83" s="1">
        <f t="shared" si="30"/>
        <v>0.64375000000000071</v>
      </c>
      <c r="CN83" s="1">
        <f t="shared" si="30"/>
        <v>54.216666666666669</v>
      </c>
      <c r="CO83" s="1">
        <f t="shared" si="30"/>
        <v>9.1229166666666721</v>
      </c>
      <c r="CP83" s="1">
        <f t="shared" si="28"/>
        <v>36.374999999999993</v>
      </c>
      <c r="CQ83" s="1">
        <f t="shared" si="28"/>
        <v>22.281250000000014</v>
      </c>
      <c r="CR83" s="1">
        <f t="shared" si="24"/>
        <v>22.083333333333332</v>
      </c>
      <c r="CS83" s="1">
        <f t="shared" si="24"/>
        <v>38.989583333333343</v>
      </c>
      <c r="CT83" s="1">
        <f t="shared" si="24"/>
        <v>11.133333333333333</v>
      </c>
      <c r="CU83" s="1">
        <f t="shared" si="24"/>
        <v>59.03958333333334</v>
      </c>
      <c r="CV83" s="1">
        <f t="shared" si="24"/>
        <v>3.3333333333333321</v>
      </c>
      <c r="CW83" s="1">
        <f t="shared" si="24"/>
        <v>82.239583333333343</v>
      </c>
      <c r="CX83" s="1">
        <f t="shared" si="31"/>
        <v>160.64062499999994</v>
      </c>
      <c r="CY83" s="1">
        <f t="shared" si="31"/>
        <v>0</v>
      </c>
      <c r="CZ83" s="1">
        <f t="shared" si="31"/>
        <v>115.10624999999997</v>
      </c>
      <c r="DA83" s="1">
        <f t="shared" si="31"/>
        <v>0.96562500000000107</v>
      </c>
      <c r="DB83" s="1">
        <f t="shared" si="31"/>
        <v>81.325000000000003</v>
      </c>
      <c r="DC83" s="1">
        <f t="shared" si="31"/>
        <v>13.684375000000008</v>
      </c>
      <c r="DD83" s="1">
        <f t="shared" si="29"/>
        <v>54.562499999999986</v>
      </c>
      <c r="DE83" s="1">
        <f t="shared" si="29"/>
        <v>33.421875000000021</v>
      </c>
      <c r="DF83" s="1">
        <f t="shared" si="25"/>
        <v>33.125</v>
      </c>
      <c r="DG83" s="1">
        <f t="shared" si="25"/>
        <v>58.484375000000014</v>
      </c>
      <c r="DH83" s="1">
        <f t="shared" si="25"/>
        <v>16.7</v>
      </c>
      <c r="DI83" s="1">
        <f t="shared" si="25"/>
        <v>88.559375000000017</v>
      </c>
      <c r="DJ83" s="1">
        <f t="shared" si="25"/>
        <v>4.9999999999999982</v>
      </c>
      <c r="DK83" s="1">
        <f t="shared" si="25"/>
        <v>123.35937500000001</v>
      </c>
      <c r="DL83" s="24">
        <v>563118.49</v>
      </c>
      <c r="DM83" s="25">
        <v>1061.0999999999999</v>
      </c>
      <c r="DN83" s="24"/>
      <c r="DO83" s="25"/>
      <c r="DP83" s="25"/>
      <c r="DQ83" s="25"/>
      <c r="DR83" s="25"/>
      <c r="DS83" s="25"/>
      <c r="DT83" s="25"/>
      <c r="DU83" s="25"/>
      <c r="DV83" s="25"/>
    </row>
    <row r="84" spans="1:126" x14ac:dyDescent="0.25">
      <c r="A84" s="252">
        <v>44501</v>
      </c>
      <c r="B84" s="253">
        <f t="shared" si="18"/>
        <v>2021</v>
      </c>
      <c r="C84" s="253">
        <f t="shared" si="19"/>
        <v>11</v>
      </c>
      <c r="D84" s="254">
        <v>37052967.813340038</v>
      </c>
      <c r="E84" s="254">
        <f ca="1">IFERROR(VLOOKUP($B84-1,CDM!$L$7:$T$18,2,FALSE)/12,0)+IFERROR(VLOOKUP($B84,CDM!$L$36:$T$46,2,FALSE)/24,0)+IFERROR(VLOOKUP($B84,CDM!$L$36:$T$46,2,FALSE)/2*$C84/78,0)</f>
        <v>2446542.6254402995</v>
      </c>
      <c r="F84" s="254">
        <f ca="1">D84+E84</f>
        <v>39499510.438780338</v>
      </c>
      <c r="G84" s="255">
        <v>55335</v>
      </c>
      <c r="H84" s="254">
        <v>9745018.3857941125</v>
      </c>
      <c r="I84" s="254">
        <f ca="1">IFERROR(VLOOKUP($B84-1,CDM!$L$7:$T$18,3,FALSE)/12,0)+IFERROR(VLOOKUP($B84,CDM!$L$36:$T$46,3,FALSE)/24,0)+IFERROR(VLOOKUP($B84,CDM!$L$36:$T$46,3,FALSE)/2*$C84/78,0)</f>
        <v>580557.42003774783</v>
      </c>
      <c r="J84" s="254">
        <f ca="1">H84+I84</f>
        <v>10325575.805831861</v>
      </c>
      <c r="K84" s="256">
        <v>4281</v>
      </c>
      <c r="L84" s="4">
        <v>25476310.197115671</v>
      </c>
      <c r="M84" s="257">
        <f ca="1">IFERROR(VLOOKUP($B84-1,CDM!$L$7:$T$18,4,FALSE)/12,0)+IFERROR(VLOOKUP($B84,CDM!$L$36:$T$46,4,FALSE)/24,0)+IFERROR(VLOOKUP($B84,CDM!$L$36:$T$46,4,FALSE)/2*$C84/78,0)</f>
        <v>744232.22140232811</v>
      </c>
      <c r="N84" s="254">
        <f ca="1">L84+M84</f>
        <v>26220542.418517999</v>
      </c>
      <c r="O84" s="4">
        <v>65222.960000000006</v>
      </c>
      <c r="P84" s="256">
        <v>541</v>
      </c>
      <c r="Q84" s="256">
        <v>5875535.9540332556</v>
      </c>
      <c r="R84" s="256">
        <f ca="1">IFERROR(VLOOKUP($B84-1,CDM!$L$7:$T$18,5,FALSE)/12,0)+IFERROR(VLOOKUP($B84,CDM!$L$36:$T$46,5,FALSE)/24,0)+IFERROR(VLOOKUP($B84,CDM!$L$36:$T$46,5,FALSE)/2*$C84/78,0)</f>
        <v>870109.06586970983</v>
      </c>
      <c r="S84" s="256">
        <f ca="1">Q84+R84</f>
        <v>6745645.0199029651</v>
      </c>
      <c r="T84" s="256">
        <v>17447.34</v>
      </c>
      <c r="U84" s="256">
        <v>17</v>
      </c>
      <c r="V84" s="256">
        <v>3042708</v>
      </c>
      <c r="W84" s="256">
        <f ca="1">IFERROR(VLOOKUP($B84-1,CDM!$L$7:$T$18,6,FALSE)/12,0)+IFERROR(VLOOKUP($B84,CDM!$L$36:$T$46,6,FALSE)/24,0)+IFERROR(VLOOKUP($B84,CDM!$L$36:$T$46,6,FALSE)/2*$C84/78,0)</f>
        <v>28271.474834649525</v>
      </c>
      <c r="X84" s="256">
        <f ca="1">V84+W84</f>
        <v>3070979.4748346494</v>
      </c>
      <c r="Y84" s="256">
        <v>5826.24</v>
      </c>
      <c r="Z84" s="256">
        <v>1</v>
      </c>
      <c r="AA84" s="4">
        <v>353367.51756721607</v>
      </c>
      <c r="AB84" s="4">
        <v>1031.5377385892118</v>
      </c>
      <c r="AC84" s="256">
        <v>14097</v>
      </c>
      <c r="AD84" s="256">
        <v>2285.94</v>
      </c>
      <c r="AE84" s="256">
        <v>0</v>
      </c>
      <c r="AF84" s="256">
        <v>19</v>
      </c>
      <c r="AG84" s="4">
        <v>221773</v>
      </c>
      <c r="AH84" s="4">
        <v>252</v>
      </c>
      <c r="AI84" s="28">
        <f>Economic!H86</f>
        <v>817265.5</v>
      </c>
      <c r="AJ84" s="28">
        <f>Economic!I86</f>
        <v>634181.69999999995</v>
      </c>
      <c r="AK84" s="28">
        <f>Economic!J86</f>
        <v>64910</v>
      </c>
      <c r="AL84" s="28">
        <f>Economic!K86</f>
        <v>838397</v>
      </c>
      <c r="AM84" s="28">
        <f>Economic!L86</f>
        <v>654360</v>
      </c>
      <c r="AN84" s="28">
        <f>Economic!M86</f>
        <v>27605</v>
      </c>
      <c r="AO84" s="28">
        <f>Economic!D86</f>
        <v>7592</v>
      </c>
      <c r="AP84" s="28">
        <f>Economic!E86</f>
        <v>7590.1</v>
      </c>
      <c r="AQ84" s="28">
        <f>Economic!F86</f>
        <v>222.6</v>
      </c>
      <c r="AR84" s="28">
        <f>Economic!G86</f>
        <v>220.2</v>
      </c>
      <c r="AS84" s="28">
        <f>Economic!N86</f>
        <v>349.5</v>
      </c>
      <c r="AT84" s="28">
        <f>Economic!O86</f>
        <v>334.90000000000055</v>
      </c>
      <c r="AU84" s="28">
        <f>Economic!P86</f>
        <v>8.4000000000000057</v>
      </c>
      <c r="AV84" s="28">
        <f>Economic!Q86</f>
        <v>8.5999999999999943</v>
      </c>
      <c r="AW84" s="28">
        <f>Economic!R86</f>
        <v>47323.5</v>
      </c>
      <c r="AX84" s="28">
        <f>Economic!S86</f>
        <v>18833</v>
      </c>
      <c r="AY84" s="7">
        <f>Weather!D84</f>
        <v>3.122913216011042</v>
      </c>
      <c r="AZ84" s="7">
        <f>Weather!E84</f>
        <v>506.31260351966881</v>
      </c>
      <c r="BA84" s="7">
        <f>Weather!F84</f>
        <v>0</v>
      </c>
      <c r="BB84" s="7">
        <f>Weather!G84</f>
        <v>446.3126035196687</v>
      </c>
      <c r="BC84" s="7">
        <f>Weather!H84</f>
        <v>0</v>
      </c>
      <c r="BD84" s="7">
        <f>Weather!I84</f>
        <v>386.3126035196687</v>
      </c>
      <c r="BE84" s="7">
        <f>Weather!J84</f>
        <v>0</v>
      </c>
      <c r="BF84" s="7">
        <f>Weather!K84</f>
        <v>326.31260351966864</v>
      </c>
      <c r="BG84" s="7">
        <f>Weather!L84</f>
        <v>0</v>
      </c>
      <c r="BH84" s="7">
        <f>Weather!M84</f>
        <v>266.31260351966876</v>
      </c>
      <c r="BI84" s="7">
        <f>Weather!N84</f>
        <v>0</v>
      </c>
      <c r="BJ84" s="7">
        <f>Weather!O84</f>
        <v>206.31260351966876</v>
      </c>
      <c r="BK84" s="7">
        <f>Weather!P84</f>
        <v>0</v>
      </c>
      <c r="BL84" s="7">
        <f>Weather!Q84</f>
        <v>148.50427018633536</v>
      </c>
      <c r="BM84" s="7">
        <f>Weather!R84</f>
        <v>2.1916666666666682</v>
      </c>
      <c r="BN84" s="1">
        <f t="shared" si="34"/>
        <v>0</v>
      </c>
      <c r="BO84" s="1">
        <f t="shared" si="34"/>
        <v>0</v>
      </c>
      <c r="BP84" s="1">
        <f t="shared" si="34"/>
        <v>0</v>
      </c>
      <c r="BQ84" s="1">
        <f t="shared" si="34"/>
        <v>0</v>
      </c>
      <c r="BR84" s="1">
        <f t="shared" si="34"/>
        <v>0</v>
      </c>
      <c r="BS84" s="1">
        <f t="shared" si="34"/>
        <v>0</v>
      </c>
      <c r="BT84" s="1">
        <f t="shared" si="34"/>
        <v>0</v>
      </c>
      <c r="BU84" s="1">
        <f t="shared" si="34"/>
        <v>0</v>
      </c>
      <c r="BV84" s="1">
        <f t="shared" si="34"/>
        <v>0</v>
      </c>
      <c r="BW84" s="1">
        <f t="shared" si="34"/>
        <v>0</v>
      </c>
      <c r="BX84" s="1">
        <f t="shared" si="34"/>
        <v>1</v>
      </c>
      <c r="BY84" s="1">
        <f t="shared" si="34"/>
        <v>0</v>
      </c>
      <c r="BZ84" s="1">
        <f t="shared" si="34"/>
        <v>0</v>
      </c>
      <c r="CA84" s="1">
        <f t="shared" si="34"/>
        <v>1</v>
      </c>
      <c r="CB84" s="1">
        <f t="shared" si="34"/>
        <v>1</v>
      </c>
      <c r="CC84" s="1">
        <f t="shared" si="23"/>
        <v>83</v>
      </c>
      <c r="CD84" s="1">
        <f t="shared" si="17"/>
        <v>30</v>
      </c>
      <c r="CE84" s="1">
        <v>22</v>
      </c>
      <c r="CF84" s="1">
        <v>1</v>
      </c>
      <c r="CG84" s="1">
        <v>0.5</v>
      </c>
      <c r="CH84" s="1">
        <v>0.75</v>
      </c>
      <c r="CI84" s="1">
        <v>0</v>
      </c>
      <c r="CJ84" s="1">
        <f t="shared" si="30"/>
        <v>253.15630175983441</v>
      </c>
      <c r="CK84" s="1">
        <f t="shared" si="30"/>
        <v>0</v>
      </c>
      <c r="CL84" s="1">
        <f t="shared" si="30"/>
        <v>223.15630175983435</v>
      </c>
      <c r="CM84" s="1">
        <f t="shared" si="30"/>
        <v>0</v>
      </c>
      <c r="CN84" s="1">
        <f t="shared" si="30"/>
        <v>193.15630175983435</v>
      </c>
      <c r="CO84" s="1">
        <f t="shared" si="30"/>
        <v>0</v>
      </c>
      <c r="CP84" s="1">
        <f t="shared" si="28"/>
        <v>163.15630175983432</v>
      </c>
      <c r="CQ84" s="1">
        <f t="shared" si="28"/>
        <v>0</v>
      </c>
      <c r="CR84" s="1">
        <f t="shared" si="24"/>
        <v>133.15630175983438</v>
      </c>
      <c r="CS84" s="1">
        <f t="shared" si="24"/>
        <v>0</v>
      </c>
      <c r="CT84" s="1">
        <f t="shared" si="24"/>
        <v>103.15630175983438</v>
      </c>
      <c r="CU84" s="1">
        <f t="shared" si="24"/>
        <v>0</v>
      </c>
      <c r="CV84" s="1">
        <f t="shared" si="24"/>
        <v>74.252135093167681</v>
      </c>
      <c r="CW84" s="1">
        <f t="shared" si="24"/>
        <v>1.0958333333333341</v>
      </c>
      <c r="CX84" s="1">
        <f t="shared" si="31"/>
        <v>379.73445263975162</v>
      </c>
      <c r="CY84" s="1">
        <f t="shared" si="31"/>
        <v>0</v>
      </c>
      <c r="CZ84" s="1">
        <f t="shared" si="31"/>
        <v>334.73445263975151</v>
      </c>
      <c r="DA84" s="1">
        <f t="shared" si="31"/>
        <v>0</v>
      </c>
      <c r="DB84" s="1">
        <f t="shared" si="31"/>
        <v>289.73445263975151</v>
      </c>
      <c r="DC84" s="1">
        <f t="shared" si="31"/>
        <v>0</v>
      </c>
      <c r="DD84" s="1">
        <f t="shared" si="29"/>
        <v>244.73445263975148</v>
      </c>
      <c r="DE84" s="1">
        <f t="shared" si="29"/>
        <v>0</v>
      </c>
      <c r="DF84" s="1">
        <f t="shared" si="25"/>
        <v>199.73445263975157</v>
      </c>
      <c r="DG84" s="1">
        <f t="shared" si="25"/>
        <v>0</v>
      </c>
      <c r="DH84" s="1">
        <f t="shared" si="25"/>
        <v>154.73445263975157</v>
      </c>
      <c r="DI84" s="1">
        <f t="shared" si="25"/>
        <v>0</v>
      </c>
      <c r="DJ84" s="1">
        <f t="shared" si="25"/>
        <v>111.37820263975152</v>
      </c>
      <c r="DK84" s="1">
        <f t="shared" si="25"/>
        <v>1.6437500000000012</v>
      </c>
      <c r="DL84" s="24">
        <v>504188.70999999996</v>
      </c>
      <c r="DM84" s="25">
        <v>873.03</v>
      </c>
      <c r="DN84" s="24"/>
      <c r="DO84" s="25"/>
      <c r="DP84" s="25"/>
      <c r="DQ84" s="25"/>
      <c r="DR84" s="25"/>
      <c r="DS84" s="25"/>
      <c r="DT84" s="25"/>
      <c r="DU84" s="25"/>
      <c r="DV84" s="25"/>
    </row>
    <row r="85" spans="1:126" x14ac:dyDescent="0.25">
      <c r="A85" s="252">
        <v>44531</v>
      </c>
      <c r="B85" s="253">
        <f t="shared" si="18"/>
        <v>2021</v>
      </c>
      <c r="C85" s="253">
        <f t="shared" si="19"/>
        <v>12</v>
      </c>
      <c r="D85" s="254">
        <v>43225591.318129383</v>
      </c>
      <c r="E85" s="254">
        <f ca="1">IFERROR(VLOOKUP($B85-1,CDM!$L$7:$T$18,2,FALSE)/12,0)+IFERROR(VLOOKUP($B85,CDM!$L$36:$T$46,2,FALSE)/24,0)+IFERROR(VLOOKUP($B85,CDM!$L$36:$T$46,2,FALSE)/2*$C85/78,0)</f>
        <v>2447153.0421321262</v>
      </c>
      <c r="F85" s="254">
        <f ca="1">D85+E85</f>
        <v>45672744.360261507</v>
      </c>
      <c r="G85" s="255">
        <v>55351</v>
      </c>
      <c r="H85" s="254">
        <v>11501159.104378408</v>
      </c>
      <c r="I85" s="254">
        <f ca="1">IFERROR(VLOOKUP($B85-1,CDM!$L$7:$T$18,3,FALSE)/12,0)+IFERROR(VLOOKUP($B85,CDM!$L$36:$T$46,3,FALSE)/24,0)+IFERROR(VLOOKUP($B85,CDM!$L$36:$T$46,3,FALSE)/2*$C85/78,0)</f>
        <v>582373.55114801682</v>
      </c>
      <c r="J85" s="254">
        <f ca="1">H85+I85</f>
        <v>12083532.655526424</v>
      </c>
      <c r="K85" s="256">
        <v>4277</v>
      </c>
      <c r="L85" s="4">
        <v>30406574.766805757</v>
      </c>
      <c r="M85" s="257">
        <f ca="1">IFERROR(VLOOKUP($B85-1,CDM!$L$7:$T$18,4,FALSE)/12,0)+IFERROR(VLOOKUP($B85,CDM!$L$36:$T$46,4,FALSE)/24,0)+IFERROR(VLOOKUP($B85,CDM!$L$36:$T$46,4,FALSE)/2*$C85/78,0)</f>
        <v>749688.42053661845</v>
      </c>
      <c r="N85" s="254">
        <f ca="1">L85+M85</f>
        <v>31156263.187342376</v>
      </c>
      <c r="O85" s="4">
        <v>74626.75</v>
      </c>
      <c r="P85" s="256">
        <v>547</v>
      </c>
      <c r="Q85" s="256">
        <v>5258796.0176223451</v>
      </c>
      <c r="R85" s="256">
        <f ca="1">IFERROR(VLOOKUP($B85-1,CDM!$L$7:$T$18,5,FALSE)/12,0)+IFERROR(VLOOKUP($B85,CDM!$L$36:$T$46,5,FALSE)/24,0)+IFERROR(VLOOKUP($B85,CDM!$L$36:$T$46,5,FALSE)/2*$C85/78,0)</f>
        <v>870939.4203554719</v>
      </c>
      <c r="S85" s="256">
        <f ca="1">Q85+R85</f>
        <v>6129735.4379778169</v>
      </c>
      <c r="T85" s="256">
        <v>12953.17</v>
      </c>
      <c r="U85" s="256">
        <v>17</v>
      </c>
      <c r="V85" s="256">
        <v>3065363</v>
      </c>
      <c r="W85" s="256">
        <f ca="1">IFERROR(VLOOKUP($B85-1,CDM!$L$7:$T$18,6,FALSE)/12,0)+IFERROR(VLOOKUP($B85,CDM!$L$36:$T$46,6,FALSE)/24,0)+IFERROR(VLOOKUP($B85,CDM!$L$36:$T$46,6,FALSE)/2*$C85/78,0)</f>
        <v>28560.919349010452</v>
      </c>
      <c r="X85" s="256">
        <f ca="1">V85+W85</f>
        <v>3093923.9193490106</v>
      </c>
      <c r="Y85" s="256">
        <v>5544</v>
      </c>
      <c r="Z85" s="256">
        <v>1</v>
      </c>
      <c r="AA85" s="4">
        <v>465324.30676062242</v>
      </c>
      <c r="AB85" s="4">
        <v>1036.3688692946059</v>
      </c>
      <c r="AC85" s="256">
        <v>14097</v>
      </c>
      <c r="AD85" s="256">
        <v>2285.94</v>
      </c>
      <c r="AE85" s="256">
        <v>81</v>
      </c>
      <c r="AF85" s="256">
        <v>19</v>
      </c>
      <c r="AG85" s="4">
        <v>221948</v>
      </c>
      <c r="AH85" s="4">
        <v>252</v>
      </c>
      <c r="AI85" s="28">
        <f>Economic!H87</f>
        <v>817265.5</v>
      </c>
      <c r="AJ85" s="28">
        <f>Economic!I87</f>
        <v>634181.69999999995</v>
      </c>
      <c r="AK85" s="28">
        <f>Economic!J87</f>
        <v>64910</v>
      </c>
      <c r="AL85" s="28">
        <f>Economic!K87</f>
        <v>838397</v>
      </c>
      <c r="AM85" s="28">
        <f>Economic!L87</f>
        <v>654360</v>
      </c>
      <c r="AN85" s="28">
        <f>Economic!M87</f>
        <v>27605</v>
      </c>
      <c r="AO85" s="28">
        <f>Economic!D87</f>
        <v>7644.2</v>
      </c>
      <c r="AP85" s="28">
        <f>Economic!E87</f>
        <v>7647.5</v>
      </c>
      <c r="AQ85" s="28">
        <f>Economic!F87</f>
        <v>223.5</v>
      </c>
      <c r="AR85" s="28">
        <f>Economic!G87</f>
        <v>222.3</v>
      </c>
      <c r="AS85" s="28">
        <f>Economic!N87</f>
        <v>386.09999999999945</v>
      </c>
      <c r="AT85" s="28">
        <f>Economic!O87</f>
        <v>374.19999999999982</v>
      </c>
      <c r="AU85" s="28">
        <f>Economic!P87</f>
        <v>9.9000000000000057</v>
      </c>
      <c r="AV85" s="28">
        <f>Economic!Q87</f>
        <v>10.900000000000006</v>
      </c>
      <c r="AW85" s="28">
        <f>Economic!R87</f>
        <v>47323.5</v>
      </c>
      <c r="AX85" s="28">
        <f>Economic!S87</f>
        <v>18833</v>
      </c>
      <c r="AY85" s="7">
        <f>Weather!D85</f>
        <v>0.80497311827956974</v>
      </c>
      <c r="AZ85" s="7">
        <f>Weather!E85</f>
        <v>595.04583333333335</v>
      </c>
      <c r="BA85" s="7">
        <f>Weather!F85</f>
        <v>0</v>
      </c>
      <c r="BB85" s="7">
        <f>Weather!G85</f>
        <v>533.04583333333346</v>
      </c>
      <c r="BC85" s="7">
        <f>Weather!H85</f>
        <v>0</v>
      </c>
      <c r="BD85" s="7">
        <f>Weather!I85</f>
        <v>471.04583333333335</v>
      </c>
      <c r="BE85" s="7">
        <f>Weather!J85</f>
        <v>0</v>
      </c>
      <c r="BF85" s="7">
        <f>Weather!K85</f>
        <v>409.04583333333335</v>
      </c>
      <c r="BG85" s="7">
        <f>Weather!L85</f>
        <v>0</v>
      </c>
      <c r="BH85" s="7">
        <f>Weather!M85</f>
        <v>347.04583333333335</v>
      </c>
      <c r="BI85" s="7">
        <f>Weather!N85</f>
        <v>0</v>
      </c>
      <c r="BJ85" s="7">
        <f>Weather!O85</f>
        <v>285.45833333333331</v>
      </c>
      <c r="BK85" s="7">
        <f>Weather!P85</f>
        <v>0.41249999999999964</v>
      </c>
      <c r="BL85" s="7">
        <f>Weather!Q85</f>
        <v>225.45833333333331</v>
      </c>
      <c r="BM85" s="7">
        <f>Weather!R85</f>
        <v>2.4124999999999996</v>
      </c>
      <c r="BN85" s="1">
        <f t="shared" si="34"/>
        <v>0</v>
      </c>
      <c r="BO85" s="1">
        <f t="shared" si="34"/>
        <v>0</v>
      </c>
      <c r="BP85" s="1">
        <f t="shared" si="34"/>
        <v>0</v>
      </c>
      <c r="BQ85" s="1">
        <f t="shared" si="34"/>
        <v>0</v>
      </c>
      <c r="BR85" s="1">
        <f t="shared" si="34"/>
        <v>0</v>
      </c>
      <c r="BS85" s="1">
        <f t="shared" si="34"/>
        <v>0</v>
      </c>
      <c r="BT85" s="1">
        <f t="shared" si="34"/>
        <v>0</v>
      </c>
      <c r="BU85" s="1">
        <f t="shared" si="34"/>
        <v>0</v>
      </c>
      <c r="BV85" s="1">
        <f t="shared" si="34"/>
        <v>0</v>
      </c>
      <c r="BW85" s="1">
        <f t="shared" si="34"/>
        <v>0</v>
      </c>
      <c r="BX85" s="1">
        <f t="shared" si="34"/>
        <v>0</v>
      </c>
      <c r="BY85" s="1">
        <f t="shared" si="34"/>
        <v>1</v>
      </c>
      <c r="BZ85" s="1">
        <f t="shared" si="34"/>
        <v>0</v>
      </c>
      <c r="CA85" s="1">
        <f t="shared" si="34"/>
        <v>0</v>
      </c>
      <c r="CB85" s="1">
        <f t="shared" si="34"/>
        <v>0</v>
      </c>
      <c r="CC85" s="1">
        <f t="shared" si="23"/>
        <v>84</v>
      </c>
      <c r="CD85" s="1">
        <f t="shared" si="17"/>
        <v>31</v>
      </c>
      <c r="CE85" s="1">
        <v>21</v>
      </c>
      <c r="CF85" s="1">
        <v>1</v>
      </c>
      <c r="CG85" s="1">
        <v>0.5</v>
      </c>
      <c r="CH85" s="1">
        <v>0.75</v>
      </c>
      <c r="CI85" s="1">
        <v>0</v>
      </c>
      <c r="CJ85" s="1">
        <f t="shared" si="30"/>
        <v>297.52291666666667</v>
      </c>
      <c r="CK85" s="1">
        <f t="shared" si="30"/>
        <v>0</v>
      </c>
      <c r="CL85" s="1">
        <f t="shared" si="30"/>
        <v>266.52291666666673</v>
      </c>
      <c r="CM85" s="1">
        <f t="shared" si="30"/>
        <v>0</v>
      </c>
      <c r="CN85" s="1">
        <f t="shared" si="30"/>
        <v>235.52291666666667</v>
      </c>
      <c r="CO85" s="1">
        <f t="shared" si="30"/>
        <v>0</v>
      </c>
      <c r="CP85" s="1">
        <f t="shared" si="28"/>
        <v>204.52291666666667</v>
      </c>
      <c r="CQ85" s="1">
        <f t="shared" si="28"/>
        <v>0</v>
      </c>
      <c r="CR85" s="1">
        <f t="shared" si="24"/>
        <v>173.52291666666667</v>
      </c>
      <c r="CS85" s="1">
        <f t="shared" si="24"/>
        <v>0</v>
      </c>
      <c r="CT85" s="1">
        <f t="shared" si="24"/>
        <v>142.72916666666666</v>
      </c>
      <c r="CU85" s="1">
        <f t="shared" si="24"/>
        <v>0.20624999999999982</v>
      </c>
      <c r="CV85" s="1">
        <f t="shared" si="24"/>
        <v>112.72916666666666</v>
      </c>
      <c r="CW85" s="1">
        <f t="shared" si="24"/>
        <v>1.2062499999999998</v>
      </c>
      <c r="CX85" s="1">
        <f t="shared" si="31"/>
        <v>446.28437500000001</v>
      </c>
      <c r="CY85" s="1">
        <f t="shared" si="31"/>
        <v>0</v>
      </c>
      <c r="CZ85" s="1">
        <f t="shared" si="31"/>
        <v>399.78437500000007</v>
      </c>
      <c r="DA85" s="1">
        <f t="shared" si="31"/>
        <v>0</v>
      </c>
      <c r="DB85" s="1">
        <f t="shared" si="31"/>
        <v>353.28437500000001</v>
      </c>
      <c r="DC85" s="1">
        <f t="shared" si="31"/>
        <v>0</v>
      </c>
      <c r="DD85" s="1">
        <f t="shared" si="29"/>
        <v>306.78437500000001</v>
      </c>
      <c r="DE85" s="1">
        <f t="shared" si="29"/>
        <v>0</v>
      </c>
      <c r="DF85" s="1">
        <f t="shared" si="25"/>
        <v>260.28437500000001</v>
      </c>
      <c r="DG85" s="1">
        <f t="shared" si="25"/>
        <v>0</v>
      </c>
      <c r="DH85" s="1">
        <f t="shared" si="25"/>
        <v>214.09375</v>
      </c>
      <c r="DI85" s="1">
        <f t="shared" si="25"/>
        <v>0.30937499999999973</v>
      </c>
      <c r="DJ85" s="1">
        <f t="shared" si="25"/>
        <v>169.09375</v>
      </c>
      <c r="DK85" s="1">
        <f t="shared" si="25"/>
        <v>1.8093749999999997</v>
      </c>
      <c r="DL85" s="24">
        <v>515835.88</v>
      </c>
      <c r="DM85" s="25">
        <v>844.21</v>
      </c>
      <c r="DN85" s="24"/>
      <c r="DO85" s="25"/>
      <c r="DP85" s="25"/>
      <c r="DQ85" s="25"/>
      <c r="DR85" s="25"/>
      <c r="DS85" s="25"/>
      <c r="DT85" s="25"/>
      <c r="DU85" s="25"/>
      <c r="DV85" s="25"/>
    </row>
    <row r="86" spans="1:126" x14ac:dyDescent="0.25">
      <c r="A86" s="252">
        <v>44562</v>
      </c>
      <c r="B86" s="253">
        <f t="shared" si="18"/>
        <v>2022</v>
      </c>
      <c r="C86" s="253">
        <f t="shared" si="19"/>
        <v>1</v>
      </c>
      <c r="D86" s="254">
        <v>48941238.377860926</v>
      </c>
      <c r="E86" s="254">
        <f ca="1">IFERROR(VLOOKUP($B86-1,CDM!$L$7:$T$18,2,FALSE)/12,0)+IFERROR(VLOOKUP($B86,CDM!$L$36:$T$46,2,FALSE)/24,0)+IFERROR(VLOOKUP($B86,CDM!$L$36:$T$46,2,FALSE)/2*$C86/78,0)</f>
        <v>2452212.4785608808</v>
      </c>
      <c r="F86" s="254">
        <f ca="1">D86+E86</f>
        <v>51393450.856421806</v>
      </c>
      <c r="G86" s="255">
        <v>55283</v>
      </c>
      <c r="H86" s="254">
        <v>12034408.556456357</v>
      </c>
      <c r="I86" s="254">
        <f ca="1">IFERROR(VLOOKUP($B86-1,CDM!$L$7:$T$18,3,FALSE)/12,0)+IFERROR(VLOOKUP($B86,CDM!$L$36:$T$46,3,FALSE)/24,0)+IFERROR(VLOOKUP($B86,CDM!$L$36:$T$46,3,FALSE)/2*$C86/78,0)</f>
        <v>627048.56428262033</v>
      </c>
      <c r="J86" s="254">
        <f ca="1">H86+I86</f>
        <v>12661457.120738978</v>
      </c>
      <c r="K86" s="256">
        <v>4288</v>
      </c>
      <c r="L86" s="4">
        <v>34358786.565244295</v>
      </c>
      <c r="M86" s="257">
        <f ca="1">IFERROR(VLOOKUP($B86-1,CDM!$L$7:$T$18,4,FALSE)/12,0)+IFERROR(VLOOKUP($B86,CDM!$L$36:$T$46,4,FALSE)/24,0)+IFERROR(VLOOKUP($B86,CDM!$L$36:$T$46,4,FALSE)/2*$C86/78,0)</f>
        <v>818015.40002908814</v>
      </c>
      <c r="N86" s="254">
        <f ca="1">L86+M86</f>
        <v>35176801.96527338</v>
      </c>
      <c r="O86" s="4">
        <v>75194.100000000006</v>
      </c>
      <c r="P86" s="256">
        <v>547</v>
      </c>
      <c r="Q86" s="256">
        <v>6024035.8994417237</v>
      </c>
      <c r="R86" s="256">
        <f ca="1">IFERROR(VLOOKUP($B86-1,CDM!$L$7:$T$18,5,FALSE)/12,0)+IFERROR(VLOOKUP($B86,CDM!$L$36:$T$46,5,FALSE)/24,0)+IFERROR(VLOOKUP($B86,CDM!$L$36:$T$46,5,FALSE)/2*$C86/78,0)</f>
        <v>884332.37407096825</v>
      </c>
      <c r="S86" s="256">
        <f ca="1">Q86+R86</f>
        <v>6908368.2735126922</v>
      </c>
      <c r="T86" s="256">
        <v>12981.630000000001</v>
      </c>
      <c r="U86" s="256">
        <v>18</v>
      </c>
      <c r="V86" s="256">
        <v>3019557</v>
      </c>
      <c r="W86" s="256">
        <f ca="1">IFERROR(VLOOKUP($B86-1,CDM!$L$7:$T$18,6,FALSE)/12,0)+IFERROR(VLOOKUP($B86,CDM!$L$36:$T$46,6,FALSE)/24,0)+IFERROR(VLOOKUP($B86,CDM!$L$36:$T$46,6,FALSE)/2*$C86/78,0)</f>
        <v>31349.588006841299</v>
      </c>
      <c r="X86" s="256">
        <f ca="1">V86+W86</f>
        <v>3050906.5880068415</v>
      </c>
      <c r="Y86" s="256">
        <v>5797.68</v>
      </c>
      <c r="Z86" s="256">
        <v>1</v>
      </c>
      <c r="AA86" s="4">
        <v>477859.87475505663</v>
      </c>
      <c r="AB86" s="4">
        <v>1036.3688692946059</v>
      </c>
      <c r="AC86" s="256">
        <v>14097</v>
      </c>
      <c r="AD86" s="256">
        <v>2064.7199999999998</v>
      </c>
      <c r="AE86" s="256">
        <v>0</v>
      </c>
      <c r="AF86" s="256">
        <v>19</v>
      </c>
      <c r="AG86" s="4">
        <v>205439</v>
      </c>
      <c r="AH86" s="4">
        <v>252</v>
      </c>
      <c r="AI86" s="28">
        <f>Economic!H88</f>
        <v>850461.9</v>
      </c>
      <c r="AJ86" s="28">
        <f>Economic!I88</f>
        <v>662856.4</v>
      </c>
      <c r="AK86" s="28">
        <f>Economic!J88</f>
        <v>71555.5</v>
      </c>
      <c r="AL86" s="28">
        <f>Economic!K88</f>
        <v>845218</v>
      </c>
      <c r="AM86" s="28">
        <f>Economic!L88</f>
        <v>657318</v>
      </c>
      <c r="AN86" s="28">
        <f>Economic!M88</f>
        <v>28188</v>
      </c>
      <c r="AO86" s="28">
        <f>Economic!D88</f>
        <v>7627.7</v>
      </c>
      <c r="AP86" s="28">
        <f>Economic!E88</f>
        <v>7595.1</v>
      </c>
      <c r="AQ86" s="28">
        <f>Economic!F88</f>
        <v>221.3</v>
      </c>
      <c r="AR86" s="28">
        <f>Economic!G88</f>
        <v>220.8</v>
      </c>
      <c r="AS86" s="28">
        <f>Economic!N88</f>
        <v>423</v>
      </c>
      <c r="AT86" s="28">
        <f>Economic!O88</f>
        <v>414.70000000000073</v>
      </c>
      <c r="AU86" s="28">
        <f>Economic!P88</f>
        <v>14</v>
      </c>
      <c r="AV86" s="28">
        <f>Economic!Q88</f>
        <v>15.300000000000011</v>
      </c>
      <c r="AW86" s="28">
        <f>Economic!R88</f>
        <v>33196.400000000023</v>
      </c>
      <c r="AX86" s="28">
        <f>Economic!S88</f>
        <v>6821</v>
      </c>
      <c r="AY86" s="7">
        <f>Weather!D86</f>
        <v>-8.6287634408602152</v>
      </c>
      <c r="AZ86" s="7">
        <f>Weather!E86</f>
        <v>887.49166666666656</v>
      </c>
      <c r="BA86" s="7">
        <f>Weather!F86</f>
        <v>0</v>
      </c>
      <c r="BB86" s="7">
        <f>Weather!G86</f>
        <v>825.49166666666656</v>
      </c>
      <c r="BC86" s="7">
        <f>Weather!H86</f>
        <v>0</v>
      </c>
      <c r="BD86" s="7">
        <f>Weather!I86</f>
        <v>763.49166666666656</v>
      </c>
      <c r="BE86" s="7">
        <f>Weather!J86</f>
        <v>0</v>
      </c>
      <c r="BF86" s="7">
        <f>Weather!K86</f>
        <v>701.49166666666656</v>
      </c>
      <c r="BG86" s="7">
        <f>Weather!L86</f>
        <v>0</v>
      </c>
      <c r="BH86" s="7">
        <f>Weather!M86</f>
        <v>639.49166666666679</v>
      </c>
      <c r="BI86" s="7">
        <f>Weather!N86</f>
        <v>0</v>
      </c>
      <c r="BJ86" s="7">
        <f>Weather!O86</f>
        <v>577.49166666666656</v>
      </c>
      <c r="BK86" s="7">
        <f>Weather!P86</f>
        <v>0</v>
      </c>
      <c r="BL86" s="7">
        <f>Weather!Q86</f>
        <v>515.49166666666679</v>
      </c>
      <c r="BM86" s="7">
        <f>Weather!R86</f>
        <v>0</v>
      </c>
      <c r="BN86" s="1">
        <f t="shared" si="34"/>
        <v>1</v>
      </c>
      <c r="BO86" s="1">
        <f t="shared" si="34"/>
        <v>0</v>
      </c>
      <c r="BP86" s="1">
        <f t="shared" si="34"/>
        <v>0</v>
      </c>
      <c r="BQ86" s="1">
        <f t="shared" si="34"/>
        <v>0</v>
      </c>
      <c r="BR86" s="1">
        <f t="shared" si="34"/>
        <v>0</v>
      </c>
      <c r="BS86" s="1">
        <f t="shared" si="34"/>
        <v>0</v>
      </c>
      <c r="BT86" s="1">
        <f t="shared" si="34"/>
        <v>0</v>
      </c>
      <c r="BU86" s="1">
        <f t="shared" si="34"/>
        <v>0</v>
      </c>
      <c r="BV86" s="1">
        <f t="shared" si="34"/>
        <v>0</v>
      </c>
      <c r="BW86" s="1">
        <f t="shared" si="34"/>
        <v>0</v>
      </c>
      <c r="BX86" s="1">
        <f t="shared" si="34"/>
        <v>0</v>
      </c>
      <c r="BY86" s="1">
        <f t="shared" si="34"/>
        <v>0</v>
      </c>
      <c r="BZ86" s="1">
        <f t="shared" si="34"/>
        <v>0</v>
      </c>
      <c r="CA86" s="1">
        <f t="shared" si="34"/>
        <v>0</v>
      </c>
      <c r="CB86" s="1">
        <f t="shared" si="34"/>
        <v>0</v>
      </c>
      <c r="CC86" s="1">
        <f t="shared" si="23"/>
        <v>85</v>
      </c>
      <c r="CD86" s="1">
        <f t="shared" si="17"/>
        <v>31</v>
      </c>
      <c r="CE86" s="1">
        <v>20</v>
      </c>
      <c r="CF86" s="1">
        <v>0.5</v>
      </c>
      <c r="CG86" s="1">
        <v>0.25</v>
      </c>
      <c r="CH86" s="1">
        <v>0.5</v>
      </c>
      <c r="CI86" s="1">
        <v>0</v>
      </c>
      <c r="CJ86" s="1">
        <f t="shared" si="30"/>
        <v>221.87291666666664</v>
      </c>
      <c r="CK86" s="1">
        <f t="shared" si="30"/>
        <v>0</v>
      </c>
      <c r="CL86" s="1">
        <f t="shared" si="30"/>
        <v>206.37291666666664</v>
      </c>
      <c r="CM86" s="1">
        <f t="shared" si="30"/>
        <v>0</v>
      </c>
      <c r="CN86" s="1">
        <f t="shared" si="30"/>
        <v>190.87291666666664</v>
      </c>
      <c r="CO86" s="1">
        <f t="shared" si="30"/>
        <v>0</v>
      </c>
      <c r="CP86" s="1">
        <f t="shared" si="28"/>
        <v>175.37291666666664</v>
      </c>
      <c r="CQ86" s="1">
        <f t="shared" si="28"/>
        <v>0</v>
      </c>
      <c r="CR86" s="1">
        <f t="shared" si="24"/>
        <v>159.8729166666667</v>
      </c>
      <c r="CS86" s="1">
        <f t="shared" si="24"/>
        <v>0</v>
      </c>
      <c r="CT86" s="1">
        <f t="shared" si="24"/>
        <v>144.37291666666664</v>
      </c>
      <c r="CU86" s="1">
        <f t="shared" si="24"/>
        <v>0</v>
      </c>
      <c r="CV86" s="1">
        <f t="shared" si="24"/>
        <v>128.8729166666667</v>
      </c>
      <c r="CW86" s="1">
        <f t="shared" si="24"/>
        <v>0</v>
      </c>
      <c r="CX86" s="1">
        <f t="shared" si="31"/>
        <v>443.74583333333328</v>
      </c>
      <c r="CY86" s="1">
        <f t="shared" si="31"/>
        <v>0</v>
      </c>
      <c r="CZ86" s="1">
        <f t="shared" si="31"/>
        <v>412.74583333333328</v>
      </c>
      <c r="DA86" s="1">
        <f t="shared" si="31"/>
        <v>0</v>
      </c>
      <c r="DB86" s="1">
        <f t="shared" si="31"/>
        <v>381.74583333333328</v>
      </c>
      <c r="DC86" s="1">
        <f t="shared" si="31"/>
        <v>0</v>
      </c>
      <c r="DD86" s="1">
        <f t="shared" si="29"/>
        <v>350.74583333333328</v>
      </c>
      <c r="DE86" s="1">
        <f t="shared" si="29"/>
        <v>0</v>
      </c>
      <c r="DF86" s="1">
        <f t="shared" si="25"/>
        <v>319.74583333333339</v>
      </c>
      <c r="DG86" s="1">
        <f t="shared" si="25"/>
        <v>0</v>
      </c>
      <c r="DH86" s="1">
        <f t="shared" si="25"/>
        <v>288.74583333333328</v>
      </c>
      <c r="DI86" s="1">
        <f t="shared" si="25"/>
        <v>0</v>
      </c>
      <c r="DJ86" s="1">
        <f t="shared" si="25"/>
        <v>257.74583333333339</v>
      </c>
      <c r="DK86" s="1">
        <f t="shared" si="25"/>
        <v>0</v>
      </c>
      <c r="DL86" s="24">
        <v>510958.99</v>
      </c>
      <c r="DM86" s="25">
        <v>800.55</v>
      </c>
      <c r="DN86" s="24"/>
      <c r="DO86" s="25"/>
      <c r="DP86" s="25"/>
      <c r="DQ86" s="25"/>
      <c r="DR86" s="25"/>
      <c r="DS86" s="25"/>
      <c r="DT86" s="25"/>
      <c r="DU86" s="25"/>
      <c r="DV86" s="25"/>
    </row>
    <row r="87" spans="1:126" x14ac:dyDescent="0.25">
      <c r="A87" s="252">
        <v>44593</v>
      </c>
      <c r="B87" s="253">
        <f t="shared" si="18"/>
        <v>2022</v>
      </c>
      <c r="C87" s="253">
        <f t="shared" si="19"/>
        <v>2</v>
      </c>
      <c r="D87" s="254">
        <v>43473463.281575434</v>
      </c>
      <c r="E87" s="254">
        <f ca="1">IFERROR(VLOOKUP($B87-1,CDM!$L$7:$T$18,2,FALSE)/12,0)+IFERROR(VLOOKUP($B87,CDM!$L$36:$T$46,2,FALSE)/24,0)+IFERROR(VLOOKUP($B87,CDM!$L$36:$T$46,2,FALSE)/2*$C87/78,0)</f>
        <v>2453334.7089920542</v>
      </c>
      <c r="F87" s="254">
        <f ca="1">D87+E87</f>
        <v>45926797.99056749</v>
      </c>
      <c r="G87" s="255">
        <v>55259</v>
      </c>
      <c r="H87" s="254">
        <v>11001986.411201041</v>
      </c>
      <c r="I87" s="254">
        <f ca="1">IFERROR(VLOOKUP($B87-1,CDM!$L$7:$T$18,3,FALSE)/12,0)+IFERROR(VLOOKUP($B87,CDM!$L$36:$T$46,3,FALSE)/24,0)+IFERROR(VLOOKUP($B87,CDM!$L$36:$T$46,3,FALSE)/2*$C87/78,0)</f>
        <v>634337.06218143145</v>
      </c>
      <c r="J87" s="254">
        <f ca="1">H87+I87</f>
        <v>11636323.473382473</v>
      </c>
      <c r="K87" s="256">
        <v>4294</v>
      </c>
      <c r="L87" s="4">
        <v>32577644.263054308</v>
      </c>
      <c r="M87" s="257">
        <f ca="1">IFERROR(VLOOKUP($B87-1,CDM!$L$7:$T$18,4,FALSE)/12,0)+IFERROR(VLOOKUP($B87,CDM!$L$36:$T$46,4,FALSE)/24,0)+IFERROR(VLOOKUP($B87,CDM!$L$36:$T$46,4,FALSE)/2*$C87/78,0)</f>
        <v>831126.87665989704</v>
      </c>
      <c r="N87" s="254">
        <f ca="1">L87+M87</f>
        <v>33408771.139714204</v>
      </c>
      <c r="O87" s="4">
        <v>77831.87</v>
      </c>
      <c r="P87" s="256">
        <v>546</v>
      </c>
      <c r="Q87" s="256">
        <v>6274338.0963143315</v>
      </c>
      <c r="R87" s="256">
        <f ca="1">IFERROR(VLOOKUP($B87-1,CDM!$L$7:$T$18,5,FALSE)/12,0)+IFERROR(VLOOKUP($B87,CDM!$L$36:$T$46,5,FALSE)/24,0)+IFERROR(VLOOKUP($B87,CDM!$L$36:$T$46,5,FALSE)/2*$C87/78,0)</f>
        <v>886727.02785592654</v>
      </c>
      <c r="S87" s="256">
        <f ca="1">Q87+R87</f>
        <v>7161065.1241702577</v>
      </c>
      <c r="T87" s="256">
        <v>14396.47</v>
      </c>
      <c r="U87" s="256">
        <v>18</v>
      </c>
      <c r="V87" s="256">
        <v>2697106</v>
      </c>
      <c r="W87" s="256">
        <f ca="1">IFERROR(VLOOKUP($B87-1,CDM!$L$7:$T$18,6,FALSE)/12,0)+IFERROR(VLOOKUP($B87,CDM!$L$36:$T$46,6,FALSE)/24,0)+IFERROR(VLOOKUP($B87,CDM!$L$36:$T$46,6,FALSE)/2*$C87/78,0)</f>
        <v>31933.669805083424</v>
      </c>
      <c r="X87" s="256">
        <f ca="1">V87+W87</f>
        <v>2729039.6698050834</v>
      </c>
      <c r="Y87" s="256">
        <v>7909.44</v>
      </c>
      <c r="Z87" s="256">
        <v>1</v>
      </c>
      <c r="AA87" s="4">
        <v>391329.4460650353</v>
      </c>
      <c r="AB87" s="4">
        <v>1041.2</v>
      </c>
      <c r="AC87" s="256">
        <v>14116</v>
      </c>
      <c r="AD87" s="256">
        <v>2285.94</v>
      </c>
      <c r="AE87" s="256">
        <v>0</v>
      </c>
      <c r="AF87" s="256">
        <v>19</v>
      </c>
      <c r="AG87" s="4">
        <v>247854</v>
      </c>
      <c r="AH87" s="4">
        <v>252</v>
      </c>
      <c r="AI87" s="28">
        <f>Economic!H89</f>
        <v>850461.9</v>
      </c>
      <c r="AJ87" s="28">
        <f>Economic!I89</f>
        <v>662856.4</v>
      </c>
      <c r="AK87" s="28">
        <f>Economic!J89</f>
        <v>71555.5</v>
      </c>
      <c r="AL87" s="28">
        <f>Economic!K89</f>
        <v>845218</v>
      </c>
      <c r="AM87" s="28">
        <f>Economic!L89</f>
        <v>657318</v>
      </c>
      <c r="AN87" s="28">
        <f>Economic!M89</f>
        <v>28188</v>
      </c>
      <c r="AO87" s="28">
        <f>Economic!D89</f>
        <v>7651.3</v>
      </c>
      <c r="AP87" s="28">
        <f>Economic!E89</f>
        <v>7588.8</v>
      </c>
      <c r="AQ87" s="28">
        <f>Economic!F89</f>
        <v>221.3</v>
      </c>
      <c r="AR87" s="28">
        <f>Economic!G89</f>
        <v>220.9</v>
      </c>
      <c r="AS87" s="28">
        <f>Economic!N89</f>
        <v>470.10000000000036</v>
      </c>
      <c r="AT87" s="28">
        <f>Economic!O89</f>
        <v>464</v>
      </c>
      <c r="AU87" s="28">
        <f>Economic!P89</f>
        <v>15.900000000000006</v>
      </c>
      <c r="AV87" s="28">
        <f>Economic!Q89</f>
        <v>16.800000000000011</v>
      </c>
      <c r="AW87" s="28">
        <f>Economic!R89</f>
        <v>33196.400000000023</v>
      </c>
      <c r="AX87" s="28">
        <f>Economic!S89</f>
        <v>6821</v>
      </c>
      <c r="AY87" s="7">
        <f>Weather!D87</f>
        <v>-4.7446428571428587</v>
      </c>
      <c r="AZ87" s="7">
        <f>Weather!E87</f>
        <v>692.85</v>
      </c>
      <c r="BA87" s="7">
        <f>Weather!F87</f>
        <v>0</v>
      </c>
      <c r="BB87" s="7">
        <f>Weather!G87</f>
        <v>636.84999999999991</v>
      </c>
      <c r="BC87" s="7">
        <f>Weather!H87</f>
        <v>0</v>
      </c>
      <c r="BD87" s="7">
        <f>Weather!I87</f>
        <v>580.84999999999991</v>
      </c>
      <c r="BE87" s="7">
        <f>Weather!J87</f>
        <v>0</v>
      </c>
      <c r="BF87" s="7">
        <f>Weather!K87</f>
        <v>524.84999999999991</v>
      </c>
      <c r="BG87" s="7">
        <f>Weather!L87</f>
        <v>0</v>
      </c>
      <c r="BH87" s="7">
        <f>Weather!M87</f>
        <v>468.84999999999991</v>
      </c>
      <c r="BI87" s="7">
        <f>Weather!N87</f>
        <v>0</v>
      </c>
      <c r="BJ87" s="7">
        <f>Weather!O87</f>
        <v>412.84999999999991</v>
      </c>
      <c r="BK87" s="7">
        <f>Weather!P87</f>
        <v>0</v>
      </c>
      <c r="BL87" s="7">
        <f>Weather!Q87</f>
        <v>356.85</v>
      </c>
      <c r="BM87" s="7">
        <f>Weather!R87</f>
        <v>0</v>
      </c>
      <c r="BN87" s="1">
        <f t="shared" si="34"/>
        <v>0</v>
      </c>
      <c r="BO87" s="1">
        <f t="shared" si="34"/>
        <v>1</v>
      </c>
      <c r="BP87" s="1">
        <f t="shared" si="34"/>
        <v>0</v>
      </c>
      <c r="BQ87" s="1">
        <f t="shared" si="34"/>
        <v>0</v>
      </c>
      <c r="BR87" s="1">
        <f t="shared" si="34"/>
        <v>0</v>
      </c>
      <c r="BS87" s="1">
        <f t="shared" si="34"/>
        <v>0</v>
      </c>
      <c r="BT87" s="1">
        <f t="shared" si="34"/>
        <v>0</v>
      </c>
      <c r="BU87" s="1">
        <f t="shared" si="34"/>
        <v>0</v>
      </c>
      <c r="BV87" s="1">
        <f t="shared" si="34"/>
        <v>0</v>
      </c>
      <c r="BW87" s="1">
        <f t="shared" si="34"/>
        <v>0</v>
      </c>
      <c r="BX87" s="1">
        <f t="shared" si="34"/>
        <v>0</v>
      </c>
      <c r="BY87" s="1">
        <f t="shared" si="34"/>
        <v>0</v>
      </c>
      <c r="BZ87" s="1">
        <f t="shared" si="34"/>
        <v>0</v>
      </c>
      <c r="CA87" s="1">
        <f t="shared" si="34"/>
        <v>0</v>
      </c>
      <c r="CB87" s="1">
        <f t="shared" si="34"/>
        <v>0</v>
      </c>
      <c r="CC87" s="1">
        <f t="shared" si="23"/>
        <v>86</v>
      </c>
      <c r="CD87" s="1">
        <f t="shared" si="17"/>
        <v>28</v>
      </c>
      <c r="CE87" s="1">
        <v>19</v>
      </c>
      <c r="CF87" s="1">
        <v>0.5</v>
      </c>
      <c r="CG87" s="1">
        <v>0.25</v>
      </c>
      <c r="CH87" s="1">
        <v>0.5</v>
      </c>
      <c r="CI87" s="1">
        <v>0</v>
      </c>
      <c r="CJ87" s="1">
        <f t="shared" si="30"/>
        <v>173.21250000000001</v>
      </c>
      <c r="CK87" s="1">
        <f t="shared" si="30"/>
        <v>0</v>
      </c>
      <c r="CL87" s="1">
        <f t="shared" si="30"/>
        <v>159.21249999999998</v>
      </c>
      <c r="CM87" s="1">
        <f t="shared" si="30"/>
        <v>0</v>
      </c>
      <c r="CN87" s="1">
        <f t="shared" si="30"/>
        <v>145.21249999999998</v>
      </c>
      <c r="CO87" s="1">
        <f t="shared" si="30"/>
        <v>0</v>
      </c>
      <c r="CP87" s="1">
        <f t="shared" si="28"/>
        <v>131.21249999999998</v>
      </c>
      <c r="CQ87" s="1">
        <f t="shared" si="28"/>
        <v>0</v>
      </c>
      <c r="CR87" s="1">
        <f t="shared" si="24"/>
        <v>117.21249999999998</v>
      </c>
      <c r="CS87" s="1">
        <f t="shared" si="24"/>
        <v>0</v>
      </c>
      <c r="CT87" s="1">
        <f t="shared" si="24"/>
        <v>103.21249999999998</v>
      </c>
      <c r="CU87" s="1">
        <f t="shared" si="24"/>
        <v>0</v>
      </c>
      <c r="CV87" s="1">
        <f t="shared" si="24"/>
        <v>89.212500000000006</v>
      </c>
      <c r="CW87" s="1">
        <f t="shared" si="24"/>
        <v>0</v>
      </c>
      <c r="CX87" s="1">
        <f t="shared" si="31"/>
        <v>346.42500000000001</v>
      </c>
      <c r="CY87" s="1">
        <f t="shared" si="31"/>
        <v>0</v>
      </c>
      <c r="CZ87" s="1">
        <f t="shared" si="31"/>
        <v>318.42499999999995</v>
      </c>
      <c r="DA87" s="1">
        <f t="shared" si="31"/>
        <v>0</v>
      </c>
      <c r="DB87" s="1">
        <f t="shared" si="31"/>
        <v>290.42499999999995</v>
      </c>
      <c r="DC87" s="1">
        <f t="shared" si="31"/>
        <v>0</v>
      </c>
      <c r="DD87" s="1">
        <f t="shared" si="29"/>
        <v>262.42499999999995</v>
      </c>
      <c r="DE87" s="1">
        <f t="shared" si="29"/>
        <v>0</v>
      </c>
      <c r="DF87" s="1">
        <f t="shared" si="25"/>
        <v>234.42499999999995</v>
      </c>
      <c r="DG87" s="1">
        <f t="shared" si="25"/>
        <v>0</v>
      </c>
      <c r="DH87" s="1">
        <f t="shared" si="25"/>
        <v>206.42499999999995</v>
      </c>
      <c r="DI87" s="1">
        <f t="shared" si="25"/>
        <v>0</v>
      </c>
      <c r="DJ87" s="1">
        <f t="shared" si="25"/>
        <v>178.42500000000001</v>
      </c>
      <c r="DK87" s="1">
        <f t="shared" si="25"/>
        <v>0</v>
      </c>
      <c r="DL87" s="24">
        <v>459724.31</v>
      </c>
      <c r="DM87" s="25">
        <v>801.51</v>
      </c>
      <c r="DN87" s="24"/>
      <c r="DO87" s="25"/>
      <c r="DP87" s="25"/>
      <c r="DQ87" s="25"/>
      <c r="DR87" s="25"/>
      <c r="DS87" s="25"/>
      <c r="DT87" s="25"/>
      <c r="DU87" s="25"/>
      <c r="DV87" s="25"/>
    </row>
    <row r="88" spans="1:126" x14ac:dyDescent="0.25">
      <c r="A88" s="252">
        <v>44621</v>
      </c>
      <c r="B88" s="253">
        <f t="shared" si="18"/>
        <v>2022</v>
      </c>
      <c r="C88" s="253">
        <f t="shared" si="19"/>
        <v>3</v>
      </c>
      <c r="D88" s="254">
        <v>46355851.823503733</v>
      </c>
      <c r="E88" s="254">
        <f ca="1">IFERROR(VLOOKUP($B88-1,CDM!$L$7:$T$18,2,FALSE)/12,0)+IFERROR(VLOOKUP($B88,CDM!$L$36:$T$46,2,FALSE)/24,0)+IFERROR(VLOOKUP($B88,CDM!$L$36:$T$46,2,FALSE)/2*$C88/78,0)</f>
        <v>2454456.9394232277</v>
      </c>
      <c r="F88" s="254">
        <f ca="1">D88+E88</f>
        <v>48810308.762926959</v>
      </c>
      <c r="G88" s="255">
        <v>55469</v>
      </c>
      <c r="H88" s="254">
        <v>11269162.492992997</v>
      </c>
      <c r="I88" s="254">
        <f ca="1">IFERROR(VLOOKUP($B88-1,CDM!$L$7:$T$18,3,FALSE)/12,0)+IFERROR(VLOOKUP($B88,CDM!$L$36:$T$46,3,FALSE)/24,0)+IFERROR(VLOOKUP($B88,CDM!$L$36:$T$46,3,FALSE)/2*$C88/78,0)</f>
        <v>641625.56008024258</v>
      </c>
      <c r="J88" s="254">
        <f ca="1">H88+I88</f>
        <v>11910788.05307324</v>
      </c>
      <c r="K88" s="256">
        <v>4283</v>
      </c>
      <c r="L88" s="4">
        <v>29454154.861825131</v>
      </c>
      <c r="M88" s="257">
        <f ca="1">IFERROR(VLOOKUP($B88-1,CDM!$L$7:$T$18,4,FALSE)/12,0)+IFERROR(VLOOKUP($B88,CDM!$L$36:$T$46,4,FALSE)/24,0)+IFERROR(VLOOKUP($B88,CDM!$L$36:$T$46,4,FALSE)/2*$C88/78,0)</f>
        <v>844238.35329070583</v>
      </c>
      <c r="N88" s="254">
        <f ca="1">L88+M88</f>
        <v>30298393.215115838</v>
      </c>
      <c r="O88" s="4">
        <v>68289.87</v>
      </c>
      <c r="P88" s="256">
        <v>548</v>
      </c>
      <c r="Q88" s="256">
        <v>6171172.5226340853</v>
      </c>
      <c r="R88" s="256">
        <f ca="1">IFERROR(VLOOKUP($B88-1,CDM!$L$7:$T$18,5,FALSE)/12,0)+IFERROR(VLOOKUP($B88,CDM!$L$36:$T$46,5,FALSE)/24,0)+IFERROR(VLOOKUP($B88,CDM!$L$36:$T$46,5,FALSE)/2*$C88/78,0)</f>
        <v>889121.68164088496</v>
      </c>
      <c r="S88" s="256">
        <f ca="1">Q88+R88</f>
        <v>7060294.2042749701</v>
      </c>
      <c r="T88" s="256">
        <v>12910.23</v>
      </c>
      <c r="U88" s="256">
        <v>18</v>
      </c>
      <c r="V88" s="256">
        <v>3147951</v>
      </c>
      <c r="W88" s="256">
        <f ca="1">IFERROR(VLOOKUP($B88-1,CDM!$L$7:$T$18,6,FALSE)/12,0)+IFERROR(VLOOKUP($B88,CDM!$L$36:$T$46,6,FALSE)/24,0)+IFERROR(VLOOKUP($B88,CDM!$L$36:$T$46,6,FALSE)/2*$C88/78,0)</f>
        <v>32517.751603325549</v>
      </c>
      <c r="X88" s="256">
        <f ca="1">V88+W88</f>
        <v>3180468.7516033254</v>
      </c>
      <c r="Y88" s="256">
        <v>7780.92</v>
      </c>
      <c r="Z88" s="256">
        <v>1</v>
      </c>
      <c r="AA88" s="4">
        <v>393235.27604188159</v>
      </c>
      <c r="AB88" s="4">
        <v>1041.2</v>
      </c>
      <c r="AC88" s="256">
        <v>14116</v>
      </c>
      <c r="AD88" s="256">
        <v>2212.1999999999998</v>
      </c>
      <c r="AE88" s="256">
        <v>0</v>
      </c>
      <c r="AF88" s="256">
        <v>19</v>
      </c>
      <c r="AG88" s="4">
        <v>227972</v>
      </c>
      <c r="AH88" s="4">
        <v>252</v>
      </c>
      <c r="AI88" s="28">
        <f>Economic!H90</f>
        <v>850461.9</v>
      </c>
      <c r="AJ88" s="28">
        <f>Economic!I90</f>
        <v>662856.4</v>
      </c>
      <c r="AK88" s="28">
        <f>Economic!J90</f>
        <v>71555.5</v>
      </c>
      <c r="AL88" s="28">
        <f>Economic!K90</f>
        <v>845218</v>
      </c>
      <c r="AM88" s="28">
        <f>Economic!L90</f>
        <v>657318</v>
      </c>
      <c r="AN88" s="28">
        <f>Economic!M90</f>
        <v>28188</v>
      </c>
      <c r="AO88" s="28">
        <f>Economic!D90</f>
        <v>7662.5</v>
      </c>
      <c r="AP88" s="28">
        <f>Economic!E90</f>
        <v>7573.4</v>
      </c>
      <c r="AQ88" s="28">
        <f>Economic!F90</f>
        <v>222.7</v>
      </c>
      <c r="AR88" s="28">
        <f>Economic!G90</f>
        <v>222</v>
      </c>
      <c r="AS88" s="28">
        <f>Economic!N90</f>
        <v>444.39999999999964</v>
      </c>
      <c r="AT88" s="28">
        <f>Economic!O90</f>
        <v>443.89999999999964</v>
      </c>
      <c r="AU88" s="28">
        <f>Economic!P90</f>
        <v>18.199999999999989</v>
      </c>
      <c r="AV88" s="28">
        <f>Economic!Q90</f>
        <v>18.300000000000011</v>
      </c>
      <c r="AW88" s="28">
        <f>Economic!R90</f>
        <v>33196.400000000023</v>
      </c>
      <c r="AX88" s="28">
        <f>Economic!S90</f>
        <v>6821</v>
      </c>
      <c r="AY88" s="7">
        <f>Weather!D88</f>
        <v>0.42836021505376332</v>
      </c>
      <c r="AZ88" s="7">
        <f>Weather!E88</f>
        <v>606.7208333333333</v>
      </c>
      <c r="BA88" s="7">
        <f>Weather!F88</f>
        <v>0</v>
      </c>
      <c r="BB88" s="7">
        <f>Weather!G88</f>
        <v>544.7208333333333</v>
      </c>
      <c r="BC88" s="7">
        <f>Weather!H88</f>
        <v>0</v>
      </c>
      <c r="BD88" s="7">
        <f>Weather!I88</f>
        <v>482.72083333333353</v>
      </c>
      <c r="BE88" s="7">
        <f>Weather!J88</f>
        <v>0</v>
      </c>
      <c r="BF88" s="7">
        <f>Weather!K88</f>
        <v>420.72083333333353</v>
      </c>
      <c r="BG88" s="7">
        <f>Weather!L88</f>
        <v>0</v>
      </c>
      <c r="BH88" s="7">
        <f>Weather!M88</f>
        <v>358.72083333333347</v>
      </c>
      <c r="BI88" s="7">
        <f>Weather!N88</f>
        <v>0</v>
      </c>
      <c r="BJ88" s="7">
        <f>Weather!O88</f>
        <v>296.72083333333336</v>
      </c>
      <c r="BK88" s="7">
        <f>Weather!P88</f>
        <v>0</v>
      </c>
      <c r="BL88" s="7">
        <f>Weather!Q88</f>
        <v>236.04166666666666</v>
      </c>
      <c r="BM88" s="7">
        <f>Weather!R88</f>
        <v>1.3208333333333311</v>
      </c>
      <c r="BN88" s="1">
        <f t="shared" si="34"/>
        <v>0</v>
      </c>
      <c r="BO88" s="1">
        <f t="shared" si="34"/>
        <v>0</v>
      </c>
      <c r="BP88" s="1">
        <f t="shared" si="34"/>
        <v>1</v>
      </c>
      <c r="BQ88" s="1">
        <f t="shared" si="34"/>
        <v>0</v>
      </c>
      <c r="BR88" s="1">
        <f t="shared" si="34"/>
        <v>0</v>
      </c>
      <c r="BS88" s="1">
        <f t="shared" si="34"/>
        <v>0</v>
      </c>
      <c r="BT88" s="1">
        <f t="shared" si="34"/>
        <v>0</v>
      </c>
      <c r="BU88" s="1">
        <f t="shared" si="34"/>
        <v>0</v>
      </c>
      <c r="BV88" s="1">
        <f t="shared" si="34"/>
        <v>0</v>
      </c>
      <c r="BW88" s="1">
        <f t="shared" si="34"/>
        <v>0</v>
      </c>
      <c r="BX88" s="1">
        <f t="shared" si="34"/>
        <v>0</v>
      </c>
      <c r="BY88" s="1">
        <f t="shared" si="34"/>
        <v>0</v>
      </c>
      <c r="BZ88" s="1">
        <f t="shared" si="34"/>
        <v>1</v>
      </c>
      <c r="CA88" s="1">
        <f t="shared" si="34"/>
        <v>0</v>
      </c>
      <c r="CB88" s="1">
        <f t="shared" si="34"/>
        <v>1</v>
      </c>
      <c r="CC88" s="1">
        <f t="shared" si="23"/>
        <v>87</v>
      </c>
      <c r="CD88" s="1">
        <f t="shared" si="17"/>
        <v>31</v>
      </c>
      <c r="CE88" s="1">
        <v>23</v>
      </c>
      <c r="CF88" s="1">
        <v>0.5</v>
      </c>
      <c r="CG88" s="1">
        <v>0.25</v>
      </c>
      <c r="CH88" s="1">
        <v>0.5</v>
      </c>
      <c r="CI88" s="1">
        <v>0</v>
      </c>
      <c r="CJ88" s="1">
        <f t="shared" si="30"/>
        <v>151.68020833333333</v>
      </c>
      <c r="CK88" s="1">
        <f t="shared" si="30"/>
        <v>0</v>
      </c>
      <c r="CL88" s="1">
        <f t="shared" si="30"/>
        <v>136.18020833333333</v>
      </c>
      <c r="CM88" s="1">
        <f t="shared" si="30"/>
        <v>0</v>
      </c>
      <c r="CN88" s="1">
        <f t="shared" si="30"/>
        <v>120.68020833333338</v>
      </c>
      <c r="CO88" s="1">
        <f t="shared" si="30"/>
        <v>0</v>
      </c>
      <c r="CP88" s="1">
        <f t="shared" si="28"/>
        <v>105.18020833333338</v>
      </c>
      <c r="CQ88" s="1">
        <f t="shared" si="28"/>
        <v>0</v>
      </c>
      <c r="CR88" s="1">
        <f t="shared" si="24"/>
        <v>89.680208333333368</v>
      </c>
      <c r="CS88" s="1">
        <f t="shared" si="24"/>
        <v>0</v>
      </c>
      <c r="CT88" s="1">
        <f t="shared" si="24"/>
        <v>74.18020833333334</v>
      </c>
      <c r="CU88" s="1">
        <f t="shared" si="24"/>
        <v>0</v>
      </c>
      <c r="CV88" s="1">
        <f t="shared" si="24"/>
        <v>59.010416666666664</v>
      </c>
      <c r="CW88" s="1">
        <f t="shared" si="24"/>
        <v>0.33020833333333277</v>
      </c>
      <c r="CX88" s="1">
        <f t="shared" si="31"/>
        <v>303.36041666666665</v>
      </c>
      <c r="CY88" s="1">
        <f t="shared" si="31"/>
        <v>0</v>
      </c>
      <c r="CZ88" s="1">
        <f t="shared" si="31"/>
        <v>272.36041666666665</v>
      </c>
      <c r="DA88" s="1">
        <f t="shared" si="31"/>
        <v>0</v>
      </c>
      <c r="DB88" s="1">
        <f t="shared" si="31"/>
        <v>241.36041666666677</v>
      </c>
      <c r="DC88" s="1">
        <f t="shared" si="31"/>
        <v>0</v>
      </c>
      <c r="DD88" s="1">
        <f t="shared" si="29"/>
        <v>210.36041666666677</v>
      </c>
      <c r="DE88" s="1">
        <f t="shared" si="29"/>
        <v>0</v>
      </c>
      <c r="DF88" s="1">
        <f t="shared" si="25"/>
        <v>179.36041666666674</v>
      </c>
      <c r="DG88" s="1">
        <f t="shared" si="25"/>
        <v>0</v>
      </c>
      <c r="DH88" s="1">
        <f t="shared" si="25"/>
        <v>148.36041666666668</v>
      </c>
      <c r="DI88" s="1">
        <f t="shared" si="25"/>
        <v>0</v>
      </c>
      <c r="DJ88" s="1">
        <f t="shared" si="25"/>
        <v>118.02083333333333</v>
      </c>
      <c r="DK88" s="1">
        <f t="shared" si="25"/>
        <v>0.66041666666666554</v>
      </c>
      <c r="DL88" s="24">
        <v>510560.06</v>
      </c>
      <c r="DM88" s="25">
        <v>863.93</v>
      </c>
      <c r="DN88" s="24"/>
      <c r="DO88" s="25"/>
      <c r="DP88" s="25"/>
      <c r="DQ88" s="25"/>
      <c r="DR88" s="25"/>
      <c r="DS88" s="25"/>
      <c r="DT88" s="25"/>
      <c r="DU88" s="25"/>
      <c r="DV88" s="25"/>
    </row>
    <row r="89" spans="1:126" x14ac:dyDescent="0.25">
      <c r="A89" s="252">
        <v>44652</v>
      </c>
      <c r="B89" s="253">
        <f t="shared" si="18"/>
        <v>2022</v>
      </c>
      <c r="C89" s="253">
        <f t="shared" si="19"/>
        <v>4</v>
      </c>
      <c r="D89" s="254">
        <v>38551808.527339973</v>
      </c>
      <c r="E89" s="254">
        <f ca="1">IFERROR(VLOOKUP($B89-1,CDM!$L$7:$T$18,2,FALSE)/12,0)+IFERROR(VLOOKUP($B89,CDM!$L$36:$T$46,2,FALSE)/24,0)+IFERROR(VLOOKUP($B89,CDM!$L$36:$T$46,2,FALSE)/2*$C89/78,0)</f>
        <v>2455579.1698544011</v>
      </c>
      <c r="F89" s="254">
        <f ca="1">D89+E89</f>
        <v>41007387.697194375</v>
      </c>
      <c r="G89" s="255">
        <v>55584</v>
      </c>
      <c r="H89" s="254">
        <v>9593766.9116475377</v>
      </c>
      <c r="I89" s="254">
        <f ca="1">IFERROR(VLOOKUP($B89-1,CDM!$L$7:$T$18,3,FALSE)/12,0)+IFERROR(VLOOKUP($B89,CDM!$L$36:$T$46,3,FALSE)/24,0)+IFERROR(VLOOKUP($B89,CDM!$L$36:$T$46,3,FALSE)/2*$C89/78,0)</f>
        <v>648914.0579790537</v>
      </c>
      <c r="J89" s="254">
        <f ca="1">H89+I89</f>
        <v>10242680.969626591</v>
      </c>
      <c r="K89" s="256">
        <v>4284</v>
      </c>
      <c r="L89" s="4">
        <v>26663820.09825303</v>
      </c>
      <c r="M89" s="257">
        <f ca="1">IFERROR(VLOOKUP($B89-1,CDM!$L$7:$T$18,4,FALSE)/12,0)+IFERROR(VLOOKUP($B89,CDM!$L$36:$T$46,4,FALSE)/24,0)+IFERROR(VLOOKUP($B89,CDM!$L$36:$T$46,4,FALSE)/2*$C89/78,0)</f>
        <v>857349.82992151473</v>
      </c>
      <c r="N89" s="254">
        <f ca="1">L89+M89</f>
        <v>27521169.928174544</v>
      </c>
      <c r="O89" s="4">
        <v>67429.84</v>
      </c>
      <c r="P89" s="256">
        <v>541</v>
      </c>
      <c r="Q89" s="256">
        <v>6045613.5108398963</v>
      </c>
      <c r="R89" s="256">
        <f ca="1">IFERROR(VLOOKUP($B89-1,CDM!$L$7:$T$18,5,FALSE)/12,0)+IFERROR(VLOOKUP($B89,CDM!$L$36:$T$46,5,FALSE)/24,0)+IFERROR(VLOOKUP($B89,CDM!$L$36:$T$46,5,FALSE)/2*$C89/78,0)</f>
        <v>891516.33542584325</v>
      </c>
      <c r="S89" s="256">
        <f ca="1">Q89+R89</f>
        <v>6937129.8462657398</v>
      </c>
      <c r="T89" s="256">
        <v>13973.12</v>
      </c>
      <c r="U89" s="256">
        <v>18</v>
      </c>
      <c r="V89" s="256">
        <v>2970947</v>
      </c>
      <c r="W89" s="256">
        <f ca="1">IFERROR(VLOOKUP($B89-1,CDM!$L$7:$T$18,6,FALSE)/12,0)+IFERROR(VLOOKUP($B89,CDM!$L$36:$T$46,6,FALSE)/24,0)+IFERROR(VLOOKUP($B89,CDM!$L$36:$T$46,6,FALSE)/2*$C89/78,0)</f>
        <v>33101.833401567674</v>
      </c>
      <c r="X89" s="256">
        <f ca="1">V89+W89</f>
        <v>3004048.8334015678</v>
      </c>
      <c r="Y89" s="256">
        <v>6527.64</v>
      </c>
      <c r="Z89" s="256">
        <v>1</v>
      </c>
      <c r="AA89" s="4">
        <v>334714.68316861225</v>
      </c>
      <c r="AB89" s="4">
        <v>1041.2</v>
      </c>
      <c r="AC89" s="256">
        <v>14116</v>
      </c>
      <c r="AD89" s="256">
        <v>2285.94</v>
      </c>
      <c r="AE89" s="256">
        <v>0</v>
      </c>
      <c r="AF89" s="256">
        <v>19</v>
      </c>
      <c r="AG89" s="4">
        <v>227972</v>
      </c>
      <c r="AH89" s="4">
        <v>252</v>
      </c>
      <c r="AI89" s="28">
        <f>Economic!H91</f>
        <v>850461.9</v>
      </c>
      <c r="AJ89" s="28">
        <f>Economic!I91</f>
        <v>662856.4</v>
      </c>
      <c r="AK89" s="28">
        <f>Economic!J91</f>
        <v>71555.5</v>
      </c>
      <c r="AL89" s="28">
        <f>Economic!K91</f>
        <v>851621</v>
      </c>
      <c r="AM89" s="28">
        <f>Economic!L91</f>
        <v>664186</v>
      </c>
      <c r="AN89" s="28">
        <f>Economic!M91</f>
        <v>30079</v>
      </c>
      <c r="AO89" s="28">
        <f>Economic!D91</f>
        <v>7736.6</v>
      </c>
      <c r="AP89" s="28">
        <f>Economic!E91</f>
        <v>7670</v>
      </c>
      <c r="AQ89" s="28">
        <f>Economic!F91</f>
        <v>227.3</v>
      </c>
      <c r="AR89" s="28">
        <f>Economic!G91</f>
        <v>227.3</v>
      </c>
      <c r="AS89" s="28">
        <f>Economic!N91</f>
        <v>472.60000000000036</v>
      </c>
      <c r="AT89" s="28">
        <f>Economic!O91</f>
        <v>473</v>
      </c>
      <c r="AU89" s="28">
        <f>Economic!P91</f>
        <v>21.300000000000011</v>
      </c>
      <c r="AV89" s="28">
        <f>Economic!Q91</f>
        <v>21.200000000000017</v>
      </c>
      <c r="AW89" s="28">
        <f>Economic!R91</f>
        <v>33196.400000000023</v>
      </c>
      <c r="AX89" s="28">
        <f>Economic!S91</f>
        <v>6403</v>
      </c>
      <c r="AY89" s="7">
        <f>Weather!D89</f>
        <v>6.1888888888888882</v>
      </c>
      <c r="AZ89" s="7">
        <f>Weather!E89</f>
        <v>414.33333333333331</v>
      </c>
      <c r="BA89" s="7">
        <f>Weather!F89</f>
        <v>0</v>
      </c>
      <c r="BB89" s="7">
        <f>Weather!G89</f>
        <v>354.33333333333331</v>
      </c>
      <c r="BC89" s="7">
        <f>Weather!H89</f>
        <v>0</v>
      </c>
      <c r="BD89" s="7">
        <f>Weather!I89</f>
        <v>294.33333333333337</v>
      </c>
      <c r="BE89" s="7">
        <f>Weather!J89</f>
        <v>0</v>
      </c>
      <c r="BF89" s="7">
        <f>Weather!K89</f>
        <v>234.33333333333331</v>
      </c>
      <c r="BG89" s="7">
        <f>Weather!L89</f>
        <v>0</v>
      </c>
      <c r="BH89" s="7">
        <f>Weather!M89</f>
        <v>176.58749999999998</v>
      </c>
      <c r="BI89" s="7">
        <f>Weather!N89</f>
        <v>2.2541666666666629</v>
      </c>
      <c r="BJ89" s="7">
        <f>Weather!O89</f>
        <v>123.04166666666666</v>
      </c>
      <c r="BK89" s="7">
        <f>Weather!P89</f>
        <v>8.7083333333333286</v>
      </c>
      <c r="BL89" s="7">
        <f>Weather!Q89</f>
        <v>75.575000000000003</v>
      </c>
      <c r="BM89" s="7">
        <f>Weather!R89</f>
        <v>21.24166666666666</v>
      </c>
      <c r="BN89" s="1">
        <f t="shared" si="34"/>
        <v>0</v>
      </c>
      <c r="BO89" s="1">
        <f t="shared" si="34"/>
        <v>0</v>
      </c>
      <c r="BP89" s="1">
        <f t="shared" si="34"/>
        <v>0</v>
      </c>
      <c r="BQ89" s="1">
        <f t="shared" si="34"/>
        <v>1</v>
      </c>
      <c r="BR89" s="1">
        <f t="shared" si="34"/>
        <v>0</v>
      </c>
      <c r="BS89" s="1">
        <f t="shared" si="34"/>
        <v>0</v>
      </c>
      <c r="BT89" s="1">
        <f t="shared" si="34"/>
        <v>0</v>
      </c>
      <c r="BU89" s="1">
        <f t="shared" si="34"/>
        <v>0</v>
      </c>
      <c r="BV89" s="1">
        <f t="shared" si="34"/>
        <v>0</v>
      </c>
      <c r="BW89" s="1">
        <f t="shared" si="34"/>
        <v>0</v>
      </c>
      <c r="BX89" s="1">
        <f t="shared" si="34"/>
        <v>0</v>
      </c>
      <c r="BY89" s="1">
        <f t="shared" si="34"/>
        <v>0</v>
      </c>
      <c r="BZ89" s="1">
        <f t="shared" si="34"/>
        <v>1</v>
      </c>
      <c r="CA89" s="1">
        <f t="shared" si="34"/>
        <v>0</v>
      </c>
      <c r="CB89" s="1">
        <f t="shared" si="34"/>
        <v>1</v>
      </c>
      <c r="CC89" s="1">
        <f t="shared" si="23"/>
        <v>88</v>
      </c>
      <c r="CD89" s="1">
        <f t="shared" si="17"/>
        <v>30</v>
      </c>
      <c r="CE89" s="1">
        <v>20</v>
      </c>
      <c r="CF89" s="1">
        <v>0.5</v>
      </c>
      <c r="CG89" s="1">
        <v>0.25</v>
      </c>
      <c r="CH89" s="1">
        <v>0.5</v>
      </c>
      <c r="CI89" s="1">
        <v>0</v>
      </c>
      <c r="CJ89" s="1">
        <f t="shared" si="30"/>
        <v>103.58333333333333</v>
      </c>
      <c r="CK89" s="1">
        <f t="shared" si="30"/>
        <v>0</v>
      </c>
      <c r="CL89" s="1">
        <f t="shared" si="30"/>
        <v>88.583333333333329</v>
      </c>
      <c r="CM89" s="1">
        <f t="shared" si="30"/>
        <v>0</v>
      </c>
      <c r="CN89" s="1">
        <f t="shared" si="30"/>
        <v>73.583333333333343</v>
      </c>
      <c r="CO89" s="1">
        <f t="shared" si="30"/>
        <v>0</v>
      </c>
      <c r="CP89" s="1">
        <f t="shared" si="28"/>
        <v>58.583333333333329</v>
      </c>
      <c r="CQ89" s="1">
        <f t="shared" si="28"/>
        <v>0</v>
      </c>
      <c r="CR89" s="1">
        <f t="shared" si="24"/>
        <v>44.146874999999994</v>
      </c>
      <c r="CS89" s="1">
        <f t="shared" si="24"/>
        <v>0.56354166666666572</v>
      </c>
      <c r="CT89" s="1">
        <f t="shared" si="24"/>
        <v>30.760416666666664</v>
      </c>
      <c r="CU89" s="1">
        <f t="shared" si="24"/>
        <v>2.1770833333333321</v>
      </c>
      <c r="CV89" s="1">
        <f t="shared" si="24"/>
        <v>18.893750000000001</v>
      </c>
      <c r="CW89" s="1">
        <f t="shared" si="24"/>
        <v>5.310416666666665</v>
      </c>
      <c r="CX89" s="1">
        <f t="shared" si="31"/>
        <v>207.16666666666666</v>
      </c>
      <c r="CY89" s="1">
        <f t="shared" si="31"/>
        <v>0</v>
      </c>
      <c r="CZ89" s="1">
        <f t="shared" si="31"/>
        <v>177.16666666666666</v>
      </c>
      <c r="DA89" s="1">
        <f t="shared" si="31"/>
        <v>0</v>
      </c>
      <c r="DB89" s="1">
        <f t="shared" si="31"/>
        <v>147.16666666666669</v>
      </c>
      <c r="DC89" s="1">
        <f t="shared" si="31"/>
        <v>0</v>
      </c>
      <c r="DD89" s="1">
        <f t="shared" si="29"/>
        <v>117.16666666666666</v>
      </c>
      <c r="DE89" s="1">
        <f t="shared" si="29"/>
        <v>0</v>
      </c>
      <c r="DF89" s="1">
        <f t="shared" si="25"/>
        <v>88.293749999999989</v>
      </c>
      <c r="DG89" s="1">
        <f t="shared" si="25"/>
        <v>1.1270833333333314</v>
      </c>
      <c r="DH89" s="1">
        <f t="shared" si="25"/>
        <v>61.520833333333329</v>
      </c>
      <c r="DI89" s="1">
        <f t="shared" si="25"/>
        <v>4.3541666666666643</v>
      </c>
      <c r="DJ89" s="1">
        <f t="shared" si="25"/>
        <v>37.787500000000001</v>
      </c>
      <c r="DK89" s="1">
        <f t="shared" si="25"/>
        <v>10.62083333333333</v>
      </c>
      <c r="DL89" s="24">
        <v>498947.33</v>
      </c>
      <c r="DM89" s="25">
        <v>880</v>
      </c>
      <c r="DN89" s="24"/>
      <c r="DO89" s="25"/>
      <c r="DP89" s="25"/>
      <c r="DQ89" s="25"/>
      <c r="DR89" s="25"/>
      <c r="DS89" s="25"/>
      <c r="DT89" s="25"/>
      <c r="DU89" s="25"/>
      <c r="DV89" s="25"/>
    </row>
    <row r="90" spans="1:126" x14ac:dyDescent="0.25">
      <c r="A90" s="252">
        <v>44682</v>
      </c>
      <c r="B90" s="253">
        <f t="shared" si="18"/>
        <v>2022</v>
      </c>
      <c r="C90" s="253">
        <f t="shared" si="19"/>
        <v>5</v>
      </c>
      <c r="D90" s="254">
        <v>34630790.550903581</v>
      </c>
      <c r="E90" s="254">
        <f ca="1">IFERROR(VLOOKUP($B90-1,CDM!$L$7:$T$18,2,FALSE)/12,0)+IFERROR(VLOOKUP($B90,CDM!$L$36:$T$46,2,FALSE)/24,0)+IFERROR(VLOOKUP($B90,CDM!$L$36:$T$46,2,FALSE)/2*$C90/78,0)</f>
        <v>2456701.4002855746</v>
      </c>
      <c r="F90" s="254">
        <f ca="1">D90+E90</f>
        <v>37087491.951189153</v>
      </c>
      <c r="G90" s="255">
        <v>55766</v>
      </c>
      <c r="H90" s="254">
        <v>9507616.1365897879</v>
      </c>
      <c r="I90" s="254">
        <f ca="1">IFERROR(VLOOKUP($B90-1,CDM!$L$7:$T$18,3,FALSE)/12,0)+IFERROR(VLOOKUP($B90,CDM!$L$36:$T$46,3,FALSE)/24,0)+IFERROR(VLOOKUP($B90,CDM!$L$36:$T$46,3,FALSE)/2*$C90/78,0)</f>
        <v>656202.55587786483</v>
      </c>
      <c r="J90" s="254">
        <f ca="1">H90+I90</f>
        <v>10163818.692467652</v>
      </c>
      <c r="K90" s="256">
        <v>4290</v>
      </c>
      <c r="L90" s="4">
        <v>24890793.737580504</v>
      </c>
      <c r="M90" s="257">
        <f ca="1">IFERROR(VLOOKUP($B90-1,CDM!$L$7:$T$18,4,FALSE)/12,0)+IFERROR(VLOOKUP($B90,CDM!$L$36:$T$46,4,FALSE)/24,0)+IFERROR(VLOOKUP($B90,CDM!$L$36:$T$46,4,FALSE)/2*$C90/78,0)</f>
        <v>870461.30655232363</v>
      </c>
      <c r="N90" s="254">
        <f ca="1">L90+M90</f>
        <v>25761255.044132829</v>
      </c>
      <c r="O90" s="4">
        <v>67329.42</v>
      </c>
      <c r="P90" s="256">
        <v>540</v>
      </c>
      <c r="Q90" s="256">
        <v>6982612.1857928671</v>
      </c>
      <c r="R90" s="256">
        <f ca="1">IFERROR(VLOOKUP($B90-1,CDM!$L$7:$T$18,5,FALSE)/12,0)+IFERROR(VLOOKUP($B90,CDM!$L$36:$T$46,5,FALSE)/24,0)+IFERROR(VLOOKUP($B90,CDM!$L$36:$T$46,5,FALSE)/2*$C90/78,0)</f>
        <v>893910.98921080166</v>
      </c>
      <c r="S90" s="256">
        <f ca="1">Q90+R90</f>
        <v>7876523.1750036683</v>
      </c>
      <c r="T90" s="256">
        <v>15605.1</v>
      </c>
      <c r="U90" s="256">
        <v>18</v>
      </c>
      <c r="V90" s="256">
        <v>3078921</v>
      </c>
      <c r="W90" s="256">
        <f ca="1">IFERROR(VLOOKUP($B90-1,CDM!$L$7:$T$18,6,FALSE)/12,0)+IFERROR(VLOOKUP($B90,CDM!$L$36:$T$46,6,FALSE)/24,0)+IFERROR(VLOOKUP($B90,CDM!$L$36:$T$46,6,FALSE)/2*$C90/78,0)</f>
        <v>33685.915199809795</v>
      </c>
      <c r="X90" s="256">
        <f ca="1">V90+W90</f>
        <v>3112606.9151998097</v>
      </c>
      <c r="Y90" s="256">
        <v>6993.84</v>
      </c>
      <c r="Z90" s="256">
        <v>1</v>
      </c>
      <c r="AA90" s="4">
        <v>306483.41781778628</v>
      </c>
      <c r="AB90" s="4">
        <v>1042.5</v>
      </c>
      <c r="AC90" s="256">
        <v>14116</v>
      </c>
      <c r="AD90" s="256">
        <v>2212.1999999999998</v>
      </c>
      <c r="AE90" s="256">
        <v>0</v>
      </c>
      <c r="AF90" s="256">
        <v>19</v>
      </c>
      <c r="AG90" s="4">
        <v>228523</v>
      </c>
      <c r="AH90" s="4">
        <v>252</v>
      </c>
      <c r="AI90" s="28">
        <f>Economic!H92</f>
        <v>850461.9</v>
      </c>
      <c r="AJ90" s="28">
        <f>Economic!I92</f>
        <v>662856.4</v>
      </c>
      <c r="AK90" s="28">
        <f>Economic!J92</f>
        <v>71555.5</v>
      </c>
      <c r="AL90" s="28">
        <f>Economic!K92</f>
        <v>851621</v>
      </c>
      <c r="AM90" s="28">
        <f>Economic!L92</f>
        <v>664186</v>
      </c>
      <c r="AN90" s="28">
        <f>Economic!M92</f>
        <v>30079</v>
      </c>
      <c r="AO90" s="28">
        <f>Economic!D92</f>
        <v>7753.3</v>
      </c>
      <c r="AP90" s="28">
        <f>Economic!E92</f>
        <v>7738.6</v>
      </c>
      <c r="AQ90" s="28">
        <f>Economic!F92</f>
        <v>229.3</v>
      </c>
      <c r="AR90" s="28">
        <f>Economic!G92</f>
        <v>230.8</v>
      </c>
      <c r="AS90" s="28">
        <f>Economic!N92</f>
        <v>494</v>
      </c>
      <c r="AT90" s="28">
        <f>Economic!O92</f>
        <v>500.90000000000055</v>
      </c>
      <c r="AU90" s="28">
        <f>Economic!P92</f>
        <v>25.200000000000017</v>
      </c>
      <c r="AV90" s="28">
        <f>Economic!Q92</f>
        <v>24.800000000000011</v>
      </c>
      <c r="AW90" s="28">
        <f>Economic!R92</f>
        <v>33196.400000000023</v>
      </c>
      <c r="AX90" s="28">
        <f>Economic!S92</f>
        <v>6403</v>
      </c>
      <c r="AY90" s="7">
        <f>Weather!D90</f>
        <v>15.065725806451612</v>
      </c>
      <c r="AZ90" s="7">
        <f>Weather!E90</f>
        <v>158.97916666666669</v>
      </c>
      <c r="BA90" s="7">
        <f>Weather!F90</f>
        <v>6.0166666666666657</v>
      </c>
      <c r="BB90" s="7">
        <f>Weather!G90</f>
        <v>109.50833333333333</v>
      </c>
      <c r="BC90" s="7">
        <f>Weather!H90</f>
        <v>18.545833333333334</v>
      </c>
      <c r="BD90" s="7">
        <f>Weather!I90</f>
        <v>70.650000000000006</v>
      </c>
      <c r="BE90" s="7">
        <f>Weather!J90</f>
        <v>41.6875</v>
      </c>
      <c r="BF90" s="7">
        <f>Weather!K90</f>
        <v>39.324999999999996</v>
      </c>
      <c r="BG90" s="7">
        <f>Weather!L90</f>
        <v>72.362499999999997</v>
      </c>
      <c r="BH90" s="7">
        <f>Weather!M90</f>
        <v>14.399999999999993</v>
      </c>
      <c r="BI90" s="7">
        <f>Weather!N90</f>
        <v>109.43749999999997</v>
      </c>
      <c r="BJ90" s="7">
        <f>Weather!O90</f>
        <v>0.93333333333333179</v>
      </c>
      <c r="BK90" s="7">
        <f>Weather!P90</f>
        <v>157.97083333333333</v>
      </c>
      <c r="BL90" s="7">
        <f>Weather!Q90</f>
        <v>0</v>
      </c>
      <c r="BM90" s="7">
        <f>Weather!R90</f>
        <v>219.03749999999999</v>
      </c>
      <c r="BN90" s="1">
        <f t="shared" si="34"/>
        <v>0</v>
      </c>
      <c r="BO90" s="1">
        <f t="shared" si="34"/>
        <v>0</v>
      </c>
      <c r="BP90" s="1">
        <f t="shared" si="34"/>
        <v>0</v>
      </c>
      <c r="BQ90" s="1">
        <f t="shared" si="34"/>
        <v>0</v>
      </c>
      <c r="BR90" s="1">
        <f t="shared" si="34"/>
        <v>1</v>
      </c>
      <c r="BS90" s="1">
        <f t="shared" si="34"/>
        <v>0</v>
      </c>
      <c r="BT90" s="1">
        <f t="shared" si="34"/>
        <v>0</v>
      </c>
      <c r="BU90" s="1">
        <f t="shared" si="34"/>
        <v>0</v>
      </c>
      <c r="BV90" s="1">
        <f t="shared" si="34"/>
        <v>0</v>
      </c>
      <c r="BW90" s="1">
        <f t="shared" si="34"/>
        <v>0</v>
      </c>
      <c r="BX90" s="1">
        <f t="shared" si="34"/>
        <v>0</v>
      </c>
      <c r="BY90" s="1">
        <f t="shared" si="34"/>
        <v>0</v>
      </c>
      <c r="BZ90" s="1">
        <f t="shared" si="34"/>
        <v>1</v>
      </c>
      <c r="CA90" s="1">
        <f t="shared" si="34"/>
        <v>0</v>
      </c>
      <c r="CB90" s="1">
        <f t="shared" si="34"/>
        <v>1</v>
      </c>
      <c r="CC90" s="1">
        <f t="shared" si="23"/>
        <v>89</v>
      </c>
      <c r="CD90" s="1">
        <f t="shared" si="17"/>
        <v>31</v>
      </c>
      <c r="CE90" s="1">
        <v>21</v>
      </c>
      <c r="CF90" s="1">
        <v>0.5</v>
      </c>
      <c r="CG90" s="1">
        <v>0.25</v>
      </c>
      <c r="CH90" s="1">
        <v>0.5</v>
      </c>
      <c r="CI90" s="1">
        <v>0</v>
      </c>
      <c r="CJ90" s="1">
        <f t="shared" si="30"/>
        <v>39.744791666666671</v>
      </c>
      <c r="CK90" s="1">
        <f t="shared" si="30"/>
        <v>1.5041666666666664</v>
      </c>
      <c r="CL90" s="1">
        <f t="shared" si="30"/>
        <v>27.377083333333331</v>
      </c>
      <c r="CM90" s="1">
        <f t="shared" si="30"/>
        <v>4.6364583333333336</v>
      </c>
      <c r="CN90" s="1">
        <f t="shared" si="30"/>
        <v>17.662500000000001</v>
      </c>
      <c r="CO90" s="1">
        <f t="shared" si="30"/>
        <v>10.421875</v>
      </c>
      <c r="CP90" s="1">
        <f t="shared" si="28"/>
        <v>9.8312499999999989</v>
      </c>
      <c r="CQ90" s="1">
        <f t="shared" si="28"/>
        <v>18.090624999999999</v>
      </c>
      <c r="CR90" s="1">
        <f t="shared" si="24"/>
        <v>3.5999999999999983</v>
      </c>
      <c r="CS90" s="1">
        <f t="shared" si="24"/>
        <v>27.359374999999993</v>
      </c>
      <c r="CT90" s="1">
        <f t="shared" si="24"/>
        <v>0.23333333333333295</v>
      </c>
      <c r="CU90" s="1">
        <f t="shared" si="24"/>
        <v>39.492708333333333</v>
      </c>
      <c r="CV90" s="1">
        <f t="shared" si="24"/>
        <v>0</v>
      </c>
      <c r="CW90" s="1">
        <f t="shared" si="24"/>
        <v>54.759374999999999</v>
      </c>
      <c r="CX90" s="1">
        <f t="shared" si="31"/>
        <v>79.489583333333343</v>
      </c>
      <c r="CY90" s="1">
        <f t="shared" si="31"/>
        <v>3.0083333333333329</v>
      </c>
      <c r="CZ90" s="1">
        <f t="shared" si="31"/>
        <v>54.754166666666663</v>
      </c>
      <c r="DA90" s="1">
        <f t="shared" si="31"/>
        <v>9.2729166666666671</v>
      </c>
      <c r="DB90" s="1">
        <f t="shared" si="31"/>
        <v>35.325000000000003</v>
      </c>
      <c r="DC90" s="1">
        <f t="shared" si="31"/>
        <v>20.84375</v>
      </c>
      <c r="DD90" s="1">
        <f t="shared" si="29"/>
        <v>19.662499999999998</v>
      </c>
      <c r="DE90" s="1">
        <f t="shared" si="29"/>
        <v>36.181249999999999</v>
      </c>
      <c r="DF90" s="1">
        <f t="shared" si="25"/>
        <v>7.1999999999999966</v>
      </c>
      <c r="DG90" s="1">
        <f t="shared" si="25"/>
        <v>54.718749999999986</v>
      </c>
      <c r="DH90" s="1">
        <f t="shared" si="25"/>
        <v>0.4666666666666659</v>
      </c>
      <c r="DI90" s="1">
        <f t="shared" si="25"/>
        <v>78.985416666666666</v>
      </c>
      <c r="DJ90" s="1">
        <f t="shared" si="25"/>
        <v>0</v>
      </c>
      <c r="DK90" s="1">
        <f t="shared" si="25"/>
        <v>109.51875</v>
      </c>
      <c r="DL90" s="24">
        <v>555306.98</v>
      </c>
      <c r="DM90" s="25">
        <v>1113.3</v>
      </c>
      <c r="DN90" s="24"/>
      <c r="DO90" s="25"/>
      <c r="DP90" s="25"/>
      <c r="DQ90" s="25"/>
      <c r="DR90" s="25"/>
      <c r="DS90" s="25"/>
      <c r="DT90" s="25"/>
      <c r="DU90" s="25"/>
      <c r="DV90" s="25"/>
    </row>
    <row r="91" spans="1:126" x14ac:dyDescent="0.25">
      <c r="A91" s="252">
        <v>44713</v>
      </c>
      <c r="B91" s="253">
        <f t="shared" si="18"/>
        <v>2022</v>
      </c>
      <c r="C91" s="253">
        <f t="shared" si="19"/>
        <v>6</v>
      </c>
      <c r="D91" s="254">
        <v>39143692.864844836</v>
      </c>
      <c r="E91" s="254">
        <f ca="1">IFERROR(VLOOKUP($B91-1,CDM!$L$7:$T$18,2,FALSE)/12,0)+IFERROR(VLOOKUP($B91,CDM!$L$36:$T$46,2,FALSE)/24,0)+IFERROR(VLOOKUP($B91,CDM!$L$36:$T$46,2,FALSE)/2*$C91/78,0)</f>
        <v>2457823.6307167481</v>
      </c>
      <c r="F91" s="254">
        <f ca="1">D91+E91</f>
        <v>41601516.495561585</v>
      </c>
      <c r="G91" s="255">
        <v>55894</v>
      </c>
      <c r="H91" s="254">
        <v>9821174.1501635034</v>
      </c>
      <c r="I91" s="254">
        <f ca="1">IFERROR(VLOOKUP($B91-1,CDM!$L$7:$T$18,3,FALSE)/12,0)+IFERROR(VLOOKUP($B91,CDM!$L$36:$T$46,3,FALSE)/24,0)+IFERROR(VLOOKUP($B91,CDM!$L$36:$T$46,3,FALSE)/2*$C91/78,0)</f>
        <v>663491.05377667595</v>
      </c>
      <c r="J91" s="254">
        <f ca="1">H91+I91</f>
        <v>10484665.203940179</v>
      </c>
      <c r="K91" s="256">
        <v>4306</v>
      </c>
      <c r="L91" s="4">
        <v>26156585.392963044</v>
      </c>
      <c r="M91" s="257">
        <f ca="1">IFERROR(VLOOKUP($B91-1,CDM!$L$7:$T$18,4,FALSE)/12,0)+IFERROR(VLOOKUP($B91,CDM!$L$36:$T$46,4,FALSE)/24,0)+IFERROR(VLOOKUP($B91,CDM!$L$36:$T$46,4,FALSE)/2*$C91/78,0)</f>
        <v>883572.78318313253</v>
      </c>
      <c r="N91" s="254">
        <f ca="1">L91+M91</f>
        <v>27040158.176146176</v>
      </c>
      <c r="O91" s="4">
        <v>71112.03</v>
      </c>
      <c r="P91" s="256">
        <v>541</v>
      </c>
      <c r="Q91" s="256">
        <v>7425964.8022573106</v>
      </c>
      <c r="R91" s="256">
        <f ca="1">IFERROR(VLOOKUP($B91-1,CDM!$L$7:$T$18,5,FALSE)/12,0)+IFERROR(VLOOKUP($B91,CDM!$L$36:$T$46,5,FALSE)/24,0)+IFERROR(VLOOKUP($B91,CDM!$L$36:$T$46,5,FALSE)/2*$C91/78,0)</f>
        <v>896305.64299575996</v>
      </c>
      <c r="S91" s="256">
        <f ca="1">Q91+R91</f>
        <v>8322270.4452530704</v>
      </c>
      <c r="T91" s="256">
        <v>18139.449999999997</v>
      </c>
      <c r="U91" s="256">
        <v>18</v>
      </c>
      <c r="V91" s="256">
        <v>3066956</v>
      </c>
      <c r="W91" s="256">
        <f ca="1">IFERROR(VLOOKUP($B91-1,CDM!$L$7:$T$18,6,FALSE)/12,0)+IFERROR(VLOOKUP($B91,CDM!$L$36:$T$46,6,FALSE)/24,0)+IFERROR(VLOOKUP($B91,CDM!$L$36:$T$46,6,FALSE)/2*$C91/78,0)</f>
        <v>34269.996998051924</v>
      </c>
      <c r="X91" s="256">
        <f ca="1">V91+W91</f>
        <v>3101225.9969980521</v>
      </c>
      <c r="Y91" s="256">
        <v>6158.88</v>
      </c>
      <c r="Z91" s="256">
        <v>1</v>
      </c>
      <c r="AA91" s="4">
        <v>274571.25606518658</v>
      </c>
      <c r="AB91" s="4">
        <v>1043.5999999999999</v>
      </c>
      <c r="AC91" s="256">
        <v>14161</v>
      </c>
      <c r="AD91" s="256">
        <v>2285.94</v>
      </c>
      <c r="AE91" s="256">
        <v>0</v>
      </c>
      <c r="AF91" s="256">
        <v>19</v>
      </c>
      <c r="AG91" s="4">
        <v>228523</v>
      </c>
      <c r="AH91" s="4">
        <v>252</v>
      </c>
      <c r="AI91" s="28">
        <f>Economic!H93</f>
        <v>850461.9</v>
      </c>
      <c r="AJ91" s="28">
        <f>Economic!I93</f>
        <v>662856.4</v>
      </c>
      <c r="AK91" s="28">
        <f>Economic!J93</f>
        <v>71555.5</v>
      </c>
      <c r="AL91" s="28">
        <f>Economic!K93</f>
        <v>851621</v>
      </c>
      <c r="AM91" s="28">
        <f>Economic!L93</f>
        <v>664186</v>
      </c>
      <c r="AN91" s="28">
        <f>Economic!M93</f>
        <v>30079</v>
      </c>
      <c r="AO91" s="28">
        <f>Economic!D93</f>
        <v>7754.8</v>
      </c>
      <c r="AP91" s="28">
        <f>Economic!E93</f>
        <v>7809.2</v>
      </c>
      <c r="AQ91" s="28">
        <f>Economic!F93</f>
        <v>229.9</v>
      </c>
      <c r="AR91" s="28">
        <f>Economic!G93</f>
        <v>232.7</v>
      </c>
      <c r="AS91" s="28">
        <f>Economic!N93</f>
        <v>509.5</v>
      </c>
      <c r="AT91" s="28">
        <f>Economic!O93</f>
        <v>516.19999999999982</v>
      </c>
      <c r="AU91" s="28">
        <f>Economic!P93</f>
        <v>26</v>
      </c>
      <c r="AV91" s="28">
        <f>Economic!Q93</f>
        <v>25.599999999999994</v>
      </c>
      <c r="AW91" s="28">
        <f>Economic!R93</f>
        <v>33196.400000000023</v>
      </c>
      <c r="AX91" s="28">
        <f>Economic!S93</f>
        <v>6403</v>
      </c>
      <c r="AY91" s="7">
        <f>Weather!D91</f>
        <v>18.03075013875014</v>
      </c>
      <c r="AZ91" s="7">
        <f>Weather!E91</f>
        <v>75.529010989011013</v>
      </c>
      <c r="BA91" s="7">
        <f>Weather!F91</f>
        <v>16.451515151515149</v>
      </c>
      <c r="BB91" s="7">
        <f>Weather!G91</f>
        <v>36.166510989010987</v>
      </c>
      <c r="BC91" s="7">
        <f>Weather!H91</f>
        <v>37.089015151515156</v>
      </c>
      <c r="BD91" s="7">
        <f>Weather!I91</f>
        <v>6.1903205128205077</v>
      </c>
      <c r="BE91" s="7">
        <f>Weather!J91</f>
        <v>67.11282467532466</v>
      </c>
      <c r="BF91" s="7">
        <f>Weather!K91</f>
        <v>0</v>
      </c>
      <c r="BG91" s="7">
        <f>Weather!L91</f>
        <v>120.92250416250417</v>
      </c>
      <c r="BH91" s="7">
        <f>Weather!M91</f>
        <v>0</v>
      </c>
      <c r="BI91" s="7">
        <f>Weather!N91</f>
        <v>180.92250416250408</v>
      </c>
      <c r="BJ91" s="7">
        <f>Weather!O91</f>
        <v>0</v>
      </c>
      <c r="BK91" s="7">
        <f>Weather!P91</f>
        <v>240.92250416250408</v>
      </c>
      <c r="BL91" s="7">
        <f>Weather!Q91</f>
        <v>0</v>
      </c>
      <c r="BM91" s="7">
        <f>Weather!R91</f>
        <v>300.92250416250414</v>
      </c>
      <c r="BN91" s="1">
        <f t="shared" si="34"/>
        <v>0</v>
      </c>
      <c r="BO91" s="1">
        <f t="shared" si="34"/>
        <v>0</v>
      </c>
      <c r="BP91" s="1">
        <f t="shared" si="34"/>
        <v>0</v>
      </c>
      <c r="BQ91" s="1">
        <f t="shared" si="34"/>
        <v>0</v>
      </c>
      <c r="BR91" s="1">
        <f t="shared" si="34"/>
        <v>0</v>
      </c>
      <c r="BS91" s="1">
        <f t="shared" si="34"/>
        <v>1</v>
      </c>
      <c r="BT91" s="1">
        <f t="shared" si="34"/>
        <v>0</v>
      </c>
      <c r="BU91" s="1">
        <f t="shared" si="34"/>
        <v>0</v>
      </c>
      <c r="BV91" s="1">
        <f t="shared" si="34"/>
        <v>0</v>
      </c>
      <c r="BW91" s="1">
        <f t="shared" si="34"/>
        <v>0</v>
      </c>
      <c r="BX91" s="1">
        <f t="shared" si="34"/>
        <v>0</v>
      </c>
      <c r="BY91" s="1">
        <f t="shared" si="34"/>
        <v>0</v>
      </c>
      <c r="BZ91" s="1">
        <f t="shared" si="34"/>
        <v>0</v>
      </c>
      <c r="CA91" s="1">
        <f t="shared" si="34"/>
        <v>0</v>
      </c>
      <c r="CB91" s="1">
        <f t="shared" si="34"/>
        <v>0</v>
      </c>
      <c r="CC91" s="1">
        <f t="shared" si="23"/>
        <v>90</v>
      </c>
      <c r="CD91" s="1">
        <f t="shared" si="17"/>
        <v>30</v>
      </c>
      <c r="CE91" s="1">
        <v>22</v>
      </c>
      <c r="CF91" s="1">
        <v>0.5</v>
      </c>
      <c r="CG91" s="1">
        <v>0.25</v>
      </c>
      <c r="CH91" s="1">
        <v>0.5</v>
      </c>
      <c r="CI91" s="1">
        <v>0</v>
      </c>
      <c r="CJ91" s="1">
        <f t="shared" si="30"/>
        <v>18.882252747252753</v>
      </c>
      <c r="CK91" s="1">
        <f t="shared" si="30"/>
        <v>4.1128787878787874</v>
      </c>
      <c r="CL91" s="1">
        <f t="shared" si="30"/>
        <v>9.0416277472527469</v>
      </c>
      <c r="CM91" s="1">
        <f t="shared" si="30"/>
        <v>9.272253787878789</v>
      </c>
      <c r="CN91" s="1">
        <f t="shared" si="30"/>
        <v>1.5475801282051269</v>
      </c>
      <c r="CO91" s="1">
        <f t="shared" si="30"/>
        <v>16.778206168831165</v>
      </c>
      <c r="CP91" s="1">
        <f t="shared" si="28"/>
        <v>0</v>
      </c>
      <c r="CQ91" s="1">
        <f t="shared" si="28"/>
        <v>30.230626040626042</v>
      </c>
      <c r="CR91" s="1">
        <f t="shared" si="24"/>
        <v>0</v>
      </c>
      <c r="CS91" s="1">
        <f t="shared" si="24"/>
        <v>45.230626040626021</v>
      </c>
      <c r="CT91" s="1">
        <f t="shared" si="24"/>
        <v>0</v>
      </c>
      <c r="CU91" s="1">
        <f t="shared" si="24"/>
        <v>60.230626040626021</v>
      </c>
      <c r="CV91" s="1">
        <f t="shared" si="24"/>
        <v>0</v>
      </c>
      <c r="CW91" s="1">
        <f t="shared" si="24"/>
        <v>75.230626040626035</v>
      </c>
      <c r="CX91" s="1">
        <f t="shared" si="31"/>
        <v>37.764505494505507</v>
      </c>
      <c r="CY91" s="1">
        <f t="shared" si="31"/>
        <v>8.2257575757575747</v>
      </c>
      <c r="CZ91" s="1">
        <f t="shared" si="31"/>
        <v>18.083255494505494</v>
      </c>
      <c r="DA91" s="1">
        <f t="shared" si="31"/>
        <v>18.544507575757578</v>
      </c>
      <c r="DB91" s="1">
        <f t="shared" si="31"/>
        <v>3.0951602564102538</v>
      </c>
      <c r="DC91" s="1">
        <f t="shared" si="31"/>
        <v>33.55641233766233</v>
      </c>
      <c r="DD91" s="1">
        <f t="shared" si="29"/>
        <v>0</v>
      </c>
      <c r="DE91" s="1">
        <f t="shared" si="29"/>
        <v>60.461252081252084</v>
      </c>
      <c r="DF91" s="1">
        <f t="shared" si="25"/>
        <v>0</v>
      </c>
      <c r="DG91" s="1">
        <f t="shared" si="25"/>
        <v>90.461252081252042</v>
      </c>
      <c r="DH91" s="1">
        <f t="shared" si="25"/>
        <v>0</v>
      </c>
      <c r="DI91" s="1">
        <f t="shared" si="25"/>
        <v>120.46125208125204</v>
      </c>
      <c r="DJ91" s="1">
        <f t="shared" si="25"/>
        <v>0</v>
      </c>
      <c r="DK91" s="1">
        <f t="shared" si="25"/>
        <v>150.46125208125207</v>
      </c>
      <c r="DL91" s="24">
        <v>554313.1399999999</v>
      </c>
      <c r="DM91" s="25">
        <v>1169.49</v>
      </c>
      <c r="DN91" s="24"/>
      <c r="DO91" s="25"/>
      <c r="DP91" s="25"/>
      <c r="DQ91" s="25"/>
      <c r="DR91" s="25"/>
      <c r="DS91" s="25"/>
      <c r="DT91" s="25"/>
      <c r="DU91" s="25"/>
      <c r="DV91" s="25"/>
    </row>
    <row r="92" spans="1:126" x14ac:dyDescent="0.25">
      <c r="A92" s="252">
        <v>44743</v>
      </c>
      <c r="B92" s="253">
        <f t="shared" si="18"/>
        <v>2022</v>
      </c>
      <c r="C92" s="253">
        <f t="shared" si="19"/>
        <v>7</v>
      </c>
      <c r="D92" s="254">
        <v>47673004.839997016</v>
      </c>
      <c r="E92" s="254">
        <f ca="1">IFERROR(VLOOKUP($B92-1,CDM!$L$7:$T$18,2,FALSE)/12,0)+IFERROR(VLOOKUP($B92,CDM!$L$36:$T$46,2,FALSE)/24,0)+IFERROR(VLOOKUP($B92,CDM!$L$36:$T$46,2,FALSE)/2*$C92/78,0)</f>
        <v>2458945.861147922</v>
      </c>
      <c r="F92" s="254">
        <f ca="1">D92+E92</f>
        <v>50131950.701144941</v>
      </c>
      <c r="G92" s="255">
        <v>55757</v>
      </c>
      <c r="H92" s="254">
        <v>11050486.114305733</v>
      </c>
      <c r="I92" s="254">
        <f ca="1">IFERROR(VLOOKUP($B92-1,CDM!$L$7:$T$18,3,FALSE)/12,0)+IFERROR(VLOOKUP($B92,CDM!$L$36:$T$46,3,FALSE)/24,0)+IFERROR(VLOOKUP($B92,CDM!$L$36:$T$46,3,FALSE)/2*$C92/78,0)</f>
        <v>670779.55167548708</v>
      </c>
      <c r="J92" s="254">
        <f ca="1">H92+I92</f>
        <v>11721265.66598122</v>
      </c>
      <c r="K92" s="256">
        <v>4310</v>
      </c>
      <c r="L92" s="4">
        <v>29588254.129680257</v>
      </c>
      <c r="M92" s="257">
        <f ca="1">IFERROR(VLOOKUP($B92-1,CDM!$L$7:$T$18,4,FALSE)/12,0)+IFERROR(VLOOKUP($B92,CDM!$L$36:$T$46,4,FALSE)/24,0)+IFERROR(VLOOKUP($B92,CDM!$L$36:$T$46,4,FALSE)/2*$C92/78,0)</f>
        <v>896684.25981394143</v>
      </c>
      <c r="N92" s="254">
        <f ca="1">L92+M92</f>
        <v>30484938.389494199</v>
      </c>
      <c r="O92" s="4">
        <v>74267.73</v>
      </c>
      <c r="P92" s="256">
        <v>541</v>
      </c>
      <c r="Q92" s="256">
        <v>7928859.0131399157</v>
      </c>
      <c r="R92" s="256">
        <f ca="1">IFERROR(VLOOKUP($B92-1,CDM!$L$7:$T$18,5,FALSE)/12,0)+IFERROR(VLOOKUP($B92,CDM!$L$36:$T$46,5,FALSE)/24,0)+IFERROR(VLOOKUP($B92,CDM!$L$36:$T$46,5,FALSE)/2*$C92/78,0)</f>
        <v>898700.29678071837</v>
      </c>
      <c r="S92" s="256">
        <f ca="1">Q92+R92</f>
        <v>8827559.3099206332</v>
      </c>
      <c r="T92" s="256">
        <v>16351.04</v>
      </c>
      <c r="U92" s="256">
        <v>18</v>
      </c>
      <c r="V92" s="256">
        <v>2783162</v>
      </c>
      <c r="W92" s="256">
        <f ca="1">IFERROR(VLOOKUP($B92-1,CDM!$L$7:$T$18,6,FALSE)/12,0)+IFERROR(VLOOKUP($B92,CDM!$L$36:$T$46,6,FALSE)/24,0)+IFERROR(VLOOKUP($B92,CDM!$L$36:$T$46,6,FALSE)/2*$C92/78,0)</f>
        <v>34854.078796294045</v>
      </c>
      <c r="X92" s="256">
        <f ca="1">V92+W92</f>
        <v>2818016.0787962941</v>
      </c>
      <c r="Y92" s="256">
        <v>6849.36</v>
      </c>
      <c r="Z92" s="256">
        <v>1</v>
      </c>
      <c r="AA92" s="4">
        <v>291856.44110352668</v>
      </c>
      <c r="AB92" s="4">
        <v>1043.9000000000001</v>
      </c>
      <c r="AC92" s="256">
        <v>14166</v>
      </c>
      <c r="AD92" s="256">
        <v>2285.94</v>
      </c>
      <c r="AE92" s="256">
        <v>0</v>
      </c>
      <c r="AF92" s="256">
        <v>19</v>
      </c>
      <c r="AG92" s="4">
        <v>228489</v>
      </c>
      <c r="AH92" s="4">
        <v>251</v>
      </c>
      <c r="AI92" s="28">
        <f>Economic!H94</f>
        <v>850461.9</v>
      </c>
      <c r="AJ92" s="28">
        <f>Economic!I94</f>
        <v>662856.4</v>
      </c>
      <c r="AK92" s="28">
        <f>Economic!J94</f>
        <v>71555.5</v>
      </c>
      <c r="AL92" s="28">
        <f>Economic!K94</f>
        <v>852979</v>
      </c>
      <c r="AM92" s="28">
        <f>Economic!L94</f>
        <v>664978</v>
      </c>
      <c r="AN92" s="28">
        <f>Economic!M94</f>
        <v>30634</v>
      </c>
      <c r="AO92" s="28">
        <f>Economic!D94</f>
        <v>7754.8</v>
      </c>
      <c r="AP92" s="28">
        <f>Economic!E94</f>
        <v>7843.6</v>
      </c>
      <c r="AQ92" s="28">
        <f>Economic!F94</f>
        <v>228.8</v>
      </c>
      <c r="AR92" s="28">
        <f>Economic!G94</f>
        <v>231.2</v>
      </c>
      <c r="AS92" s="28">
        <f>Economic!N94</f>
        <v>443.40000000000055</v>
      </c>
      <c r="AT92" s="28">
        <f>Economic!O94</f>
        <v>451.80000000000018</v>
      </c>
      <c r="AU92" s="28">
        <f>Economic!P94</f>
        <v>23.100000000000023</v>
      </c>
      <c r="AV92" s="28">
        <f>Economic!Q94</f>
        <v>22.399999999999977</v>
      </c>
      <c r="AW92" s="28">
        <f>Economic!R94</f>
        <v>33196.400000000023</v>
      </c>
      <c r="AX92" s="28">
        <f>Economic!S94</f>
        <v>1358</v>
      </c>
      <c r="AY92" s="7">
        <f>Weather!D92</f>
        <v>21.15659155778647</v>
      </c>
      <c r="AZ92" s="7">
        <f>Weather!E92</f>
        <v>8.9945652173913082</v>
      </c>
      <c r="BA92" s="7">
        <f>Weather!F92</f>
        <v>44.848903508771912</v>
      </c>
      <c r="BB92" s="7">
        <f>Weather!G92</f>
        <v>0.62083333333333357</v>
      </c>
      <c r="BC92" s="7">
        <f>Weather!H92</f>
        <v>98.475171624713937</v>
      </c>
      <c r="BD92" s="7">
        <f>Weather!I92</f>
        <v>0</v>
      </c>
      <c r="BE92" s="7">
        <f>Weather!J92</f>
        <v>159.8543382913806</v>
      </c>
      <c r="BF92" s="7">
        <f>Weather!K92</f>
        <v>0</v>
      </c>
      <c r="BG92" s="7">
        <f>Weather!L92</f>
        <v>221.8543382913806</v>
      </c>
      <c r="BH92" s="7">
        <f>Weather!M92</f>
        <v>0</v>
      </c>
      <c r="BI92" s="7">
        <f>Weather!N92</f>
        <v>283.8543382913806</v>
      </c>
      <c r="BJ92" s="7">
        <f>Weather!O92</f>
        <v>0</v>
      </c>
      <c r="BK92" s="7">
        <f>Weather!P92</f>
        <v>345.85433829138066</v>
      </c>
      <c r="BL92" s="7">
        <f>Weather!Q92</f>
        <v>0</v>
      </c>
      <c r="BM92" s="7">
        <f>Weather!R92</f>
        <v>407.8543382913806</v>
      </c>
      <c r="BN92" s="1">
        <f t="shared" si="34"/>
        <v>0</v>
      </c>
      <c r="BO92" s="1">
        <f t="shared" si="34"/>
        <v>0</v>
      </c>
      <c r="BP92" s="1">
        <f t="shared" si="34"/>
        <v>0</v>
      </c>
      <c r="BQ92" s="1">
        <f t="shared" si="34"/>
        <v>0</v>
      </c>
      <c r="BR92" s="1">
        <f t="shared" si="34"/>
        <v>0</v>
      </c>
      <c r="BS92" s="1">
        <f t="shared" si="34"/>
        <v>0</v>
      </c>
      <c r="BT92" s="1">
        <f t="shared" si="34"/>
        <v>1</v>
      </c>
      <c r="BU92" s="1">
        <f t="shared" si="34"/>
        <v>0</v>
      </c>
      <c r="BV92" s="1">
        <f t="shared" si="34"/>
        <v>0</v>
      </c>
      <c r="BW92" s="1">
        <f t="shared" si="34"/>
        <v>0</v>
      </c>
      <c r="BX92" s="1">
        <f t="shared" si="34"/>
        <v>0</v>
      </c>
      <c r="BY92" s="1">
        <f t="shared" si="34"/>
        <v>0</v>
      </c>
      <c r="BZ92" s="1">
        <f t="shared" si="34"/>
        <v>0</v>
      </c>
      <c r="CA92" s="1">
        <f t="shared" si="34"/>
        <v>0</v>
      </c>
      <c r="CB92" s="1">
        <f t="shared" si="34"/>
        <v>0</v>
      </c>
      <c r="CC92" s="1">
        <f t="shared" si="23"/>
        <v>91</v>
      </c>
      <c r="CD92" s="1">
        <f t="shared" si="17"/>
        <v>31</v>
      </c>
      <c r="CE92" s="1">
        <v>20</v>
      </c>
      <c r="CF92" s="1">
        <v>0.5</v>
      </c>
      <c r="CG92" s="1">
        <v>0.25</v>
      </c>
      <c r="CH92" s="1">
        <v>0.5</v>
      </c>
      <c r="CI92" s="1">
        <v>0</v>
      </c>
      <c r="CJ92" s="1">
        <f t="shared" si="30"/>
        <v>2.2486413043478271</v>
      </c>
      <c r="CK92" s="1">
        <f t="shared" si="30"/>
        <v>11.212225877192978</v>
      </c>
      <c r="CL92" s="1">
        <f t="shared" si="30"/>
        <v>0.15520833333333339</v>
      </c>
      <c r="CM92" s="1">
        <f t="shared" si="30"/>
        <v>24.618792906178484</v>
      </c>
      <c r="CN92" s="1">
        <f t="shared" si="30"/>
        <v>0</v>
      </c>
      <c r="CO92" s="1">
        <f t="shared" si="30"/>
        <v>39.96358457284515</v>
      </c>
      <c r="CP92" s="1">
        <f t="shared" si="28"/>
        <v>0</v>
      </c>
      <c r="CQ92" s="1">
        <f t="shared" si="28"/>
        <v>55.46358457284515</v>
      </c>
      <c r="CR92" s="1">
        <f t="shared" si="24"/>
        <v>0</v>
      </c>
      <c r="CS92" s="1">
        <f t="shared" si="24"/>
        <v>70.96358457284515</v>
      </c>
      <c r="CT92" s="1">
        <f t="shared" si="24"/>
        <v>0</v>
      </c>
      <c r="CU92" s="1">
        <f t="shared" si="24"/>
        <v>86.463584572845164</v>
      </c>
      <c r="CV92" s="1">
        <f t="shared" si="24"/>
        <v>0</v>
      </c>
      <c r="CW92" s="1">
        <f t="shared" si="24"/>
        <v>101.96358457284515</v>
      </c>
      <c r="CX92" s="1">
        <f t="shared" si="31"/>
        <v>4.4972826086956541</v>
      </c>
      <c r="CY92" s="1">
        <f t="shared" si="31"/>
        <v>22.424451754385956</v>
      </c>
      <c r="CZ92" s="1">
        <f t="shared" si="31"/>
        <v>0.31041666666666679</v>
      </c>
      <c r="DA92" s="1">
        <f t="shared" si="31"/>
        <v>49.237585812356969</v>
      </c>
      <c r="DB92" s="1">
        <f t="shared" si="31"/>
        <v>0</v>
      </c>
      <c r="DC92" s="1">
        <f t="shared" si="31"/>
        <v>79.9271691456903</v>
      </c>
      <c r="DD92" s="1">
        <f t="shared" si="29"/>
        <v>0</v>
      </c>
      <c r="DE92" s="1">
        <f t="shared" si="29"/>
        <v>110.9271691456903</v>
      </c>
      <c r="DF92" s="1">
        <f t="shared" si="25"/>
        <v>0</v>
      </c>
      <c r="DG92" s="1">
        <f t="shared" si="25"/>
        <v>141.9271691456903</v>
      </c>
      <c r="DH92" s="1">
        <f t="shared" si="25"/>
        <v>0</v>
      </c>
      <c r="DI92" s="1">
        <f t="shared" si="25"/>
        <v>172.92716914569033</v>
      </c>
      <c r="DJ92" s="1">
        <f t="shared" si="25"/>
        <v>0</v>
      </c>
      <c r="DK92" s="1">
        <f t="shared" si="25"/>
        <v>203.9271691456903</v>
      </c>
      <c r="DL92" s="24">
        <v>605698.75</v>
      </c>
      <c r="DM92" s="25">
        <v>1188.6500000000001</v>
      </c>
      <c r="DN92" s="24"/>
      <c r="DO92" s="25"/>
      <c r="DP92" s="25"/>
      <c r="DQ92" s="25"/>
      <c r="DR92" s="25"/>
      <c r="DS92" s="25"/>
      <c r="DT92" s="25"/>
      <c r="DU92" s="25"/>
      <c r="DV92" s="25"/>
    </row>
    <row r="93" spans="1:126" x14ac:dyDescent="0.25">
      <c r="A93" s="252">
        <v>44774</v>
      </c>
      <c r="B93" s="253">
        <f t="shared" si="18"/>
        <v>2022</v>
      </c>
      <c r="C93" s="253">
        <f t="shared" si="19"/>
        <v>8</v>
      </c>
      <c r="D93" s="254">
        <v>52117114.823850349</v>
      </c>
      <c r="E93" s="254">
        <f ca="1">IFERROR(VLOOKUP($B93-1,CDM!$L$7:$T$18,2,FALSE)/12,0)+IFERROR(VLOOKUP($B93,CDM!$L$36:$T$46,2,FALSE)/24,0)+IFERROR(VLOOKUP($B93,CDM!$L$36:$T$46,2,FALSE)/2*$C93/78,0)</f>
        <v>2460068.0915790955</v>
      </c>
      <c r="F93" s="254">
        <f ca="1">D93+E93</f>
        <v>54577182.915429443</v>
      </c>
      <c r="G93" s="255">
        <v>55961</v>
      </c>
      <c r="H93" s="254">
        <v>11506793.280180994</v>
      </c>
      <c r="I93" s="254">
        <f ca="1">IFERROR(VLOOKUP($B93-1,CDM!$L$7:$T$18,3,FALSE)/12,0)+IFERROR(VLOOKUP($B93,CDM!$L$36:$T$46,3,FALSE)/24,0)+IFERROR(VLOOKUP($B93,CDM!$L$36:$T$46,3,FALSE)/2*$C93/78,0)</f>
        <v>678068.0495742982</v>
      </c>
      <c r="J93" s="254">
        <f ca="1">H93+I93</f>
        <v>12184861.329755293</v>
      </c>
      <c r="K93" s="256">
        <v>4310</v>
      </c>
      <c r="L93" s="256">
        <v>27349656.35804804</v>
      </c>
      <c r="M93" s="257">
        <f ca="1">IFERROR(VLOOKUP($B93-1,CDM!$L$7:$T$18,4,FALSE)/12,0)+IFERROR(VLOOKUP($B93,CDM!$L$36:$T$46,4,FALSE)/24,0)+IFERROR(VLOOKUP($B93,CDM!$L$36:$T$46,4,FALSE)/2*$C93/78,0)</f>
        <v>909795.73644475034</v>
      </c>
      <c r="N93" s="254">
        <f ca="1">L93+M93</f>
        <v>28259452.094492789</v>
      </c>
      <c r="O93" s="4">
        <v>70150.42</v>
      </c>
      <c r="P93" s="256">
        <v>542</v>
      </c>
      <c r="Q93" s="256">
        <v>7426967.3697459577</v>
      </c>
      <c r="R93" s="256">
        <f ca="1">IFERROR(VLOOKUP($B93-1,CDM!$L$7:$T$18,5,FALSE)/12,0)+IFERROR(VLOOKUP($B93,CDM!$L$36:$T$46,5,FALSE)/24,0)+IFERROR(VLOOKUP($B93,CDM!$L$36:$T$46,5,FALSE)/2*$C93/78,0)</f>
        <v>901094.95056567667</v>
      </c>
      <c r="S93" s="256">
        <f ca="1">Q93+R93</f>
        <v>8328062.3203116339</v>
      </c>
      <c r="T93" s="256">
        <v>16917.55</v>
      </c>
      <c r="U93" s="256">
        <v>18</v>
      </c>
      <c r="V93" s="256">
        <v>2720948</v>
      </c>
      <c r="W93" s="256">
        <f ca="1">IFERROR(VLOOKUP($B93-1,CDM!$L$7:$T$18,6,FALSE)/12,0)+IFERROR(VLOOKUP($B93,CDM!$L$36:$T$46,6,FALSE)/24,0)+IFERROR(VLOOKUP($B93,CDM!$L$36:$T$46,6,FALSE)/2*$C93/78,0)</f>
        <v>35438.160594536173</v>
      </c>
      <c r="X93" s="256">
        <f ca="1">V93+W93</f>
        <v>2756386.160594536</v>
      </c>
      <c r="Y93" s="256">
        <v>6394.92</v>
      </c>
      <c r="Z93" s="256">
        <v>1</v>
      </c>
      <c r="AA93" s="4">
        <v>301262.63421505835</v>
      </c>
      <c r="AB93" s="4">
        <v>1059.05</v>
      </c>
      <c r="AC93" s="256">
        <v>14297</v>
      </c>
      <c r="AD93" s="256">
        <v>2212.1999999999998</v>
      </c>
      <c r="AE93" s="256">
        <v>0</v>
      </c>
      <c r="AF93" s="256">
        <v>19</v>
      </c>
      <c r="AG93" s="4">
        <v>228421</v>
      </c>
      <c r="AH93" s="4">
        <v>250</v>
      </c>
      <c r="AI93" s="28">
        <f>Economic!H95</f>
        <v>850461.9</v>
      </c>
      <c r="AJ93" s="28">
        <f>Economic!I95</f>
        <v>662856.4</v>
      </c>
      <c r="AK93" s="28">
        <f>Economic!J95</f>
        <v>71555.5</v>
      </c>
      <c r="AL93" s="28">
        <f>Economic!K95</f>
        <v>852979</v>
      </c>
      <c r="AM93" s="28">
        <f>Economic!L95</f>
        <v>664978</v>
      </c>
      <c r="AN93" s="28">
        <f>Economic!M95</f>
        <v>30634</v>
      </c>
      <c r="AO93" s="28">
        <f>Economic!D95</f>
        <v>7747.4</v>
      </c>
      <c r="AP93" s="28">
        <f>Economic!E95</f>
        <v>7825.4</v>
      </c>
      <c r="AQ93" s="28">
        <f>Economic!F95</f>
        <v>227.3</v>
      </c>
      <c r="AR93" s="28">
        <f>Economic!G95</f>
        <v>227.9</v>
      </c>
      <c r="AS93" s="28">
        <f>Economic!N95</f>
        <v>347.29999999999927</v>
      </c>
      <c r="AT93" s="28">
        <f>Economic!O95</f>
        <v>350.19999999999982</v>
      </c>
      <c r="AU93" s="28">
        <f>Economic!P95</f>
        <v>18.700000000000017</v>
      </c>
      <c r="AV93" s="28">
        <f>Economic!Q95</f>
        <v>18.300000000000011</v>
      </c>
      <c r="AW93" s="28">
        <f>Economic!R95</f>
        <v>33196.400000000023</v>
      </c>
      <c r="AX93" s="28">
        <f>Economic!S95</f>
        <v>1358</v>
      </c>
      <c r="AY93" s="7">
        <f>Weather!D93</f>
        <v>21.363978494623655</v>
      </c>
      <c r="AZ93" s="7">
        <f>Weather!E93</f>
        <v>7.3916666666666764</v>
      </c>
      <c r="BA93" s="7">
        <f>Weather!F93</f>
        <v>49.674999999999997</v>
      </c>
      <c r="BB93" s="7">
        <f>Weather!G93</f>
        <v>0.76250000000000284</v>
      </c>
      <c r="BC93" s="7">
        <f>Weather!H93</f>
        <v>105.04583333333332</v>
      </c>
      <c r="BD93" s="7">
        <f>Weather!I93</f>
        <v>0</v>
      </c>
      <c r="BE93" s="7">
        <f>Weather!J93</f>
        <v>166.28333333333327</v>
      </c>
      <c r="BF93" s="7">
        <f>Weather!K93</f>
        <v>0</v>
      </c>
      <c r="BG93" s="7">
        <f>Weather!L93</f>
        <v>228.28333333333333</v>
      </c>
      <c r="BH93" s="7">
        <f>Weather!M93</f>
        <v>0</v>
      </c>
      <c r="BI93" s="7">
        <f>Weather!N93</f>
        <v>290.28333333333336</v>
      </c>
      <c r="BJ93" s="7">
        <f>Weather!O93</f>
        <v>0</v>
      </c>
      <c r="BK93" s="7">
        <f>Weather!P93</f>
        <v>352.28333333333342</v>
      </c>
      <c r="BL93" s="7">
        <f>Weather!Q93</f>
        <v>0</v>
      </c>
      <c r="BM93" s="7">
        <f>Weather!R93</f>
        <v>414.28333333333336</v>
      </c>
      <c r="BN93" s="1">
        <f t="shared" si="34"/>
        <v>0</v>
      </c>
      <c r="BO93" s="1">
        <f t="shared" si="34"/>
        <v>0</v>
      </c>
      <c r="BP93" s="1">
        <f t="shared" si="34"/>
        <v>0</v>
      </c>
      <c r="BQ93" s="1">
        <f t="shared" si="34"/>
        <v>0</v>
      </c>
      <c r="BR93" s="1">
        <f t="shared" si="34"/>
        <v>0</v>
      </c>
      <c r="BS93" s="1">
        <f t="shared" si="34"/>
        <v>0</v>
      </c>
      <c r="BT93" s="1">
        <f t="shared" si="34"/>
        <v>0</v>
      </c>
      <c r="BU93" s="1">
        <f t="shared" si="34"/>
        <v>1</v>
      </c>
      <c r="BV93" s="1">
        <f t="shared" si="34"/>
        <v>0</v>
      </c>
      <c r="BW93" s="1">
        <f t="shared" si="34"/>
        <v>0</v>
      </c>
      <c r="BX93" s="1">
        <f t="shared" si="34"/>
        <v>0</v>
      </c>
      <c r="BY93" s="1">
        <f t="shared" si="34"/>
        <v>0</v>
      </c>
      <c r="BZ93" s="1">
        <f t="shared" si="34"/>
        <v>0</v>
      </c>
      <c r="CA93" s="1">
        <f t="shared" si="34"/>
        <v>0</v>
      </c>
      <c r="CB93" s="1">
        <f t="shared" si="34"/>
        <v>0</v>
      </c>
      <c r="CC93" s="1">
        <f t="shared" si="23"/>
        <v>92</v>
      </c>
      <c r="CD93" s="1">
        <f t="shared" si="17"/>
        <v>31</v>
      </c>
      <c r="CE93" s="1">
        <v>22</v>
      </c>
      <c r="CF93" s="1">
        <v>0.5</v>
      </c>
      <c r="CG93" s="1">
        <v>0.25</v>
      </c>
      <c r="CH93" s="1">
        <v>0.5</v>
      </c>
      <c r="CI93" s="1">
        <v>0</v>
      </c>
      <c r="CJ93" s="1">
        <f t="shared" si="30"/>
        <v>1.8479166666666691</v>
      </c>
      <c r="CK93" s="1">
        <f t="shared" si="30"/>
        <v>12.418749999999999</v>
      </c>
      <c r="CL93" s="1">
        <f t="shared" si="30"/>
        <v>0.19062500000000071</v>
      </c>
      <c r="CM93" s="1">
        <f t="shared" si="30"/>
        <v>26.26145833333333</v>
      </c>
      <c r="CN93" s="1">
        <f t="shared" si="30"/>
        <v>0</v>
      </c>
      <c r="CO93" s="1">
        <f t="shared" si="30"/>
        <v>41.570833333333319</v>
      </c>
      <c r="CP93" s="1">
        <f t="shared" si="28"/>
        <v>0</v>
      </c>
      <c r="CQ93" s="1">
        <f t="shared" si="28"/>
        <v>57.070833333333333</v>
      </c>
      <c r="CR93" s="1">
        <f t="shared" si="24"/>
        <v>0</v>
      </c>
      <c r="CS93" s="1">
        <f t="shared" si="24"/>
        <v>72.57083333333334</v>
      </c>
      <c r="CT93" s="1">
        <f t="shared" si="24"/>
        <v>0</v>
      </c>
      <c r="CU93" s="1">
        <f t="shared" si="24"/>
        <v>88.070833333333354</v>
      </c>
      <c r="CV93" s="1">
        <f t="shared" si="24"/>
        <v>0</v>
      </c>
      <c r="CW93" s="1">
        <f t="shared" si="24"/>
        <v>103.57083333333334</v>
      </c>
      <c r="CX93" s="1">
        <f t="shared" si="31"/>
        <v>3.6958333333333382</v>
      </c>
      <c r="CY93" s="1">
        <f t="shared" si="31"/>
        <v>24.837499999999999</v>
      </c>
      <c r="CZ93" s="1">
        <f t="shared" si="31"/>
        <v>0.38125000000000142</v>
      </c>
      <c r="DA93" s="1">
        <f t="shared" si="31"/>
        <v>52.52291666666666</v>
      </c>
      <c r="DB93" s="1">
        <f t="shared" si="31"/>
        <v>0</v>
      </c>
      <c r="DC93" s="1">
        <f t="shared" si="31"/>
        <v>83.141666666666637</v>
      </c>
      <c r="DD93" s="1">
        <f t="shared" si="29"/>
        <v>0</v>
      </c>
      <c r="DE93" s="1">
        <f t="shared" si="29"/>
        <v>114.14166666666667</v>
      </c>
      <c r="DF93" s="1">
        <f t="shared" si="25"/>
        <v>0</v>
      </c>
      <c r="DG93" s="1">
        <f t="shared" si="25"/>
        <v>145.14166666666668</v>
      </c>
      <c r="DH93" s="1">
        <f t="shared" si="25"/>
        <v>0</v>
      </c>
      <c r="DI93" s="1">
        <f t="shared" si="25"/>
        <v>176.14166666666671</v>
      </c>
      <c r="DJ93" s="1">
        <f t="shared" si="25"/>
        <v>0</v>
      </c>
      <c r="DK93" s="1">
        <f t="shared" si="25"/>
        <v>207.14166666666668</v>
      </c>
      <c r="DL93" s="24">
        <v>609941.76000000001</v>
      </c>
      <c r="DM93" s="25">
        <v>1199</v>
      </c>
      <c r="DN93" s="24"/>
      <c r="DO93" s="25"/>
      <c r="DP93" s="25"/>
      <c r="DQ93" s="25"/>
      <c r="DR93" s="25"/>
      <c r="DS93" s="25"/>
      <c r="DT93" s="25"/>
      <c r="DU93" s="25"/>
      <c r="DV93" s="25"/>
    </row>
    <row r="94" spans="1:126" x14ac:dyDescent="0.25">
      <c r="A94" s="252">
        <v>44805</v>
      </c>
      <c r="B94" s="253">
        <f t="shared" si="18"/>
        <v>2022</v>
      </c>
      <c r="C94" s="253">
        <f t="shared" si="19"/>
        <v>9</v>
      </c>
      <c r="D94" s="254">
        <v>43065100.407105252</v>
      </c>
      <c r="E94" s="254">
        <f ca="1">IFERROR(VLOOKUP($B94-1,CDM!$L$7:$T$18,2,FALSE)/12,0)+IFERROR(VLOOKUP($B94,CDM!$L$36:$T$46,2,FALSE)/24,0)+IFERROR(VLOOKUP($B94,CDM!$L$36:$T$46,2,FALSE)/2*$C94/78,0)</f>
        <v>2461190.3220102689</v>
      </c>
      <c r="F94" s="254">
        <f ca="1">D94+E94</f>
        <v>45526290.729115523</v>
      </c>
      <c r="G94" s="255">
        <v>56007</v>
      </c>
      <c r="H94" s="254">
        <v>9760911.5313063357</v>
      </c>
      <c r="I94" s="254">
        <f ca="1">IFERROR(VLOOKUP($B94-1,CDM!$L$7:$T$18,3,FALSE)/12,0)+IFERROR(VLOOKUP($B94,CDM!$L$36:$T$46,3,FALSE)/24,0)+IFERROR(VLOOKUP($B94,CDM!$L$36:$T$46,3,FALSE)/2*$C94/78,0)</f>
        <v>685356.54747310933</v>
      </c>
      <c r="J94" s="254">
        <f ca="1">H94+I94</f>
        <v>10446268.078779444</v>
      </c>
      <c r="K94" s="256">
        <v>4317</v>
      </c>
      <c r="L94" s="256">
        <v>26572810.398099188</v>
      </c>
      <c r="M94" s="257">
        <f ca="1">IFERROR(VLOOKUP($B94-1,CDM!$L$7:$T$18,4,FALSE)/12,0)+IFERROR(VLOOKUP($B94,CDM!$L$36:$T$46,4,FALSE)/24,0)+IFERROR(VLOOKUP($B94,CDM!$L$36:$T$46,4,FALSE)/2*$C94/78,0)</f>
        <v>922907.21307555912</v>
      </c>
      <c r="N94" s="254">
        <f ca="1">L94+M94</f>
        <v>27495717.611174747</v>
      </c>
      <c r="O94" s="4">
        <v>67988.510000000009</v>
      </c>
      <c r="P94" s="256">
        <v>542</v>
      </c>
      <c r="Q94" s="256">
        <v>7216010.0721358433</v>
      </c>
      <c r="R94" s="256">
        <f ca="1">IFERROR(VLOOKUP($B94-1,CDM!$L$7:$T$18,5,FALSE)/12,0)+IFERROR(VLOOKUP($B94,CDM!$L$36:$T$46,5,FALSE)/24,0)+IFERROR(VLOOKUP($B94,CDM!$L$36:$T$46,5,FALSE)/2*$C94/78,0)</f>
        <v>903489.60435063508</v>
      </c>
      <c r="S94" s="256">
        <f ca="1">Q94+R94</f>
        <v>8119499.6764864782</v>
      </c>
      <c r="T94" s="256">
        <v>16437.020000000004</v>
      </c>
      <c r="U94" s="256">
        <v>18</v>
      </c>
      <c r="V94" s="256">
        <v>2739776</v>
      </c>
      <c r="W94" s="256">
        <f ca="1">IFERROR(VLOOKUP($B94-1,CDM!$L$7:$T$18,6,FALSE)/12,0)+IFERROR(VLOOKUP($B94,CDM!$L$36:$T$46,6,FALSE)/24,0)+IFERROR(VLOOKUP($B94,CDM!$L$36:$T$46,6,FALSE)/2*$C94/78,0)</f>
        <v>36022.242392778295</v>
      </c>
      <c r="X94" s="256">
        <f ca="1">V94+W94</f>
        <v>2775798.2423927784</v>
      </c>
      <c r="Y94" s="256">
        <v>5792.64</v>
      </c>
      <c r="Z94" s="256">
        <v>1</v>
      </c>
      <c r="AA94" s="4">
        <v>301262.63421505835</v>
      </c>
      <c r="AB94" s="4">
        <v>1059.05</v>
      </c>
      <c r="AC94" s="256">
        <v>14297</v>
      </c>
      <c r="AD94" s="256">
        <v>2285.94</v>
      </c>
      <c r="AE94" s="256">
        <v>0</v>
      </c>
      <c r="AF94" s="256">
        <v>19</v>
      </c>
      <c r="AG94" s="4">
        <v>228421</v>
      </c>
      <c r="AH94" s="4">
        <v>250</v>
      </c>
      <c r="AI94" s="28">
        <f>Economic!H96</f>
        <v>850461.9</v>
      </c>
      <c r="AJ94" s="28">
        <f>Economic!I96</f>
        <v>662856.4</v>
      </c>
      <c r="AK94" s="28">
        <f>Economic!J96</f>
        <v>71555.5</v>
      </c>
      <c r="AL94" s="28">
        <f>Economic!K96</f>
        <v>852979</v>
      </c>
      <c r="AM94" s="28">
        <f>Economic!L96</f>
        <v>664978</v>
      </c>
      <c r="AN94" s="28">
        <f>Economic!M96</f>
        <v>30634</v>
      </c>
      <c r="AO94" s="28">
        <f>Economic!D96</f>
        <v>7740.7</v>
      </c>
      <c r="AP94" s="28">
        <f>Economic!E96</f>
        <v>7766.7</v>
      </c>
      <c r="AQ94" s="28">
        <f>Economic!F96</f>
        <v>226</v>
      </c>
      <c r="AR94" s="28">
        <f>Economic!G96</f>
        <v>224.4</v>
      </c>
      <c r="AS94" s="28">
        <f>Economic!N96</f>
        <v>266.19999999999982</v>
      </c>
      <c r="AT94" s="28">
        <f>Economic!O96</f>
        <v>263.5</v>
      </c>
      <c r="AU94" s="28">
        <f>Economic!P96</f>
        <v>13.099999999999994</v>
      </c>
      <c r="AV94" s="28">
        <f>Economic!Q96</f>
        <v>12.800000000000011</v>
      </c>
      <c r="AW94" s="28">
        <f>Economic!R96</f>
        <v>33196.400000000023</v>
      </c>
      <c r="AX94" s="28">
        <f>Economic!S96</f>
        <v>1358</v>
      </c>
      <c r="AY94" s="7">
        <f>Weather!D94</f>
        <v>16.37402777777778</v>
      </c>
      <c r="AZ94" s="7">
        <f>Weather!E94</f>
        <v>111.79166666666666</v>
      </c>
      <c r="BA94" s="7">
        <f>Weather!F94</f>
        <v>3.0124999999999957</v>
      </c>
      <c r="BB94" s="7">
        <f>Weather!G94</f>
        <v>71.412499999999994</v>
      </c>
      <c r="BC94" s="7">
        <f>Weather!H94</f>
        <v>22.633333333333329</v>
      </c>
      <c r="BD94" s="7">
        <f>Weather!I94</f>
        <v>45.029166666666661</v>
      </c>
      <c r="BE94" s="7">
        <f>Weather!J94</f>
        <v>56.250000000000007</v>
      </c>
      <c r="BF94" s="7">
        <f>Weather!K94</f>
        <v>22.833333333333329</v>
      </c>
      <c r="BG94" s="7">
        <f>Weather!L94</f>
        <v>94.054166666666674</v>
      </c>
      <c r="BH94" s="7">
        <f>Weather!M94</f>
        <v>8.5708333333333329</v>
      </c>
      <c r="BI94" s="7">
        <f>Weather!N94</f>
        <v>139.79166666666663</v>
      </c>
      <c r="BJ94" s="7">
        <f>Weather!O94</f>
        <v>2.1000000000000014</v>
      </c>
      <c r="BK94" s="7">
        <f>Weather!P94</f>
        <v>193.32083333333327</v>
      </c>
      <c r="BL94" s="7">
        <f>Weather!Q94</f>
        <v>0</v>
      </c>
      <c r="BM94" s="7">
        <f>Weather!R94</f>
        <v>251.2208333333333</v>
      </c>
      <c r="BN94" s="1">
        <f t="shared" si="34"/>
        <v>0</v>
      </c>
      <c r="BO94" s="1">
        <f t="shared" si="34"/>
        <v>0</v>
      </c>
      <c r="BP94" s="1">
        <f t="shared" si="34"/>
        <v>0</v>
      </c>
      <c r="BQ94" s="1">
        <f t="shared" si="34"/>
        <v>0</v>
      </c>
      <c r="BR94" s="1">
        <f t="shared" si="34"/>
        <v>0</v>
      </c>
      <c r="BS94" s="1">
        <f t="shared" si="34"/>
        <v>0</v>
      </c>
      <c r="BT94" s="1">
        <f t="shared" si="34"/>
        <v>0</v>
      </c>
      <c r="BU94" s="1">
        <f t="shared" si="34"/>
        <v>0</v>
      </c>
      <c r="BV94" s="1">
        <f t="shared" si="34"/>
        <v>1</v>
      </c>
      <c r="BW94" s="1">
        <f t="shared" si="34"/>
        <v>0</v>
      </c>
      <c r="BX94" s="1">
        <f t="shared" si="34"/>
        <v>0</v>
      </c>
      <c r="BY94" s="1">
        <f t="shared" si="34"/>
        <v>0</v>
      </c>
      <c r="BZ94" s="1">
        <f t="shared" si="34"/>
        <v>0</v>
      </c>
      <c r="CA94" s="1">
        <f t="shared" si="34"/>
        <v>1</v>
      </c>
      <c r="CB94" s="1">
        <f t="shared" si="34"/>
        <v>1</v>
      </c>
      <c r="CC94" s="1">
        <f t="shared" si="23"/>
        <v>93</v>
      </c>
      <c r="CD94" s="1">
        <f t="shared" si="17"/>
        <v>30</v>
      </c>
      <c r="CE94" s="1">
        <v>20</v>
      </c>
      <c r="CF94" s="1">
        <v>0.5</v>
      </c>
      <c r="CG94" s="1">
        <v>0.25</v>
      </c>
      <c r="CH94" s="1">
        <v>0.5</v>
      </c>
      <c r="CI94" s="1">
        <v>0</v>
      </c>
      <c r="CJ94" s="1">
        <f t="shared" si="30"/>
        <v>27.947916666666664</v>
      </c>
      <c r="CK94" s="1">
        <f t="shared" si="30"/>
        <v>0.75312499999999893</v>
      </c>
      <c r="CL94" s="1">
        <f t="shared" si="30"/>
        <v>17.853124999999999</v>
      </c>
      <c r="CM94" s="1">
        <f t="shared" si="30"/>
        <v>5.6583333333333323</v>
      </c>
      <c r="CN94" s="1">
        <f t="shared" si="30"/>
        <v>11.257291666666665</v>
      </c>
      <c r="CO94" s="1">
        <f t="shared" si="30"/>
        <v>14.062500000000002</v>
      </c>
      <c r="CP94" s="1">
        <f t="shared" si="28"/>
        <v>5.7083333333333321</v>
      </c>
      <c r="CQ94" s="1">
        <f t="shared" si="28"/>
        <v>23.513541666666669</v>
      </c>
      <c r="CR94" s="1">
        <f t="shared" si="24"/>
        <v>2.1427083333333332</v>
      </c>
      <c r="CS94" s="1">
        <f t="shared" si="24"/>
        <v>34.947916666666657</v>
      </c>
      <c r="CT94" s="1">
        <f t="shared" si="24"/>
        <v>0.52500000000000036</v>
      </c>
      <c r="CU94" s="1">
        <f t="shared" si="24"/>
        <v>48.330208333333317</v>
      </c>
      <c r="CV94" s="1">
        <f t="shared" si="24"/>
        <v>0</v>
      </c>
      <c r="CW94" s="1">
        <f t="shared" si="24"/>
        <v>62.805208333333326</v>
      </c>
      <c r="CX94" s="1">
        <f t="shared" si="31"/>
        <v>55.895833333333329</v>
      </c>
      <c r="CY94" s="1">
        <f t="shared" si="31"/>
        <v>1.5062499999999979</v>
      </c>
      <c r="CZ94" s="1">
        <f t="shared" si="31"/>
        <v>35.706249999999997</v>
      </c>
      <c r="DA94" s="1">
        <f t="shared" si="31"/>
        <v>11.316666666666665</v>
      </c>
      <c r="DB94" s="1">
        <f t="shared" si="31"/>
        <v>22.514583333333331</v>
      </c>
      <c r="DC94" s="1">
        <f t="shared" si="31"/>
        <v>28.125000000000004</v>
      </c>
      <c r="DD94" s="1">
        <f t="shared" si="29"/>
        <v>11.416666666666664</v>
      </c>
      <c r="DE94" s="1">
        <f t="shared" si="29"/>
        <v>47.027083333333337</v>
      </c>
      <c r="DF94" s="1">
        <f t="shared" si="25"/>
        <v>4.2854166666666664</v>
      </c>
      <c r="DG94" s="1">
        <f t="shared" si="25"/>
        <v>69.895833333333314</v>
      </c>
      <c r="DH94" s="1">
        <f t="shared" si="25"/>
        <v>1.0500000000000007</v>
      </c>
      <c r="DI94" s="1">
        <f t="shared" si="25"/>
        <v>96.660416666666634</v>
      </c>
      <c r="DJ94" s="1">
        <f t="shared" si="25"/>
        <v>0</v>
      </c>
      <c r="DK94" s="1">
        <f t="shared" si="25"/>
        <v>125.61041666666665</v>
      </c>
      <c r="DL94" s="24">
        <v>574731.05000000005</v>
      </c>
      <c r="DM94" s="25">
        <v>1157.3600000000001</v>
      </c>
      <c r="DN94" s="24"/>
      <c r="DO94" s="25"/>
      <c r="DP94" s="25"/>
      <c r="DQ94" s="25"/>
      <c r="DR94" s="25"/>
      <c r="DS94" s="25"/>
      <c r="DT94" s="25"/>
      <c r="DU94" s="25"/>
      <c r="DV94" s="25"/>
    </row>
    <row r="95" spans="1:126" x14ac:dyDescent="0.25">
      <c r="A95" s="252">
        <v>44835</v>
      </c>
      <c r="B95" s="253">
        <f t="shared" si="18"/>
        <v>2022</v>
      </c>
      <c r="C95" s="253">
        <f t="shared" si="19"/>
        <v>10</v>
      </c>
      <c r="D95" s="254">
        <v>33389202.31651577</v>
      </c>
      <c r="E95" s="254">
        <f ca="1">IFERROR(VLOOKUP($B95-1,CDM!$L$7:$T$18,2,FALSE)/12,0)+IFERROR(VLOOKUP($B95,CDM!$L$36:$T$46,2,FALSE)/24,0)+IFERROR(VLOOKUP($B95,CDM!$L$36:$T$46,2,FALSE)/2*$C95/78,0)</f>
        <v>2462312.5524414424</v>
      </c>
      <c r="F95" s="254">
        <f ca="1">D95+E95</f>
        <v>35851514.868957214</v>
      </c>
      <c r="G95" s="255">
        <v>55909</v>
      </c>
      <c r="H95" s="254">
        <v>9171464.8415090963</v>
      </c>
      <c r="I95" s="254">
        <f ca="1">IFERROR(VLOOKUP($B95-1,CDM!$L$7:$T$18,3,FALSE)/12,0)+IFERROR(VLOOKUP($B95,CDM!$L$36:$T$46,3,FALSE)/24,0)+IFERROR(VLOOKUP($B95,CDM!$L$36:$T$46,3,FALSE)/2*$C95/78,0)</f>
        <v>692645.04537192045</v>
      </c>
      <c r="J95" s="254">
        <f ca="1">H95+I95</f>
        <v>9864109.8868810162</v>
      </c>
      <c r="K95" s="256">
        <v>4318</v>
      </c>
      <c r="L95" s="4">
        <v>25812729.775310397</v>
      </c>
      <c r="M95" s="257">
        <f ca="1">IFERROR(VLOOKUP($B95-1,CDM!$L$7:$T$18,4,FALSE)/12,0)+IFERROR(VLOOKUP($B95,CDM!$L$36:$T$46,4,FALSE)/24,0)+IFERROR(VLOOKUP($B95,CDM!$L$36:$T$46,4,FALSE)/2*$C95/78,0)</f>
        <v>936018.68970636802</v>
      </c>
      <c r="N95" s="254">
        <f ca="1">L95+M95</f>
        <v>26748748.465016764</v>
      </c>
      <c r="O95" s="4">
        <v>65780.95</v>
      </c>
      <c r="P95" s="256">
        <v>542</v>
      </c>
      <c r="Q95" s="256">
        <v>7505949.6809150111</v>
      </c>
      <c r="R95" s="256">
        <f ca="1">IFERROR(VLOOKUP($B95-1,CDM!$L$7:$T$18,5,FALSE)/12,0)+IFERROR(VLOOKUP($B95,CDM!$L$36:$T$46,5,FALSE)/24,0)+IFERROR(VLOOKUP($B95,CDM!$L$36:$T$46,5,FALSE)/2*$C95/78,0)</f>
        <v>905884.25813559338</v>
      </c>
      <c r="S95" s="256">
        <f ca="1">Q95+R95</f>
        <v>8411833.9390506037</v>
      </c>
      <c r="T95" s="256">
        <v>13863.42</v>
      </c>
      <c r="U95" s="256">
        <v>18</v>
      </c>
      <c r="V95" s="256">
        <v>2642054</v>
      </c>
      <c r="W95" s="256">
        <f ca="1">IFERROR(VLOOKUP($B95-1,CDM!$L$7:$T$18,6,FALSE)/12,0)+IFERROR(VLOOKUP($B95,CDM!$L$36:$T$46,6,FALSE)/24,0)+IFERROR(VLOOKUP($B95,CDM!$L$36:$T$46,6,FALSE)/2*$C95/78,0)</f>
        <v>36606.324191020423</v>
      </c>
      <c r="X95" s="256">
        <f ca="1">V95+W95</f>
        <v>2678660.3241910203</v>
      </c>
      <c r="Y95" s="256">
        <v>5294.52</v>
      </c>
      <c r="Z95" s="256">
        <v>1</v>
      </c>
      <c r="AA95" s="4">
        <v>422910.79554822855</v>
      </c>
      <c r="AB95" s="4">
        <v>1059</v>
      </c>
      <c r="AC95" s="256">
        <v>14322</v>
      </c>
      <c r="AD95" s="256">
        <v>2212.1999999999998</v>
      </c>
      <c r="AE95" s="256">
        <v>0</v>
      </c>
      <c r="AF95" s="256">
        <v>19</v>
      </c>
      <c r="AG95" s="4">
        <v>232379</v>
      </c>
      <c r="AH95" s="4">
        <v>253</v>
      </c>
      <c r="AI95" s="28">
        <f>Economic!H97</f>
        <v>850461.9</v>
      </c>
      <c r="AJ95" s="28">
        <f>Economic!I97</f>
        <v>662856.4</v>
      </c>
      <c r="AK95" s="28">
        <f>Economic!J97</f>
        <v>71555.5</v>
      </c>
      <c r="AL95" s="28">
        <f>Economic!K97</f>
        <v>852029</v>
      </c>
      <c r="AM95" s="28">
        <f>Economic!L97</f>
        <v>664944</v>
      </c>
      <c r="AN95" s="28">
        <f>Economic!M97</f>
        <v>31696</v>
      </c>
      <c r="AO95" s="28">
        <f>Economic!D97</f>
        <v>7740.3</v>
      </c>
      <c r="AP95" s="28">
        <f>Economic!E97</f>
        <v>7743.5</v>
      </c>
      <c r="AQ95" s="28">
        <f>Economic!F97</f>
        <v>226.2</v>
      </c>
      <c r="AR95" s="28">
        <f>Economic!G97</f>
        <v>223.5</v>
      </c>
      <c r="AS95" s="28">
        <f>Economic!N97</f>
        <v>210.90000000000055</v>
      </c>
      <c r="AT95" s="28">
        <f>Economic!O97</f>
        <v>205</v>
      </c>
      <c r="AU95" s="28">
        <f>Economic!P97</f>
        <v>9</v>
      </c>
      <c r="AV95" s="28">
        <f>Economic!Q97</f>
        <v>9</v>
      </c>
      <c r="AW95" s="28">
        <f>Economic!R97</f>
        <v>33196.400000000023</v>
      </c>
      <c r="AX95" s="28">
        <f>Economic!S97</f>
        <v>-950</v>
      </c>
      <c r="AY95" s="7">
        <f>Weather!D95</f>
        <v>9.3272381954184187</v>
      </c>
      <c r="AZ95" s="7">
        <f>Weather!E95</f>
        <v>330.85561594202903</v>
      </c>
      <c r="BA95" s="7">
        <f>Weather!F95</f>
        <v>0</v>
      </c>
      <c r="BB95" s="7">
        <f>Weather!G95</f>
        <v>268.85561594202898</v>
      </c>
      <c r="BC95" s="7">
        <f>Weather!H95</f>
        <v>0</v>
      </c>
      <c r="BD95" s="7">
        <f>Weather!I95</f>
        <v>206.85561594202895</v>
      </c>
      <c r="BE95" s="7">
        <f>Weather!J95</f>
        <v>0</v>
      </c>
      <c r="BF95" s="7">
        <f>Weather!K95</f>
        <v>147.2764492753623</v>
      </c>
      <c r="BG95" s="7">
        <f>Weather!L95</f>
        <v>2.4208333333333307</v>
      </c>
      <c r="BH95" s="7">
        <f>Weather!M95</f>
        <v>94.459782608695647</v>
      </c>
      <c r="BI95" s="7">
        <f>Weather!N95</f>
        <v>11.604166666666668</v>
      </c>
      <c r="BJ95" s="7">
        <f>Weather!O95</f>
        <v>52.855615942028983</v>
      </c>
      <c r="BK95" s="7">
        <f>Weather!P95</f>
        <v>32</v>
      </c>
      <c r="BL95" s="7">
        <f>Weather!Q95</f>
        <v>23.659782608695654</v>
      </c>
      <c r="BM95" s="7">
        <f>Weather!R95</f>
        <v>64.804166666666674</v>
      </c>
      <c r="BN95" s="1">
        <f t="shared" ref="BN95:CB110" si="35">BN83</f>
        <v>0</v>
      </c>
      <c r="BO95" s="1">
        <f t="shared" si="35"/>
        <v>0</v>
      </c>
      <c r="BP95" s="1">
        <f t="shared" si="35"/>
        <v>0</v>
      </c>
      <c r="BQ95" s="1">
        <f t="shared" si="35"/>
        <v>0</v>
      </c>
      <c r="BR95" s="1">
        <f t="shared" si="35"/>
        <v>0</v>
      </c>
      <c r="BS95" s="1">
        <f t="shared" si="35"/>
        <v>0</v>
      </c>
      <c r="BT95" s="1">
        <f t="shared" si="35"/>
        <v>0</v>
      </c>
      <c r="BU95" s="1">
        <f t="shared" si="35"/>
        <v>0</v>
      </c>
      <c r="BV95" s="1">
        <f t="shared" si="35"/>
        <v>0</v>
      </c>
      <c r="BW95" s="1">
        <f t="shared" si="35"/>
        <v>1</v>
      </c>
      <c r="BX95" s="1">
        <f t="shared" si="35"/>
        <v>0</v>
      </c>
      <c r="BY95" s="1">
        <f t="shared" si="35"/>
        <v>0</v>
      </c>
      <c r="BZ95" s="1">
        <f t="shared" si="35"/>
        <v>0</v>
      </c>
      <c r="CA95" s="1">
        <f t="shared" si="35"/>
        <v>1</v>
      </c>
      <c r="CB95" s="1">
        <f t="shared" si="35"/>
        <v>1</v>
      </c>
      <c r="CC95" s="1">
        <f t="shared" si="23"/>
        <v>94</v>
      </c>
      <c r="CD95" s="1">
        <f t="shared" si="17"/>
        <v>31</v>
      </c>
      <c r="CE95" s="1">
        <v>20</v>
      </c>
      <c r="CF95" s="1">
        <v>0.5</v>
      </c>
      <c r="CG95" s="1">
        <v>0.25</v>
      </c>
      <c r="CH95" s="1">
        <v>0.5</v>
      </c>
      <c r="CI95" s="1">
        <v>0</v>
      </c>
      <c r="CJ95" s="1">
        <f t="shared" si="30"/>
        <v>82.713903985507258</v>
      </c>
      <c r="CK95" s="1">
        <f t="shared" si="30"/>
        <v>0</v>
      </c>
      <c r="CL95" s="1">
        <f t="shared" si="30"/>
        <v>67.213903985507244</v>
      </c>
      <c r="CM95" s="1">
        <f t="shared" si="30"/>
        <v>0</v>
      </c>
      <c r="CN95" s="1">
        <f t="shared" si="30"/>
        <v>51.713903985507237</v>
      </c>
      <c r="CO95" s="1">
        <f t="shared" si="30"/>
        <v>0</v>
      </c>
      <c r="CP95" s="1">
        <f t="shared" si="28"/>
        <v>36.819112318840574</v>
      </c>
      <c r="CQ95" s="1">
        <f t="shared" si="28"/>
        <v>0.60520833333333268</v>
      </c>
      <c r="CR95" s="1">
        <f t="shared" si="24"/>
        <v>23.614945652173912</v>
      </c>
      <c r="CS95" s="1">
        <f t="shared" si="24"/>
        <v>2.901041666666667</v>
      </c>
      <c r="CT95" s="1">
        <f t="shared" si="24"/>
        <v>13.213903985507246</v>
      </c>
      <c r="CU95" s="1">
        <f t="shared" si="24"/>
        <v>8</v>
      </c>
      <c r="CV95" s="1">
        <f t="shared" si="24"/>
        <v>5.9149456521739134</v>
      </c>
      <c r="CW95" s="1">
        <f t="shared" si="24"/>
        <v>16.201041666666669</v>
      </c>
      <c r="CX95" s="1">
        <f t="shared" si="31"/>
        <v>165.42780797101452</v>
      </c>
      <c r="CY95" s="1">
        <f t="shared" si="31"/>
        <v>0</v>
      </c>
      <c r="CZ95" s="1">
        <f t="shared" si="31"/>
        <v>134.42780797101449</v>
      </c>
      <c r="DA95" s="1">
        <f t="shared" si="31"/>
        <v>0</v>
      </c>
      <c r="DB95" s="1">
        <f t="shared" si="31"/>
        <v>103.42780797101447</v>
      </c>
      <c r="DC95" s="1">
        <f t="shared" si="31"/>
        <v>0</v>
      </c>
      <c r="DD95" s="1">
        <f t="shared" si="29"/>
        <v>73.638224637681148</v>
      </c>
      <c r="DE95" s="1">
        <f t="shared" si="29"/>
        <v>1.2104166666666654</v>
      </c>
      <c r="DF95" s="1">
        <f t="shared" si="25"/>
        <v>47.229891304347824</v>
      </c>
      <c r="DG95" s="1">
        <f t="shared" si="25"/>
        <v>5.8020833333333339</v>
      </c>
      <c r="DH95" s="1">
        <f t="shared" si="25"/>
        <v>26.427807971014492</v>
      </c>
      <c r="DI95" s="1">
        <f t="shared" si="25"/>
        <v>16</v>
      </c>
      <c r="DJ95" s="1">
        <f t="shared" si="25"/>
        <v>11.829891304347827</v>
      </c>
      <c r="DK95" s="1">
        <f t="shared" si="25"/>
        <v>32.402083333333337</v>
      </c>
      <c r="DL95" s="24">
        <v>540330.92000000004</v>
      </c>
      <c r="DM95" s="25">
        <v>987.87</v>
      </c>
      <c r="DN95" s="24"/>
      <c r="DO95" s="25"/>
      <c r="DP95" s="25"/>
      <c r="DQ95" s="25"/>
      <c r="DR95" s="25"/>
      <c r="DS95" s="25"/>
      <c r="DT95" s="25"/>
      <c r="DU95" s="25"/>
      <c r="DV95" s="25"/>
    </row>
    <row r="96" spans="1:126" x14ac:dyDescent="0.25">
      <c r="A96" s="252">
        <v>44866</v>
      </c>
      <c r="B96" s="253">
        <f t="shared" si="18"/>
        <v>2022</v>
      </c>
      <c r="C96" s="253">
        <f t="shared" si="19"/>
        <v>11</v>
      </c>
      <c r="D96" s="254">
        <v>36813909.437606379</v>
      </c>
      <c r="E96" s="254">
        <f ca="1">IFERROR(VLOOKUP($B96-1,CDM!$L$7:$T$18,2,FALSE)/12,0)+IFERROR(VLOOKUP($B96,CDM!$L$36:$T$46,2,FALSE)/24,0)+IFERROR(VLOOKUP($B96,CDM!$L$36:$T$46,2,FALSE)/2*$C96/78,0)</f>
        <v>2463434.7828726158</v>
      </c>
      <c r="F96" s="254">
        <f ca="1">D96+E96</f>
        <v>39277344.220478997</v>
      </c>
      <c r="G96" s="255">
        <v>56131</v>
      </c>
      <c r="H96" s="254">
        <v>10011776.613460153</v>
      </c>
      <c r="I96" s="254">
        <f ca="1">IFERROR(VLOOKUP($B96-1,CDM!$L$7:$T$18,3,FALSE)/12,0)+IFERROR(VLOOKUP($B96,CDM!$L$36:$T$46,3,FALSE)/24,0)+IFERROR(VLOOKUP($B96,CDM!$L$36:$T$46,3,FALSE)/2*$C96/78,0)</f>
        <v>699933.54327073158</v>
      </c>
      <c r="J96" s="254">
        <f ca="1">H96+I96</f>
        <v>10711710.156730885</v>
      </c>
      <c r="K96" s="256">
        <v>4330</v>
      </c>
      <c r="L96" s="4">
        <v>26325872.081837926</v>
      </c>
      <c r="M96" s="257">
        <f ca="1">IFERROR(VLOOKUP($B96-1,CDM!$L$7:$T$18,4,FALSE)/12,0)+IFERROR(VLOOKUP($B96,CDM!$L$36:$T$46,4,FALSE)/24,0)+IFERROR(VLOOKUP($B96,CDM!$L$36:$T$46,4,FALSE)/2*$C96/78,0)</f>
        <v>949130.16633717692</v>
      </c>
      <c r="N96" s="254">
        <f ca="1">L96+M96</f>
        <v>27275002.248175103</v>
      </c>
      <c r="O96" s="4">
        <v>66598.679872000008</v>
      </c>
      <c r="P96" s="256">
        <v>543</v>
      </c>
      <c r="Q96" s="256">
        <v>6535302.1219652826</v>
      </c>
      <c r="R96" s="256">
        <f ca="1">IFERROR(VLOOKUP($B96-1,CDM!$L$7:$T$18,5,FALSE)/12,0)+IFERROR(VLOOKUP($B96,CDM!$L$36:$T$46,5,FALSE)/24,0)+IFERROR(VLOOKUP($B96,CDM!$L$36:$T$46,5,FALSE)/2*$C96/78,0)</f>
        <v>908278.91192055179</v>
      </c>
      <c r="S96" s="256">
        <f ca="1">Q96+R96</f>
        <v>7443581.0338858347</v>
      </c>
      <c r="T96" s="256">
        <v>14185.995584</v>
      </c>
      <c r="U96" s="256">
        <v>18</v>
      </c>
      <c r="V96" s="256">
        <v>2584119</v>
      </c>
      <c r="W96" s="256">
        <f ca="1">IFERROR(VLOOKUP($B96-1,CDM!$L$7:$T$18,6,FALSE)/12,0)+IFERROR(VLOOKUP($B96,CDM!$L$36:$T$46,6,FALSE)/24,0)+IFERROR(VLOOKUP($B96,CDM!$L$36:$T$46,6,FALSE)/2*$C96/78,0)</f>
        <v>37190.405989262545</v>
      </c>
      <c r="X96" s="256">
        <f ca="1">V96+W96</f>
        <v>2621309.4059892627</v>
      </c>
      <c r="Y96" s="256">
        <v>5172.7280639999999</v>
      </c>
      <c r="Z96" s="256">
        <v>1</v>
      </c>
      <c r="AA96" s="4">
        <v>449439.20718190307</v>
      </c>
      <c r="AB96" s="4">
        <v>1060</v>
      </c>
      <c r="AC96" s="256">
        <v>14322</v>
      </c>
      <c r="AD96" s="256">
        <v>2285.94</v>
      </c>
      <c r="AE96" s="256">
        <v>0</v>
      </c>
      <c r="AF96" s="256">
        <v>19</v>
      </c>
      <c r="AG96" s="4">
        <v>232995</v>
      </c>
      <c r="AH96" s="4">
        <v>257</v>
      </c>
      <c r="AI96" s="28">
        <f>Economic!H98</f>
        <v>850461.9</v>
      </c>
      <c r="AJ96" s="28">
        <f>Economic!I98</f>
        <v>662856.4</v>
      </c>
      <c r="AK96" s="28">
        <f>Economic!J98</f>
        <v>71555.5</v>
      </c>
      <c r="AL96" s="28">
        <f>Economic!K98</f>
        <v>852029</v>
      </c>
      <c r="AM96" s="28">
        <f>Economic!L98</f>
        <v>664944</v>
      </c>
      <c r="AN96" s="28">
        <f>Economic!M98</f>
        <v>31696</v>
      </c>
      <c r="AO96" s="28">
        <f>Economic!D98</f>
        <v>7747.2</v>
      </c>
      <c r="AP96" s="28">
        <f>Economic!E98</f>
        <v>7738.9</v>
      </c>
      <c r="AQ96" s="28">
        <f>Economic!F98</f>
        <v>225.9</v>
      </c>
      <c r="AR96" s="28">
        <f>Economic!G98</f>
        <v>223.8</v>
      </c>
      <c r="AS96" s="28">
        <f>Economic!N98</f>
        <v>155.19999999999982</v>
      </c>
      <c r="AT96" s="28">
        <f>Economic!O98</f>
        <v>148.79999999999927</v>
      </c>
      <c r="AU96" s="28">
        <f>Economic!P98</f>
        <v>3.3000000000000114</v>
      </c>
      <c r="AV96" s="28">
        <f>Economic!Q98</f>
        <v>3.6000000000000227</v>
      </c>
      <c r="AW96" s="28">
        <f>Economic!R98</f>
        <v>33196.400000000023</v>
      </c>
      <c r="AX96" s="28">
        <f>Economic!S98</f>
        <v>-950</v>
      </c>
      <c r="AY96" s="7">
        <f>Weather!D96</f>
        <v>4.2722222222222213</v>
      </c>
      <c r="AZ96" s="7">
        <f>Weather!E96</f>
        <v>471.83333333333348</v>
      </c>
      <c r="BA96" s="7">
        <f>Weather!F96</f>
        <v>0</v>
      </c>
      <c r="BB96" s="7">
        <f>Weather!G96</f>
        <v>411.83333333333348</v>
      </c>
      <c r="BC96" s="7">
        <f>Weather!H96</f>
        <v>0</v>
      </c>
      <c r="BD96" s="7">
        <f>Weather!I96</f>
        <v>351.83333333333343</v>
      </c>
      <c r="BE96" s="7">
        <f>Weather!J96</f>
        <v>0</v>
      </c>
      <c r="BF96" s="7">
        <f>Weather!K96</f>
        <v>294.14166666666671</v>
      </c>
      <c r="BG96" s="7">
        <f>Weather!L96</f>
        <v>2.3083333333333318</v>
      </c>
      <c r="BH96" s="7">
        <f>Weather!M96</f>
        <v>238.41249999999999</v>
      </c>
      <c r="BI96" s="7">
        <f>Weather!N96</f>
        <v>6.5791666666666675</v>
      </c>
      <c r="BJ96" s="7">
        <f>Weather!O96</f>
        <v>185.6583333333333</v>
      </c>
      <c r="BK96" s="7">
        <f>Weather!P96</f>
        <v>13.824999999999999</v>
      </c>
      <c r="BL96" s="7">
        <f>Weather!Q96</f>
        <v>138.80000000000001</v>
      </c>
      <c r="BM96" s="7">
        <f>Weather!R96</f>
        <v>26.966666666666669</v>
      </c>
      <c r="BN96" s="1">
        <f t="shared" si="35"/>
        <v>0</v>
      </c>
      <c r="BO96" s="1">
        <f t="shared" si="35"/>
        <v>0</v>
      </c>
      <c r="BP96" s="1">
        <f t="shared" si="35"/>
        <v>0</v>
      </c>
      <c r="BQ96" s="1">
        <f t="shared" si="35"/>
        <v>0</v>
      </c>
      <c r="BR96" s="1">
        <f t="shared" si="35"/>
        <v>0</v>
      </c>
      <c r="BS96" s="1">
        <f t="shared" si="35"/>
        <v>0</v>
      </c>
      <c r="BT96" s="1">
        <f t="shared" si="35"/>
        <v>0</v>
      </c>
      <c r="BU96" s="1">
        <f t="shared" si="35"/>
        <v>0</v>
      </c>
      <c r="BV96" s="1">
        <f t="shared" si="35"/>
        <v>0</v>
      </c>
      <c r="BW96" s="1">
        <f t="shared" si="35"/>
        <v>0</v>
      </c>
      <c r="BX96" s="1">
        <f t="shared" si="35"/>
        <v>1</v>
      </c>
      <c r="BY96" s="1">
        <f t="shared" si="35"/>
        <v>0</v>
      </c>
      <c r="BZ96" s="1">
        <f t="shared" si="35"/>
        <v>0</v>
      </c>
      <c r="CA96" s="1">
        <f t="shared" si="35"/>
        <v>1</v>
      </c>
      <c r="CB96" s="1">
        <f t="shared" si="35"/>
        <v>1</v>
      </c>
      <c r="CC96" s="1">
        <f t="shared" si="23"/>
        <v>95</v>
      </c>
      <c r="CD96" s="1">
        <f t="shared" si="17"/>
        <v>30</v>
      </c>
      <c r="CE96" s="1">
        <v>22</v>
      </c>
      <c r="CF96" s="1">
        <v>0.5</v>
      </c>
      <c r="CG96" s="1">
        <v>0.25</v>
      </c>
      <c r="CH96" s="1">
        <v>0.5</v>
      </c>
      <c r="CI96" s="1">
        <v>0</v>
      </c>
      <c r="CJ96" s="1">
        <f t="shared" si="30"/>
        <v>117.95833333333337</v>
      </c>
      <c r="CK96" s="1">
        <f t="shared" si="30"/>
        <v>0</v>
      </c>
      <c r="CL96" s="1">
        <f t="shared" si="30"/>
        <v>102.95833333333337</v>
      </c>
      <c r="CM96" s="1">
        <f t="shared" si="30"/>
        <v>0</v>
      </c>
      <c r="CN96" s="1">
        <f t="shared" si="30"/>
        <v>87.958333333333357</v>
      </c>
      <c r="CO96" s="1">
        <f t="shared" si="30"/>
        <v>0</v>
      </c>
      <c r="CP96" s="1">
        <f t="shared" si="28"/>
        <v>73.535416666666677</v>
      </c>
      <c r="CQ96" s="1">
        <f t="shared" si="28"/>
        <v>0.57708333333333295</v>
      </c>
      <c r="CR96" s="1">
        <f t="shared" si="24"/>
        <v>59.603124999999999</v>
      </c>
      <c r="CS96" s="1">
        <f t="shared" si="24"/>
        <v>1.6447916666666669</v>
      </c>
      <c r="CT96" s="1">
        <f t="shared" si="24"/>
        <v>46.414583333333326</v>
      </c>
      <c r="CU96" s="1">
        <f t="shared" si="24"/>
        <v>3.4562499999999998</v>
      </c>
      <c r="CV96" s="1">
        <f t="shared" si="24"/>
        <v>34.700000000000003</v>
      </c>
      <c r="CW96" s="1">
        <f t="shared" si="24"/>
        <v>6.7416666666666671</v>
      </c>
      <c r="CX96" s="1">
        <f t="shared" si="31"/>
        <v>235.91666666666674</v>
      </c>
      <c r="CY96" s="1">
        <f t="shared" si="31"/>
        <v>0</v>
      </c>
      <c r="CZ96" s="1">
        <f t="shared" si="31"/>
        <v>205.91666666666674</v>
      </c>
      <c r="DA96" s="1">
        <f t="shared" si="31"/>
        <v>0</v>
      </c>
      <c r="DB96" s="1">
        <f t="shared" si="31"/>
        <v>175.91666666666671</v>
      </c>
      <c r="DC96" s="1">
        <f t="shared" si="31"/>
        <v>0</v>
      </c>
      <c r="DD96" s="1">
        <f t="shared" si="29"/>
        <v>147.07083333333335</v>
      </c>
      <c r="DE96" s="1">
        <f t="shared" si="29"/>
        <v>1.1541666666666659</v>
      </c>
      <c r="DF96" s="1">
        <f t="shared" si="25"/>
        <v>119.20625</v>
      </c>
      <c r="DG96" s="1">
        <f t="shared" si="25"/>
        <v>3.2895833333333337</v>
      </c>
      <c r="DH96" s="1">
        <f t="shared" si="25"/>
        <v>92.829166666666652</v>
      </c>
      <c r="DI96" s="1">
        <f t="shared" si="25"/>
        <v>6.9124999999999996</v>
      </c>
      <c r="DJ96" s="1">
        <f t="shared" si="25"/>
        <v>69.400000000000006</v>
      </c>
      <c r="DK96" s="1">
        <f t="shared" si="25"/>
        <v>13.483333333333334</v>
      </c>
      <c r="DL96" s="24">
        <v>497195.94999999995</v>
      </c>
      <c r="DM96" s="25">
        <v>966.43000000000006</v>
      </c>
      <c r="DN96" s="24"/>
      <c r="DO96" s="25"/>
      <c r="DP96" s="25"/>
      <c r="DQ96" s="25"/>
      <c r="DR96" s="25"/>
      <c r="DS96" s="25"/>
      <c r="DT96" s="25"/>
      <c r="DU96" s="25"/>
      <c r="DV96" s="25"/>
    </row>
    <row r="97" spans="1:126" x14ac:dyDescent="0.25">
      <c r="A97" s="252">
        <v>44896</v>
      </c>
      <c r="B97" s="253">
        <f t="shared" si="18"/>
        <v>2022</v>
      </c>
      <c r="C97" s="253">
        <f t="shared" si="19"/>
        <v>12</v>
      </c>
      <c r="D97" s="254">
        <v>43479324.748896815</v>
      </c>
      <c r="E97" s="254">
        <f ca="1">IFERROR(VLOOKUP($B97-1,CDM!$L$7:$T$18,2,FALSE)/12,0)+IFERROR(VLOOKUP($B97,CDM!$L$36:$T$46,2,FALSE)/24,0)+IFERROR(VLOOKUP($B97,CDM!$L$36:$T$46,2,FALSE)/2*$C97/78,0)</f>
        <v>2464557.0133037893</v>
      </c>
      <c r="F97" s="254">
        <f ca="1">D97+E97</f>
        <v>45943881.762200601</v>
      </c>
      <c r="G97" s="255">
        <v>56121</v>
      </c>
      <c r="H97" s="254">
        <v>11469193.960186472</v>
      </c>
      <c r="I97" s="254">
        <f ca="1">IFERROR(VLOOKUP($B97-1,CDM!$L$7:$T$18,3,FALSE)/12,0)+IFERROR(VLOOKUP($B97,CDM!$L$36:$T$46,3,FALSE)/24,0)+IFERROR(VLOOKUP($B97,CDM!$L$36:$T$46,3,FALSE)/2*$C97/78,0)</f>
        <v>707222.0411695427</v>
      </c>
      <c r="J97" s="254">
        <f ca="1">H97+I97</f>
        <v>12176416.001356015</v>
      </c>
      <c r="K97" s="256">
        <v>4328</v>
      </c>
      <c r="L97" s="256">
        <v>32309572.356373917</v>
      </c>
      <c r="M97" s="257">
        <f ca="1">IFERROR(VLOOKUP($B97-1,CDM!$L$7:$T$18,4,FALSE)/12,0)+IFERROR(VLOOKUP($B97,CDM!$L$36:$T$46,4,FALSE)/24,0)+IFERROR(VLOOKUP($B97,CDM!$L$36:$T$46,4,FALSE)/2*$C97/78,0)</f>
        <v>962241.64296798583</v>
      </c>
      <c r="N97" s="254">
        <f ca="1">L97+M97</f>
        <v>33271813.999341901</v>
      </c>
      <c r="O97" s="256">
        <v>53668.939660475706</v>
      </c>
      <c r="P97" s="256">
        <v>544</v>
      </c>
      <c r="Q97" s="256">
        <v>6279854.1853795862</v>
      </c>
      <c r="R97" s="256">
        <f ca="1">IFERROR(VLOOKUP($B97-1,CDM!$L$7:$T$18,5,FALSE)/12,0)+IFERROR(VLOOKUP($B97,CDM!$L$36:$T$46,5,FALSE)/24,0)+IFERROR(VLOOKUP($B97,CDM!$L$36:$T$46,5,FALSE)/2*$C97/78,0)</f>
        <v>910673.56570551009</v>
      </c>
      <c r="S97" s="256">
        <f ca="1">Q97+R97</f>
        <v>7190527.751085096</v>
      </c>
      <c r="T97" s="256">
        <v>13838.55</v>
      </c>
      <c r="U97" s="256">
        <v>18</v>
      </c>
      <c r="V97" s="256">
        <v>2398663</v>
      </c>
      <c r="W97" s="256">
        <f ca="1">IFERROR(VLOOKUP($B97-1,CDM!$L$7:$T$18,6,FALSE)/12,0)+IFERROR(VLOOKUP($B97,CDM!$L$36:$T$46,6,FALSE)/24,0)+IFERROR(VLOOKUP($B97,CDM!$L$36:$T$46,6,FALSE)/2*$C97/78,0)</f>
        <v>37774.487787504673</v>
      </c>
      <c r="X97" s="256">
        <f ca="1">V97+W97</f>
        <v>2436437.4877875047</v>
      </c>
      <c r="Y97" s="256">
        <v>5590.2</v>
      </c>
      <c r="Z97" s="256">
        <v>1</v>
      </c>
      <c r="AA97" s="4">
        <v>487817.33382266638</v>
      </c>
      <c r="AB97" s="4">
        <v>1060</v>
      </c>
      <c r="AC97" s="256">
        <v>14322</v>
      </c>
      <c r="AD97" s="256">
        <v>2285.94</v>
      </c>
      <c r="AE97" s="256">
        <v>79</v>
      </c>
      <c r="AF97" s="256">
        <v>19</v>
      </c>
      <c r="AG97" s="4">
        <v>233069</v>
      </c>
      <c r="AH97" s="4">
        <v>259</v>
      </c>
      <c r="AI97" s="28">
        <f>Economic!H99</f>
        <v>850461.9</v>
      </c>
      <c r="AJ97" s="28">
        <f>Economic!I99</f>
        <v>662856.4</v>
      </c>
      <c r="AK97" s="28">
        <f>Economic!J99</f>
        <v>71555.5</v>
      </c>
      <c r="AL97" s="28">
        <f>Economic!K99</f>
        <v>852029</v>
      </c>
      <c r="AM97" s="28">
        <f>Economic!L99</f>
        <v>664944</v>
      </c>
      <c r="AN97" s="28">
        <f>Economic!M99</f>
        <v>31696</v>
      </c>
      <c r="AO97" s="28">
        <f>Economic!D99</f>
        <v>7776.1</v>
      </c>
      <c r="AP97" s="28">
        <f>Economic!E99</f>
        <v>7777.2</v>
      </c>
      <c r="AQ97" s="28">
        <f>Economic!F99</f>
        <v>227.6</v>
      </c>
      <c r="AR97" s="28">
        <f>Economic!G99</f>
        <v>227.1</v>
      </c>
      <c r="AS97" s="28">
        <f>Economic!N99</f>
        <v>131.90000000000055</v>
      </c>
      <c r="AT97" s="28">
        <f>Economic!O99</f>
        <v>129.69999999999982</v>
      </c>
      <c r="AU97" s="28">
        <f>Economic!P99</f>
        <v>4.0999999999999943</v>
      </c>
      <c r="AV97" s="28">
        <f>Economic!Q99</f>
        <v>4.7999999999999829</v>
      </c>
      <c r="AW97" s="28">
        <f>Economic!R99</f>
        <v>33196.400000000023</v>
      </c>
      <c r="AX97" s="28">
        <f>Economic!S99</f>
        <v>-950</v>
      </c>
      <c r="AY97" s="7">
        <f>Weather!D97</f>
        <v>-0.87486559139784936</v>
      </c>
      <c r="AZ97" s="7">
        <f>Weather!E97</f>
        <v>647.12083333333328</v>
      </c>
      <c r="BA97" s="7">
        <f>Weather!F97</f>
        <v>0</v>
      </c>
      <c r="BB97" s="7">
        <f>Weather!G97</f>
        <v>585.12083333333328</v>
      </c>
      <c r="BC97" s="7">
        <f>Weather!H97</f>
        <v>0</v>
      </c>
      <c r="BD97" s="7">
        <f>Weather!I97</f>
        <v>523.12083333333328</v>
      </c>
      <c r="BE97" s="7">
        <f>Weather!J97</f>
        <v>0</v>
      </c>
      <c r="BF97" s="7">
        <f>Weather!K97</f>
        <v>461.12083333333328</v>
      </c>
      <c r="BG97" s="7">
        <f>Weather!L97</f>
        <v>0</v>
      </c>
      <c r="BH97" s="7">
        <f>Weather!M97</f>
        <v>399.12083333333328</v>
      </c>
      <c r="BI97" s="7">
        <f>Weather!N97</f>
        <v>0</v>
      </c>
      <c r="BJ97" s="7">
        <f>Weather!O97</f>
        <v>337.12083333333322</v>
      </c>
      <c r="BK97" s="7">
        <f>Weather!P97</f>
        <v>0</v>
      </c>
      <c r="BL97" s="7">
        <f>Weather!Q97</f>
        <v>275.12083333333322</v>
      </c>
      <c r="BM97" s="7">
        <f>Weather!R97</f>
        <v>0</v>
      </c>
      <c r="BN97" s="1">
        <f t="shared" si="35"/>
        <v>0</v>
      </c>
      <c r="BO97" s="1">
        <f t="shared" si="35"/>
        <v>0</v>
      </c>
      <c r="BP97" s="1">
        <f t="shared" si="35"/>
        <v>0</v>
      </c>
      <c r="BQ97" s="1">
        <f t="shared" si="35"/>
        <v>0</v>
      </c>
      <c r="BR97" s="1">
        <f t="shared" si="35"/>
        <v>0</v>
      </c>
      <c r="BS97" s="1">
        <f t="shared" si="35"/>
        <v>0</v>
      </c>
      <c r="BT97" s="1">
        <f t="shared" si="35"/>
        <v>0</v>
      </c>
      <c r="BU97" s="1">
        <f t="shared" si="35"/>
        <v>0</v>
      </c>
      <c r="BV97" s="1">
        <f t="shared" si="35"/>
        <v>0</v>
      </c>
      <c r="BW97" s="1">
        <f t="shared" si="35"/>
        <v>0</v>
      </c>
      <c r="BX97" s="1">
        <f t="shared" si="35"/>
        <v>0</v>
      </c>
      <c r="BY97" s="1">
        <f t="shared" si="35"/>
        <v>1</v>
      </c>
      <c r="BZ97" s="1">
        <f t="shared" si="35"/>
        <v>0</v>
      </c>
      <c r="CA97" s="1">
        <f t="shared" si="35"/>
        <v>0</v>
      </c>
      <c r="CB97" s="1">
        <f t="shared" si="35"/>
        <v>0</v>
      </c>
      <c r="CC97" s="1">
        <f t="shared" si="23"/>
        <v>96</v>
      </c>
      <c r="CD97" s="1">
        <f t="shared" si="17"/>
        <v>31</v>
      </c>
      <c r="CE97" s="1">
        <v>20</v>
      </c>
      <c r="CF97" s="1">
        <v>0.5</v>
      </c>
      <c r="CG97" s="1">
        <v>0.25</v>
      </c>
      <c r="CH97" s="1">
        <v>0.5</v>
      </c>
      <c r="CI97" s="1">
        <v>0</v>
      </c>
      <c r="CJ97" s="1">
        <f t="shared" si="30"/>
        <v>161.78020833333332</v>
      </c>
      <c r="CK97" s="1">
        <f t="shared" si="30"/>
        <v>0</v>
      </c>
      <c r="CL97" s="1">
        <f t="shared" si="30"/>
        <v>146.28020833333332</v>
      </c>
      <c r="CM97" s="1">
        <f t="shared" si="30"/>
        <v>0</v>
      </c>
      <c r="CN97" s="1">
        <f t="shared" si="30"/>
        <v>130.78020833333332</v>
      </c>
      <c r="CO97" s="1">
        <f t="shared" si="30"/>
        <v>0</v>
      </c>
      <c r="CP97" s="1">
        <f t="shared" si="28"/>
        <v>115.28020833333332</v>
      </c>
      <c r="CQ97" s="1">
        <f t="shared" si="28"/>
        <v>0</v>
      </c>
      <c r="CR97" s="1">
        <f t="shared" si="24"/>
        <v>99.78020833333332</v>
      </c>
      <c r="CS97" s="1">
        <f t="shared" si="24"/>
        <v>0</v>
      </c>
      <c r="CT97" s="1">
        <f t="shared" si="24"/>
        <v>84.280208333333306</v>
      </c>
      <c r="CU97" s="1">
        <f t="shared" si="24"/>
        <v>0</v>
      </c>
      <c r="CV97" s="1">
        <f t="shared" si="24"/>
        <v>68.780208333333306</v>
      </c>
      <c r="CW97" s="1">
        <f t="shared" si="24"/>
        <v>0</v>
      </c>
      <c r="CX97" s="1">
        <f t="shared" si="31"/>
        <v>323.56041666666664</v>
      </c>
      <c r="CY97" s="1">
        <f t="shared" si="31"/>
        <v>0</v>
      </c>
      <c r="CZ97" s="1">
        <f t="shared" si="31"/>
        <v>292.56041666666664</v>
      </c>
      <c r="DA97" s="1">
        <f t="shared" si="31"/>
        <v>0</v>
      </c>
      <c r="DB97" s="1">
        <f t="shared" si="31"/>
        <v>261.56041666666664</v>
      </c>
      <c r="DC97" s="1">
        <f t="shared" si="31"/>
        <v>0</v>
      </c>
      <c r="DD97" s="1">
        <f t="shared" si="29"/>
        <v>230.56041666666664</v>
      </c>
      <c r="DE97" s="1">
        <f t="shared" si="29"/>
        <v>0</v>
      </c>
      <c r="DF97" s="1">
        <f t="shared" si="25"/>
        <v>199.56041666666664</v>
      </c>
      <c r="DG97" s="1">
        <f t="shared" si="25"/>
        <v>0</v>
      </c>
      <c r="DH97" s="1">
        <f t="shared" si="25"/>
        <v>168.56041666666661</v>
      </c>
      <c r="DI97" s="1">
        <f t="shared" si="25"/>
        <v>0</v>
      </c>
      <c r="DJ97" s="1">
        <f t="shared" si="25"/>
        <v>137.56041666666661</v>
      </c>
      <c r="DK97" s="1">
        <f t="shared" si="25"/>
        <v>0</v>
      </c>
      <c r="DL97" s="24">
        <v>518497.92000000004</v>
      </c>
      <c r="DM97" s="25">
        <v>839.28</v>
      </c>
      <c r="DN97" s="24"/>
      <c r="DO97" s="25"/>
      <c r="DP97" s="25"/>
      <c r="DQ97" s="25"/>
      <c r="DR97" s="25"/>
      <c r="DS97" s="25"/>
      <c r="DT97" s="25"/>
      <c r="DU97" s="25"/>
      <c r="DV97" s="25"/>
    </row>
    <row r="98" spans="1:126" x14ac:dyDescent="0.25">
      <c r="A98" s="252">
        <v>44927</v>
      </c>
      <c r="B98" s="253">
        <f t="shared" si="18"/>
        <v>2023</v>
      </c>
      <c r="C98" s="253">
        <f t="shared" si="19"/>
        <v>1</v>
      </c>
      <c r="D98" s="254">
        <v>47321247.724178247</v>
      </c>
      <c r="E98" s="254">
        <f ca="1">IFERROR(VLOOKUP($B98-1,CDM!$L$7:$T$18,2,FALSE)/12,0)+IFERROR(VLOOKUP($B98,CDM!$L$36:$T$46,2,FALSE)/24,0)+IFERROR(VLOOKUP($B98,CDM!$L$36:$T$46,2,FALSE)/2*$C98/78,0)</f>
        <v>2465748.1775500271</v>
      </c>
      <c r="F98" s="254">
        <f ca="1">D98+E98</f>
        <v>49786995.901728272</v>
      </c>
      <c r="G98" s="255">
        <v>56311</v>
      </c>
      <c r="H98" s="254">
        <v>11205649.907919466</v>
      </c>
      <c r="I98" s="254">
        <f ca="1">IFERROR(VLOOKUP($B98-1,CDM!$L$7:$T$18,3,FALSE)/12,0)+IFERROR(VLOOKUP($B98,CDM!$L$36:$T$46,3,FALSE)/24,0)+IFERROR(VLOOKUP($B98,CDM!$L$36:$T$46,3,FALSE)/2*$C98/78,0)</f>
        <v>712178.03784905409</v>
      </c>
      <c r="J98" s="254">
        <f ca="1">H98+I98</f>
        <v>11917827.94576852</v>
      </c>
      <c r="K98" s="256">
        <v>4326</v>
      </c>
      <c r="L98" s="256">
        <v>32685114.047520991</v>
      </c>
      <c r="M98" s="257">
        <f ca="1">IFERROR(VLOOKUP($B98-1,CDM!$L$7:$T$18,4,FALSE)/12,0)+IFERROR(VLOOKUP($B98,CDM!$L$36:$T$46,4,FALSE)/24,0)+IFERROR(VLOOKUP($B98,CDM!$L$36:$T$46,4,FALSE)/2*$C98/78,0)</f>
        <v>976472.97169845796</v>
      </c>
      <c r="N98" s="254">
        <f ca="1">L98+M98</f>
        <v>33661587.019219451</v>
      </c>
      <c r="O98" s="256">
        <v>54859.010211524306</v>
      </c>
      <c r="P98" s="256">
        <v>542</v>
      </c>
      <c r="Q98" s="256">
        <v>6352846.3944661673</v>
      </c>
      <c r="R98" s="256">
        <f ca="1">IFERROR(VLOOKUP($B98-1,CDM!$L$7:$T$18,5,FALSE)/12,0)+IFERROR(VLOOKUP($B98,CDM!$L$36:$T$46,5,FALSE)/24,0)+IFERROR(VLOOKUP($B98,CDM!$L$36:$T$46,5,FALSE)/2*$C98/78,0)</f>
        <v>923741.04344147258</v>
      </c>
      <c r="S98" s="256">
        <f ca="1">Q98+R98</f>
        <v>7276587.4379076399</v>
      </c>
      <c r="T98" s="256">
        <v>14145.41</v>
      </c>
      <c r="U98" s="256">
        <v>18</v>
      </c>
      <c r="V98" s="256">
        <v>2718971.7479580869</v>
      </c>
      <c r="W98" s="256">
        <f ca="1">IFERROR(VLOOKUP($B98-1,CDM!$L$7:$T$18,6,FALSE)/12,0)+IFERROR(VLOOKUP($B98,CDM!$L$36:$T$46,6,FALSE)/24,0)+IFERROR(VLOOKUP($B98,CDM!$L$36:$T$46,6,FALSE)/2*$C98/78,0)</f>
        <v>39487.714383604813</v>
      </c>
      <c r="X98" s="256">
        <f ca="1">V98+W98</f>
        <v>2758459.4623416918</v>
      </c>
      <c r="Y98" s="256">
        <v>5331.48</v>
      </c>
      <c r="Z98" s="256">
        <v>1</v>
      </c>
      <c r="AA98" s="4">
        <v>488854.44281625398</v>
      </c>
      <c r="AB98" s="4">
        <v>1061</v>
      </c>
      <c r="AC98" s="256">
        <v>14338</v>
      </c>
      <c r="AD98" s="256">
        <v>2064.7199999999998</v>
      </c>
      <c r="AE98" s="256">
        <v>0</v>
      </c>
      <c r="AF98" s="256">
        <v>19</v>
      </c>
      <c r="AG98" s="4">
        <v>233132</v>
      </c>
      <c r="AH98" s="4">
        <v>260</v>
      </c>
      <c r="AI98" s="28">
        <f>Economic!H100</f>
        <v>865859.6</v>
      </c>
      <c r="AJ98" s="28">
        <f>Economic!I100</f>
        <v>679067</v>
      </c>
      <c r="AK98" s="28">
        <f>Economic!J100</f>
        <v>74531.5</v>
      </c>
      <c r="AL98" s="28">
        <f>Economic!K100</f>
        <v>860658</v>
      </c>
      <c r="AM98" s="28">
        <f>Economic!L100</f>
        <v>671794</v>
      </c>
      <c r="AN98" s="28">
        <f>Economic!M100</f>
        <v>32304</v>
      </c>
      <c r="AO98" s="28">
        <f>Economic!D100</f>
        <v>7807</v>
      </c>
      <c r="AP98" s="28">
        <f>Economic!E100</f>
        <v>7776.6</v>
      </c>
      <c r="AQ98" s="28">
        <f>Economic!F100</f>
        <v>228.9</v>
      </c>
      <c r="AR98" s="28">
        <f>Economic!G100</f>
        <v>229.2</v>
      </c>
      <c r="AS98" s="28">
        <f>Economic!N100</f>
        <v>179.30000000000018</v>
      </c>
      <c r="AT98" s="28">
        <f>Economic!O100</f>
        <v>181.5</v>
      </c>
      <c r="AU98" s="28">
        <f>Economic!P100</f>
        <v>7.5999999999999943</v>
      </c>
      <c r="AV98" s="28">
        <f>Economic!Q100</f>
        <v>8.3999999999999773</v>
      </c>
      <c r="AW98" s="28">
        <f>Economic!R100</f>
        <v>15397.699999999953</v>
      </c>
      <c r="AX98" s="28">
        <f>Economic!S100</f>
        <v>8629</v>
      </c>
      <c r="AY98" s="7">
        <f>Weather!D98</f>
        <v>-1.4861559139784948</v>
      </c>
      <c r="AZ98" s="7">
        <f>Weather!E98</f>
        <v>666.07083333333355</v>
      </c>
      <c r="BA98" s="7">
        <f>Weather!F98</f>
        <v>0</v>
      </c>
      <c r="BB98" s="7">
        <f>Weather!G98</f>
        <v>604.07083333333344</v>
      </c>
      <c r="BC98" s="7">
        <f>Weather!H98</f>
        <v>0</v>
      </c>
      <c r="BD98" s="7">
        <f>Weather!I98</f>
        <v>542.07083333333333</v>
      </c>
      <c r="BE98" s="7">
        <f>Weather!J98</f>
        <v>0</v>
      </c>
      <c r="BF98" s="7">
        <f>Weather!K98</f>
        <v>480.07083333333327</v>
      </c>
      <c r="BG98" s="7">
        <f>Weather!L98</f>
        <v>0</v>
      </c>
      <c r="BH98" s="7">
        <f>Weather!M98</f>
        <v>418.07083333333327</v>
      </c>
      <c r="BI98" s="7">
        <f>Weather!N98</f>
        <v>0</v>
      </c>
      <c r="BJ98" s="7">
        <f>Weather!O98</f>
        <v>356.07083333333321</v>
      </c>
      <c r="BK98" s="7">
        <f>Weather!P98</f>
        <v>0</v>
      </c>
      <c r="BL98" s="7">
        <f>Weather!Q98</f>
        <v>294.07083333333327</v>
      </c>
      <c r="BM98" s="7">
        <f>Weather!R98</f>
        <v>0</v>
      </c>
      <c r="BN98" s="1">
        <f t="shared" si="35"/>
        <v>1</v>
      </c>
      <c r="BO98" s="1">
        <f t="shared" si="35"/>
        <v>0</v>
      </c>
      <c r="BP98" s="1">
        <f t="shared" si="35"/>
        <v>0</v>
      </c>
      <c r="BQ98" s="1">
        <f t="shared" si="35"/>
        <v>0</v>
      </c>
      <c r="BR98" s="1">
        <f t="shared" si="35"/>
        <v>0</v>
      </c>
      <c r="BS98" s="1">
        <f t="shared" si="35"/>
        <v>0</v>
      </c>
      <c r="BT98" s="1">
        <f t="shared" si="35"/>
        <v>0</v>
      </c>
      <c r="BU98" s="1">
        <f t="shared" si="35"/>
        <v>0</v>
      </c>
      <c r="BV98" s="1">
        <f t="shared" si="35"/>
        <v>0</v>
      </c>
      <c r="BW98" s="1">
        <f t="shared" si="35"/>
        <v>0</v>
      </c>
      <c r="BX98" s="1">
        <f t="shared" si="35"/>
        <v>0</v>
      </c>
      <c r="BY98" s="1">
        <f t="shared" si="35"/>
        <v>0</v>
      </c>
      <c r="BZ98" s="1">
        <f t="shared" si="35"/>
        <v>0</v>
      </c>
      <c r="CA98" s="1">
        <f t="shared" si="35"/>
        <v>0</v>
      </c>
      <c r="CB98" s="1">
        <f t="shared" si="35"/>
        <v>0</v>
      </c>
      <c r="CC98" s="1">
        <f t="shared" si="23"/>
        <v>97</v>
      </c>
      <c r="CD98" s="1">
        <f t="shared" si="17"/>
        <v>31</v>
      </c>
      <c r="CE98" s="1">
        <v>21</v>
      </c>
      <c r="CF98" s="1">
        <v>0</v>
      </c>
      <c r="CG98" s="1">
        <v>0</v>
      </c>
      <c r="CH98" s="1">
        <v>0.25</v>
      </c>
      <c r="CI98" s="1">
        <v>0</v>
      </c>
      <c r="CJ98" s="1">
        <f t="shared" si="30"/>
        <v>0</v>
      </c>
      <c r="CK98" s="1">
        <f t="shared" si="30"/>
        <v>0</v>
      </c>
      <c r="CL98" s="1">
        <f t="shared" si="30"/>
        <v>0</v>
      </c>
      <c r="CM98" s="1">
        <f t="shared" si="30"/>
        <v>0</v>
      </c>
      <c r="CN98" s="1">
        <f t="shared" si="30"/>
        <v>0</v>
      </c>
      <c r="CO98" s="1">
        <f t="shared" si="30"/>
        <v>0</v>
      </c>
      <c r="CP98" s="1">
        <f t="shared" si="28"/>
        <v>0</v>
      </c>
      <c r="CQ98" s="1">
        <f t="shared" si="28"/>
        <v>0</v>
      </c>
      <c r="CR98" s="1">
        <f t="shared" si="24"/>
        <v>0</v>
      </c>
      <c r="CS98" s="1">
        <f t="shared" si="24"/>
        <v>0</v>
      </c>
      <c r="CT98" s="1">
        <f t="shared" si="24"/>
        <v>0</v>
      </c>
      <c r="CU98" s="1">
        <f t="shared" si="24"/>
        <v>0</v>
      </c>
      <c r="CV98" s="1">
        <f t="shared" si="24"/>
        <v>0</v>
      </c>
      <c r="CW98" s="1">
        <f t="shared" si="24"/>
        <v>0</v>
      </c>
      <c r="CX98" s="1">
        <f t="shared" si="31"/>
        <v>166.51770833333339</v>
      </c>
      <c r="CY98" s="1">
        <f t="shared" si="31"/>
        <v>0</v>
      </c>
      <c r="CZ98" s="1">
        <f t="shared" si="31"/>
        <v>151.01770833333336</v>
      </c>
      <c r="DA98" s="1">
        <f t="shared" si="31"/>
        <v>0</v>
      </c>
      <c r="DB98" s="1">
        <f t="shared" si="31"/>
        <v>135.51770833333333</v>
      </c>
      <c r="DC98" s="1">
        <f t="shared" si="31"/>
        <v>0</v>
      </c>
      <c r="DD98" s="1">
        <f t="shared" si="29"/>
        <v>120.01770833333332</v>
      </c>
      <c r="DE98" s="1">
        <f t="shared" si="29"/>
        <v>0</v>
      </c>
      <c r="DF98" s="1">
        <f t="shared" si="25"/>
        <v>104.51770833333332</v>
      </c>
      <c r="DG98" s="1">
        <f t="shared" si="25"/>
        <v>0</v>
      </c>
      <c r="DH98" s="1">
        <f t="shared" si="25"/>
        <v>89.017708333333303</v>
      </c>
      <c r="DI98" s="1">
        <f t="shared" si="25"/>
        <v>0</v>
      </c>
      <c r="DJ98" s="1">
        <f t="shared" si="25"/>
        <v>73.517708333333317</v>
      </c>
      <c r="DK98" s="1">
        <f t="shared" si="25"/>
        <v>0</v>
      </c>
      <c r="DL98" s="24">
        <v>504593.57</v>
      </c>
      <c r="DM98" s="25">
        <v>807.44</v>
      </c>
      <c r="DN98" s="24"/>
      <c r="DO98" s="25"/>
      <c r="DP98" s="25"/>
      <c r="DQ98" s="25"/>
      <c r="DR98" s="25"/>
      <c r="DS98" s="25"/>
      <c r="DT98" s="25"/>
      <c r="DU98" s="25"/>
      <c r="DV98" s="25"/>
    </row>
    <row r="99" spans="1:126" x14ac:dyDescent="0.25">
      <c r="A99" s="252">
        <v>44958</v>
      </c>
      <c r="B99" s="253">
        <f t="shared" si="18"/>
        <v>2023</v>
      </c>
      <c r="C99" s="253">
        <f t="shared" si="19"/>
        <v>2</v>
      </c>
      <c r="D99" s="254">
        <v>45648803.882836401</v>
      </c>
      <c r="E99" s="254">
        <f ca="1">IFERROR(VLOOKUP($B99-1,CDM!$L$7:$T$18,2,FALSE)/12,0)+IFERROR(VLOOKUP($B99,CDM!$L$36:$T$46,2,FALSE)/24,0)+IFERROR(VLOOKUP($B99,CDM!$L$36:$T$46,2,FALSE)/2*$C99/78,0)</f>
        <v>2466729.9684323864</v>
      </c>
      <c r="F99" s="254">
        <f ca="1">D99+E99</f>
        <v>48115533.851268791</v>
      </c>
      <c r="G99" s="255">
        <v>56365</v>
      </c>
      <c r="H99" s="254">
        <v>10565235.498452913</v>
      </c>
      <c r="I99" s="254">
        <f ca="1">IFERROR(VLOOKUP($B99-1,CDM!$L$7:$T$18,3,FALSE)/12,0)+IFERROR(VLOOKUP($B99,CDM!$L$36:$T$46,3,FALSE)/24,0)+IFERROR(VLOOKUP($B99,CDM!$L$36:$T$46,3,FALSE)/2*$C99/78,0)</f>
        <v>718183.73586545035</v>
      </c>
      <c r="J99" s="254">
        <f ca="1">H99+I99</f>
        <v>11283419.234318363</v>
      </c>
      <c r="K99" s="256">
        <v>4326</v>
      </c>
      <c r="L99" s="4">
        <v>28235012.157527912</v>
      </c>
      <c r="M99" s="257">
        <f ca="1">IFERROR(VLOOKUP($B99-1,CDM!$L$7:$T$18,4,FALSE)/12,0)+IFERROR(VLOOKUP($B99,CDM!$L$36:$T$46,4,FALSE)/24,0)+IFERROR(VLOOKUP($B99,CDM!$L$36:$T$46,4,FALSE)/2*$C99/78,0)</f>
        <v>987985.56505844742</v>
      </c>
      <c r="N99" s="254">
        <f ca="1">L99+M99</f>
        <v>29222997.72258636</v>
      </c>
      <c r="O99" s="4">
        <v>78573.51999999999</v>
      </c>
      <c r="P99" s="256">
        <v>543</v>
      </c>
      <c r="Q99" s="256">
        <v>6210101.8460466005</v>
      </c>
      <c r="R99" s="256">
        <f ca="1">IFERROR(VLOOKUP($B99-1,CDM!$L$7:$T$18,5,FALSE)/12,0)+IFERROR(VLOOKUP($B99,CDM!$L$36:$T$46,5,FALSE)/24,0)+IFERROR(VLOOKUP($B99,CDM!$L$36:$T$46,5,FALSE)/2*$C99/78,0)</f>
        <v>927239.45324857044</v>
      </c>
      <c r="S99" s="256">
        <f ca="1">Q99+R99</f>
        <v>7137341.2992951712</v>
      </c>
      <c r="T99" s="256">
        <v>14090.740000000002</v>
      </c>
      <c r="U99" s="256">
        <v>18</v>
      </c>
      <c r="V99" s="256">
        <v>2576085.9383378797</v>
      </c>
      <c r="W99" s="256">
        <f ca="1">IFERROR(VLOOKUP($B99-1,CDM!$L$7:$T$18,6,FALSE)/12,0)+IFERROR(VLOOKUP($B99,CDM!$L$36:$T$46,6,FALSE)/24,0)+IFERROR(VLOOKUP($B99,CDM!$L$36:$T$46,6,FALSE)/2*$C99/78,0)</f>
        <v>40144.471248462389</v>
      </c>
      <c r="X99" s="256">
        <f ca="1">V99+W99</f>
        <v>2616230.4095863421</v>
      </c>
      <c r="Y99" s="256">
        <v>5222.28</v>
      </c>
      <c r="Z99" s="256">
        <v>1</v>
      </c>
      <c r="AA99" s="4">
        <v>398863.72537048097</v>
      </c>
      <c r="AB99" s="4">
        <v>1061</v>
      </c>
      <c r="AC99" s="256">
        <v>14338</v>
      </c>
      <c r="AD99" s="256">
        <v>2285.94</v>
      </c>
      <c r="AE99" s="256">
        <v>0</v>
      </c>
      <c r="AF99" s="256">
        <v>19</v>
      </c>
      <c r="AG99" s="4">
        <v>233691</v>
      </c>
      <c r="AH99" s="4">
        <v>260</v>
      </c>
      <c r="AI99" s="28">
        <f>Economic!H101</f>
        <v>865859.6</v>
      </c>
      <c r="AJ99" s="28">
        <f>Economic!I101</f>
        <v>679067</v>
      </c>
      <c r="AK99" s="28">
        <f>Economic!J101</f>
        <v>74531.5</v>
      </c>
      <c r="AL99" s="28">
        <f>Economic!K101</f>
        <v>860658</v>
      </c>
      <c r="AM99" s="28">
        <f>Economic!L101</f>
        <v>671794</v>
      </c>
      <c r="AN99" s="28">
        <f>Economic!M101</f>
        <v>32304</v>
      </c>
      <c r="AO99" s="28">
        <f>Economic!D101</f>
        <v>7840.7</v>
      </c>
      <c r="AP99" s="28">
        <f>Economic!E101</f>
        <v>7780.5</v>
      </c>
      <c r="AQ99" s="28">
        <f>Economic!F101</f>
        <v>229.5</v>
      </c>
      <c r="AR99" s="28">
        <f>Economic!G101</f>
        <v>229.6</v>
      </c>
      <c r="AS99" s="28">
        <f>Economic!N101</f>
        <v>189.39999999999964</v>
      </c>
      <c r="AT99" s="28">
        <f>Economic!O101</f>
        <v>191.69999999999982</v>
      </c>
      <c r="AU99" s="28">
        <f>Economic!P101</f>
        <v>8.1999999999999886</v>
      </c>
      <c r="AV99" s="28">
        <f>Economic!Q101</f>
        <v>8.6999999999999886</v>
      </c>
      <c r="AW99" s="28">
        <f>Economic!R101</f>
        <v>15397.699999999953</v>
      </c>
      <c r="AX99" s="28">
        <f>Economic!S101</f>
        <v>8629</v>
      </c>
      <c r="AY99" s="7">
        <f>Weather!D99</f>
        <v>-2.4797619047619048</v>
      </c>
      <c r="AZ99" s="7">
        <f>Weather!E99</f>
        <v>629.43333333333328</v>
      </c>
      <c r="BA99" s="7">
        <f>Weather!F99</f>
        <v>0</v>
      </c>
      <c r="BB99" s="7">
        <f>Weather!G99</f>
        <v>573.43333333333328</v>
      </c>
      <c r="BC99" s="7">
        <f>Weather!H99</f>
        <v>0</v>
      </c>
      <c r="BD99" s="7">
        <f>Weather!I99</f>
        <v>517.43333333333328</v>
      </c>
      <c r="BE99" s="7">
        <f>Weather!J99</f>
        <v>0</v>
      </c>
      <c r="BF99" s="7">
        <f>Weather!K99</f>
        <v>461.43333333333328</v>
      </c>
      <c r="BG99" s="7">
        <f>Weather!L99</f>
        <v>0</v>
      </c>
      <c r="BH99" s="7">
        <f>Weather!M99</f>
        <v>405.43333333333328</v>
      </c>
      <c r="BI99" s="7">
        <f>Weather!N99</f>
        <v>0</v>
      </c>
      <c r="BJ99" s="7">
        <f>Weather!O99</f>
        <v>349.43333333333328</v>
      </c>
      <c r="BK99" s="7">
        <f>Weather!P99</f>
        <v>0</v>
      </c>
      <c r="BL99" s="7">
        <f>Weather!Q99</f>
        <v>293.51666666666665</v>
      </c>
      <c r="BM99" s="7">
        <f>Weather!R99</f>
        <v>8.3333333333332149E-2</v>
      </c>
      <c r="BN99" s="1">
        <f t="shared" si="35"/>
        <v>0</v>
      </c>
      <c r="BO99" s="1">
        <f t="shared" si="35"/>
        <v>1</v>
      </c>
      <c r="BP99" s="1">
        <f t="shared" si="35"/>
        <v>0</v>
      </c>
      <c r="BQ99" s="1">
        <f t="shared" si="35"/>
        <v>0</v>
      </c>
      <c r="BR99" s="1">
        <f t="shared" si="35"/>
        <v>0</v>
      </c>
      <c r="BS99" s="1">
        <f t="shared" si="35"/>
        <v>0</v>
      </c>
      <c r="BT99" s="1">
        <f t="shared" si="35"/>
        <v>0</v>
      </c>
      <c r="BU99" s="1">
        <f t="shared" si="35"/>
        <v>0</v>
      </c>
      <c r="BV99" s="1">
        <f t="shared" si="35"/>
        <v>0</v>
      </c>
      <c r="BW99" s="1">
        <f t="shared" si="35"/>
        <v>0</v>
      </c>
      <c r="BX99" s="1">
        <f t="shared" si="35"/>
        <v>0</v>
      </c>
      <c r="BY99" s="1">
        <f t="shared" si="35"/>
        <v>0</v>
      </c>
      <c r="BZ99" s="1">
        <f t="shared" si="35"/>
        <v>0</v>
      </c>
      <c r="CA99" s="1">
        <f t="shared" si="35"/>
        <v>0</v>
      </c>
      <c r="CB99" s="1">
        <f t="shared" si="35"/>
        <v>0</v>
      </c>
      <c r="CC99" s="1">
        <f t="shared" si="23"/>
        <v>98</v>
      </c>
      <c r="CD99" s="1">
        <f t="shared" si="17"/>
        <v>28</v>
      </c>
      <c r="CE99" s="1">
        <v>19</v>
      </c>
      <c r="CF99" s="1">
        <v>0</v>
      </c>
      <c r="CG99" s="1">
        <v>0</v>
      </c>
      <c r="CH99" s="1">
        <v>0.25</v>
      </c>
      <c r="CI99" s="1">
        <v>0</v>
      </c>
      <c r="CJ99" s="1">
        <f t="shared" si="30"/>
        <v>0</v>
      </c>
      <c r="CK99" s="1">
        <f t="shared" si="30"/>
        <v>0</v>
      </c>
      <c r="CL99" s="1">
        <f t="shared" si="30"/>
        <v>0</v>
      </c>
      <c r="CM99" s="1">
        <f t="shared" si="30"/>
        <v>0</v>
      </c>
      <c r="CN99" s="1">
        <f t="shared" si="30"/>
        <v>0</v>
      </c>
      <c r="CO99" s="1">
        <f t="shared" si="30"/>
        <v>0</v>
      </c>
      <c r="CP99" s="1">
        <f t="shared" si="28"/>
        <v>0</v>
      </c>
      <c r="CQ99" s="1">
        <f t="shared" si="28"/>
        <v>0</v>
      </c>
      <c r="CR99" s="1">
        <f t="shared" si="24"/>
        <v>0</v>
      </c>
      <c r="CS99" s="1">
        <f t="shared" si="24"/>
        <v>0</v>
      </c>
      <c r="CT99" s="1">
        <f t="shared" si="24"/>
        <v>0</v>
      </c>
      <c r="CU99" s="1">
        <f t="shared" si="24"/>
        <v>0</v>
      </c>
      <c r="CV99" s="1">
        <f t="shared" si="24"/>
        <v>0</v>
      </c>
      <c r="CW99" s="1">
        <f t="shared" si="24"/>
        <v>0</v>
      </c>
      <c r="CX99" s="1">
        <f t="shared" si="31"/>
        <v>157.35833333333332</v>
      </c>
      <c r="CY99" s="1">
        <f t="shared" si="31"/>
        <v>0</v>
      </c>
      <c r="CZ99" s="1">
        <f t="shared" si="31"/>
        <v>143.35833333333332</v>
      </c>
      <c r="DA99" s="1">
        <f t="shared" si="31"/>
        <v>0</v>
      </c>
      <c r="DB99" s="1">
        <f t="shared" si="31"/>
        <v>129.35833333333332</v>
      </c>
      <c r="DC99" s="1">
        <f t="shared" si="31"/>
        <v>0</v>
      </c>
      <c r="DD99" s="1">
        <f t="shared" si="29"/>
        <v>115.35833333333332</v>
      </c>
      <c r="DE99" s="1">
        <f t="shared" si="29"/>
        <v>0</v>
      </c>
      <c r="DF99" s="1">
        <f t="shared" si="25"/>
        <v>101.35833333333332</v>
      </c>
      <c r="DG99" s="1">
        <f t="shared" si="25"/>
        <v>0</v>
      </c>
      <c r="DH99" s="1">
        <f t="shared" si="25"/>
        <v>87.35833333333332</v>
      </c>
      <c r="DI99" s="1">
        <f t="shared" si="25"/>
        <v>0</v>
      </c>
      <c r="DJ99" s="1">
        <f t="shared" si="25"/>
        <v>73.379166666666663</v>
      </c>
      <c r="DK99" s="1">
        <f t="shared" si="25"/>
        <v>2.0833333333333037E-2</v>
      </c>
      <c r="DL99" s="24">
        <v>450561.97</v>
      </c>
      <c r="DM99" s="25">
        <v>795.76</v>
      </c>
      <c r="DN99" s="24"/>
      <c r="DO99" s="25"/>
      <c r="DP99" s="25"/>
      <c r="DQ99" s="25"/>
      <c r="DR99" s="25"/>
      <c r="DS99" s="25"/>
      <c r="DT99" s="25"/>
      <c r="DU99" s="25"/>
      <c r="DV99" s="25"/>
    </row>
    <row r="100" spans="1:126" x14ac:dyDescent="0.25">
      <c r="A100" s="252">
        <v>44986</v>
      </c>
      <c r="B100" s="253">
        <f t="shared" si="18"/>
        <v>2023</v>
      </c>
      <c r="C100" s="253">
        <f t="shared" si="19"/>
        <v>3</v>
      </c>
      <c r="D100" s="254">
        <v>41586323.957748681</v>
      </c>
      <c r="E100" s="254">
        <f ca="1">IFERROR(VLOOKUP($B100-1,CDM!$L$7:$T$18,2,FALSE)/12,0)+IFERROR(VLOOKUP($B100,CDM!$L$36:$T$46,2,FALSE)/24,0)+IFERROR(VLOOKUP($B100,CDM!$L$36:$T$46,2,FALSE)/2*$C100/78,0)</f>
        <v>2467711.7593147452</v>
      </c>
      <c r="F100" s="254">
        <f ca="1">D100+E100</f>
        <v>44054035.717063427</v>
      </c>
      <c r="G100" s="255">
        <v>56613</v>
      </c>
      <c r="H100" s="254">
        <v>11105734.116340065</v>
      </c>
      <c r="I100" s="254">
        <f ca="1">IFERROR(VLOOKUP($B100-1,CDM!$L$7:$T$18,3,FALSE)/12,0)+IFERROR(VLOOKUP($B100,CDM!$L$36:$T$46,3,FALSE)/24,0)+IFERROR(VLOOKUP($B100,CDM!$L$36:$T$46,3,FALSE)/2*$C100/78,0)</f>
        <v>724189.43388184672</v>
      </c>
      <c r="J100" s="254">
        <f ca="1">H100+I100</f>
        <v>11829923.550221913</v>
      </c>
      <c r="K100" s="256">
        <v>4323</v>
      </c>
      <c r="L100" s="4">
        <v>27905440.111342404</v>
      </c>
      <c r="M100" s="257">
        <f ca="1">IFERROR(VLOOKUP($B100-1,CDM!$L$7:$T$18,4,FALSE)/12,0)+IFERROR(VLOOKUP($B100,CDM!$L$36:$T$46,4,FALSE)/24,0)+IFERROR(VLOOKUP($B100,CDM!$L$36:$T$46,4,FALSE)/2*$C100/78,0)</f>
        <v>999498.15841843688</v>
      </c>
      <c r="N100" s="254">
        <f ca="1">L100+M100</f>
        <v>28904938.26976084</v>
      </c>
      <c r="O100" s="4">
        <v>73464.97</v>
      </c>
      <c r="P100" s="256">
        <v>544</v>
      </c>
      <c r="Q100" s="256">
        <v>5818133.0374552952</v>
      </c>
      <c r="R100" s="256">
        <f ca="1">IFERROR(VLOOKUP($B100-1,CDM!$L$7:$T$18,5,FALSE)/12,0)+IFERROR(VLOOKUP($B100,CDM!$L$36:$T$46,5,FALSE)/24,0)+IFERROR(VLOOKUP($B100,CDM!$L$36:$T$46,5,FALSE)/2*$C100/78,0)</f>
        <v>930737.86305566819</v>
      </c>
      <c r="S100" s="256">
        <f ca="1">Q100+R100</f>
        <v>6748870.9005109631</v>
      </c>
      <c r="T100" s="256">
        <v>13068.880000000001</v>
      </c>
      <c r="U100" s="256">
        <v>18</v>
      </c>
      <c r="V100" s="256">
        <v>2739789.2561942837</v>
      </c>
      <c r="W100" s="256">
        <f ca="1">IFERROR(VLOOKUP($B100-1,CDM!$L$7:$T$18,6,FALSE)/12,0)+IFERROR(VLOOKUP($B100,CDM!$L$36:$T$46,6,FALSE)/24,0)+IFERROR(VLOOKUP($B100,CDM!$L$36:$T$46,6,FALSE)/2*$C100/78,0)</f>
        <v>40801.228113319965</v>
      </c>
      <c r="X100" s="256">
        <f ca="1">V100+W100</f>
        <v>2780590.4843076039</v>
      </c>
      <c r="Y100" s="256">
        <v>5223.96</v>
      </c>
      <c r="Z100" s="256">
        <v>1</v>
      </c>
      <c r="AA100" s="4">
        <v>399950.18344264361</v>
      </c>
      <c r="AB100" s="4">
        <v>1061</v>
      </c>
      <c r="AC100" s="256">
        <v>14338</v>
      </c>
      <c r="AD100" s="256">
        <v>2212.1999999999998</v>
      </c>
      <c r="AE100" s="256">
        <v>0</v>
      </c>
      <c r="AF100" s="256">
        <v>19</v>
      </c>
      <c r="AG100" s="4">
        <v>233701</v>
      </c>
      <c r="AH100" s="4">
        <v>260</v>
      </c>
      <c r="AI100" s="28">
        <f>Economic!H102</f>
        <v>865859.6</v>
      </c>
      <c r="AJ100" s="28">
        <f>Economic!I102</f>
        <v>679067</v>
      </c>
      <c r="AK100" s="28">
        <f>Economic!J102</f>
        <v>74531.5</v>
      </c>
      <c r="AL100" s="28">
        <f>Economic!K102</f>
        <v>860658</v>
      </c>
      <c r="AM100" s="28">
        <f>Economic!L102</f>
        <v>671794</v>
      </c>
      <c r="AN100" s="28">
        <f>Economic!M102</f>
        <v>32304</v>
      </c>
      <c r="AO100" s="28">
        <f>Economic!D102</f>
        <v>7866.6</v>
      </c>
      <c r="AP100" s="28">
        <f>Economic!E102</f>
        <v>7781.3</v>
      </c>
      <c r="AQ100" s="28">
        <f>Economic!F102</f>
        <v>226.7</v>
      </c>
      <c r="AR100" s="28">
        <f>Economic!G102</f>
        <v>225.8</v>
      </c>
      <c r="AS100" s="28">
        <f>Economic!N102</f>
        <v>204.10000000000036</v>
      </c>
      <c r="AT100" s="28">
        <f>Economic!O102</f>
        <v>207.90000000000055</v>
      </c>
      <c r="AU100" s="28">
        <f>Economic!P102</f>
        <v>4</v>
      </c>
      <c r="AV100" s="28">
        <f>Economic!Q102</f>
        <v>3.8000000000000114</v>
      </c>
      <c r="AW100" s="28">
        <f>Economic!R102</f>
        <v>15397.699999999953</v>
      </c>
      <c r="AX100" s="28">
        <f>Economic!S102</f>
        <v>8629</v>
      </c>
      <c r="AY100" s="7">
        <f>Weather!D100</f>
        <v>0.22473118279569884</v>
      </c>
      <c r="AZ100" s="7">
        <f>Weather!E100</f>
        <v>613.0333333333333</v>
      </c>
      <c r="BA100" s="7">
        <f>Weather!F100</f>
        <v>0</v>
      </c>
      <c r="BB100" s="7">
        <f>Weather!G100</f>
        <v>551.03333333333342</v>
      </c>
      <c r="BC100" s="7">
        <f>Weather!H100</f>
        <v>0</v>
      </c>
      <c r="BD100" s="7">
        <f>Weather!I100</f>
        <v>489.03333333333336</v>
      </c>
      <c r="BE100" s="7">
        <f>Weather!J100</f>
        <v>0</v>
      </c>
      <c r="BF100" s="7">
        <f>Weather!K100</f>
        <v>427.0333333333333</v>
      </c>
      <c r="BG100" s="7">
        <f>Weather!L100</f>
        <v>0</v>
      </c>
      <c r="BH100" s="7">
        <f>Weather!M100</f>
        <v>365.03333333333336</v>
      </c>
      <c r="BI100" s="7">
        <f>Weather!N100</f>
        <v>0</v>
      </c>
      <c r="BJ100" s="7">
        <f>Weather!O100</f>
        <v>303.03333333333342</v>
      </c>
      <c r="BK100" s="7">
        <f>Weather!P100</f>
        <v>0</v>
      </c>
      <c r="BL100" s="7">
        <f>Weather!Q100</f>
        <v>241.03333333333333</v>
      </c>
      <c r="BM100" s="7">
        <f>Weather!R100</f>
        <v>0</v>
      </c>
      <c r="BN100" s="1">
        <f t="shared" si="35"/>
        <v>0</v>
      </c>
      <c r="BO100" s="1">
        <f t="shared" si="35"/>
        <v>0</v>
      </c>
      <c r="BP100" s="1">
        <f t="shared" si="35"/>
        <v>1</v>
      </c>
      <c r="BQ100" s="1">
        <f t="shared" si="35"/>
        <v>0</v>
      </c>
      <c r="BR100" s="1">
        <f t="shared" si="35"/>
        <v>0</v>
      </c>
      <c r="BS100" s="1">
        <f t="shared" si="35"/>
        <v>0</v>
      </c>
      <c r="BT100" s="1">
        <f t="shared" si="35"/>
        <v>0</v>
      </c>
      <c r="BU100" s="1">
        <f t="shared" si="35"/>
        <v>0</v>
      </c>
      <c r="BV100" s="1">
        <f t="shared" si="35"/>
        <v>0</v>
      </c>
      <c r="BW100" s="1">
        <f t="shared" si="35"/>
        <v>0</v>
      </c>
      <c r="BX100" s="1">
        <f t="shared" si="35"/>
        <v>0</v>
      </c>
      <c r="BY100" s="1">
        <f t="shared" si="35"/>
        <v>0</v>
      </c>
      <c r="BZ100" s="1">
        <f t="shared" si="35"/>
        <v>1</v>
      </c>
      <c r="CA100" s="1">
        <f t="shared" si="35"/>
        <v>0</v>
      </c>
      <c r="CB100" s="1">
        <f t="shared" si="35"/>
        <v>1</v>
      </c>
      <c r="CC100" s="1">
        <f t="shared" si="23"/>
        <v>99</v>
      </c>
      <c r="CD100" s="1">
        <f t="shared" si="17"/>
        <v>31</v>
      </c>
      <c r="CE100" s="1">
        <v>23</v>
      </c>
      <c r="CF100" s="1">
        <v>0</v>
      </c>
      <c r="CG100" s="1">
        <v>0</v>
      </c>
      <c r="CH100" s="1">
        <v>0.25</v>
      </c>
      <c r="CI100" s="1">
        <v>0</v>
      </c>
      <c r="CJ100" s="1">
        <f t="shared" si="30"/>
        <v>0</v>
      </c>
      <c r="CK100" s="1">
        <f t="shared" si="30"/>
        <v>0</v>
      </c>
      <c r="CL100" s="1">
        <f t="shared" si="30"/>
        <v>0</v>
      </c>
      <c r="CM100" s="1">
        <f t="shared" si="30"/>
        <v>0</v>
      </c>
      <c r="CN100" s="1">
        <f t="shared" si="30"/>
        <v>0</v>
      </c>
      <c r="CO100" s="1">
        <f t="shared" si="30"/>
        <v>0</v>
      </c>
      <c r="CP100" s="1">
        <f t="shared" si="28"/>
        <v>0</v>
      </c>
      <c r="CQ100" s="1">
        <f t="shared" si="28"/>
        <v>0</v>
      </c>
      <c r="CR100" s="1">
        <f t="shared" si="24"/>
        <v>0</v>
      </c>
      <c r="CS100" s="1">
        <f t="shared" si="24"/>
        <v>0</v>
      </c>
      <c r="CT100" s="1">
        <f t="shared" si="24"/>
        <v>0</v>
      </c>
      <c r="CU100" s="1">
        <f t="shared" si="24"/>
        <v>0</v>
      </c>
      <c r="CV100" s="1">
        <f t="shared" si="24"/>
        <v>0</v>
      </c>
      <c r="CW100" s="1">
        <f t="shared" si="24"/>
        <v>0</v>
      </c>
      <c r="CX100" s="1">
        <f t="shared" si="31"/>
        <v>153.25833333333333</v>
      </c>
      <c r="CY100" s="1">
        <f t="shared" si="31"/>
        <v>0</v>
      </c>
      <c r="CZ100" s="1">
        <f t="shared" si="31"/>
        <v>137.75833333333335</v>
      </c>
      <c r="DA100" s="1">
        <f t="shared" si="31"/>
        <v>0</v>
      </c>
      <c r="DB100" s="1">
        <f t="shared" si="31"/>
        <v>122.25833333333334</v>
      </c>
      <c r="DC100" s="1">
        <f t="shared" si="31"/>
        <v>0</v>
      </c>
      <c r="DD100" s="1">
        <f t="shared" si="29"/>
        <v>106.75833333333333</v>
      </c>
      <c r="DE100" s="1">
        <f t="shared" si="29"/>
        <v>0</v>
      </c>
      <c r="DF100" s="1">
        <f t="shared" si="25"/>
        <v>91.25833333333334</v>
      </c>
      <c r="DG100" s="1">
        <f t="shared" si="25"/>
        <v>0</v>
      </c>
      <c r="DH100" s="1">
        <f t="shared" si="25"/>
        <v>75.758333333333354</v>
      </c>
      <c r="DI100" s="1">
        <f t="shared" si="25"/>
        <v>0</v>
      </c>
      <c r="DJ100" s="1">
        <f t="shared" si="25"/>
        <v>60.258333333333333</v>
      </c>
      <c r="DK100" s="1">
        <f t="shared" si="25"/>
        <v>0</v>
      </c>
      <c r="DL100" s="24">
        <v>489851.55</v>
      </c>
      <c r="DM100" s="25">
        <v>784.41</v>
      </c>
      <c r="DN100" s="24"/>
      <c r="DO100" s="25"/>
      <c r="DP100" s="25"/>
      <c r="DQ100" s="25"/>
      <c r="DR100" s="25"/>
      <c r="DS100" s="25"/>
      <c r="DT100" s="25"/>
      <c r="DU100" s="25"/>
      <c r="DV100" s="25"/>
    </row>
    <row r="101" spans="1:126" x14ac:dyDescent="0.25">
      <c r="A101" s="252">
        <v>45017</v>
      </c>
      <c r="B101" s="253">
        <f t="shared" si="18"/>
        <v>2023</v>
      </c>
      <c r="C101" s="253">
        <f t="shared" si="19"/>
        <v>4</v>
      </c>
      <c r="D101" s="254">
        <v>39009088.07493154</v>
      </c>
      <c r="E101" s="254">
        <f ca="1">IFERROR(VLOOKUP($B101-1,CDM!$L$7:$T$18,2,FALSE)/12,0)+IFERROR(VLOOKUP($B101,CDM!$L$36:$T$46,2,FALSE)/24,0)+IFERROR(VLOOKUP($B101,CDM!$L$36:$T$46,2,FALSE)/2*$C101/78,0)</f>
        <v>2468693.5501971045</v>
      </c>
      <c r="F101" s="254">
        <f ca="1">D101+E101</f>
        <v>41477781.625128642</v>
      </c>
      <c r="G101" s="255">
        <v>56562</v>
      </c>
      <c r="H101" s="254">
        <v>9279670.0050605703</v>
      </c>
      <c r="I101" s="254">
        <f ca="1">IFERROR(VLOOKUP($B101-1,CDM!$L$7:$T$18,3,FALSE)/12,0)+IFERROR(VLOOKUP($B101,CDM!$L$36:$T$46,3,FALSE)/24,0)+IFERROR(VLOOKUP($B101,CDM!$L$36:$T$46,3,FALSE)/2*$C101/78,0)</f>
        <v>730195.13189824298</v>
      </c>
      <c r="J101" s="254">
        <f ca="1">H101+I101</f>
        <v>10009865.136958813</v>
      </c>
      <c r="K101" s="256">
        <v>4324</v>
      </c>
      <c r="L101" s="4">
        <v>24560606.019747391</v>
      </c>
      <c r="M101" s="257">
        <f ca="1">IFERROR(VLOOKUP($B101-1,CDM!$L$7:$T$18,4,FALSE)/12,0)+IFERROR(VLOOKUP($B101,CDM!$L$36:$T$46,4,FALSE)/24,0)+IFERROR(VLOOKUP($B101,CDM!$L$36:$T$46,4,FALSE)/2*$C101/78,0)</f>
        <v>1011010.7517784263</v>
      </c>
      <c r="N101" s="254">
        <f ca="1">L101+M101</f>
        <v>25571616.771525819</v>
      </c>
      <c r="O101" s="4">
        <v>68383.03</v>
      </c>
      <c r="P101" s="256">
        <v>544</v>
      </c>
      <c r="Q101" s="256">
        <v>5982383.9461071435</v>
      </c>
      <c r="R101" s="256">
        <f ca="1">IFERROR(VLOOKUP($B101-1,CDM!$L$7:$T$18,5,FALSE)/12,0)+IFERROR(VLOOKUP($B101,CDM!$L$36:$T$46,5,FALSE)/24,0)+IFERROR(VLOOKUP($B101,CDM!$L$36:$T$46,5,FALSE)/2*$C101/78,0)</f>
        <v>934236.27286276594</v>
      </c>
      <c r="S101" s="256">
        <f ca="1">Q101+R101</f>
        <v>6916620.2189699095</v>
      </c>
      <c r="T101" s="256">
        <v>14966.41</v>
      </c>
      <c r="U101" s="256">
        <v>18</v>
      </c>
      <c r="V101" s="256">
        <v>2517469.3774617161</v>
      </c>
      <c r="W101" s="256">
        <f ca="1">IFERROR(VLOOKUP($B101-1,CDM!$L$7:$T$18,6,FALSE)/12,0)+IFERROR(VLOOKUP($B101,CDM!$L$36:$T$46,6,FALSE)/24,0)+IFERROR(VLOOKUP($B101,CDM!$L$36:$T$46,6,FALSE)/2*$C101/78,0)</f>
        <v>41457.984978177541</v>
      </c>
      <c r="X101" s="256">
        <f ca="1">V101+W101</f>
        <v>2558927.3624398937</v>
      </c>
      <c r="Y101" s="256">
        <v>5114.76</v>
      </c>
      <c r="Z101" s="256">
        <v>1</v>
      </c>
      <c r="AA101" s="4">
        <v>340608.0086936368</v>
      </c>
      <c r="AB101" s="4">
        <v>1061</v>
      </c>
      <c r="AC101" s="256">
        <v>14338</v>
      </c>
      <c r="AD101" s="256">
        <v>2285.94</v>
      </c>
      <c r="AE101" s="256">
        <v>0</v>
      </c>
      <c r="AF101" s="256">
        <v>19</v>
      </c>
      <c r="AG101" s="4">
        <v>233701</v>
      </c>
      <c r="AH101" s="4">
        <v>260</v>
      </c>
      <c r="AI101" s="28">
        <f>Economic!H103</f>
        <v>865859.6</v>
      </c>
      <c r="AJ101" s="28">
        <f>Economic!I103</f>
        <v>679067</v>
      </c>
      <c r="AK101" s="28">
        <f>Economic!J103</f>
        <v>74531.5</v>
      </c>
      <c r="AL101" s="28">
        <f>Economic!K103</f>
        <v>865503</v>
      </c>
      <c r="AM101" s="28">
        <f>Economic!L103</f>
        <v>675983</v>
      </c>
      <c r="AN101" s="28">
        <f>Economic!M103</f>
        <v>32660</v>
      </c>
      <c r="AO101" s="28">
        <f>Economic!D103</f>
        <v>7884.3</v>
      </c>
      <c r="AP101" s="28">
        <f>Economic!E103</f>
        <v>7819.6</v>
      </c>
      <c r="AQ101" s="28">
        <f>Economic!F103</f>
        <v>223.9</v>
      </c>
      <c r="AR101" s="28">
        <f>Economic!G103</f>
        <v>223.9</v>
      </c>
      <c r="AS101" s="28">
        <f>Economic!N103</f>
        <v>147.69999999999982</v>
      </c>
      <c r="AT101" s="28">
        <f>Economic!O103</f>
        <v>149.60000000000036</v>
      </c>
      <c r="AU101" s="28">
        <f>Economic!P103</f>
        <v>-3.4000000000000057</v>
      </c>
      <c r="AV101" s="28">
        <f>Economic!Q103</f>
        <v>-3.4000000000000057</v>
      </c>
      <c r="AW101" s="28">
        <f>Economic!R103</f>
        <v>15397.699999999953</v>
      </c>
      <c r="AX101" s="28">
        <f>Economic!S103</f>
        <v>4845</v>
      </c>
      <c r="AY101" s="7">
        <f>Weather!D101</f>
        <v>7.9533333333333323</v>
      </c>
      <c r="AZ101" s="7">
        <f>Weather!E101</f>
        <v>361.4</v>
      </c>
      <c r="BA101" s="7">
        <f>Weather!F101</f>
        <v>0</v>
      </c>
      <c r="BB101" s="7">
        <f>Weather!G101</f>
        <v>301.39999999999998</v>
      </c>
      <c r="BC101" s="7">
        <f>Weather!H101</f>
        <v>0</v>
      </c>
      <c r="BD101" s="7">
        <f>Weather!I101</f>
        <v>243.15833333333336</v>
      </c>
      <c r="BE101" s="7">
        <f>Weather!J101</f>
        <v>1.75833333333334</v>
      </c>
      <c r="BF101" s="7">
        <f>Weather!K101</f>
        <v>193.11666666666667</v>
      </c>
      <c r="BG101" s="7">
        <f>Weather!L101</f>
        <v>11.71666666666667</v>
      </c>
      <c r="BH101" s="7">
        <f>Weather!M101</f>
        <v>144.11666666666667</v>
      </c>
      <c r="BI101" s="7">
        <f>Weather!N101</f>
        <v>22.716666666666676</v>
      </c>
      <c r="BJ101" s="7">
        <f>Weather!O101</f>
        <v>98.574999999999989</v>
      </c>
      <c r="BK101" s="7">
        <f>Weather!P101</f>
        <v>37.175000000000004</v>
      </c>
      <c r="BL101" s="7">
        <f>Weather!Q101</f>
        <v>58.116666666666674</v>
      </c>
      <c r="BM101" s="7">
        <f>Weather!R101</f>
        <v>56.716666666666676</v>
      </c>
      <c r="BN101" s="1">
        <f t="shared" si="35"/>
        <v>0</v>
      </c>
      <c r="BO101" s="1">
        <f t="shared" si="35"/>
        <v>0</v>
      </c>
      <c r="BP101" s="1">
        <f t="shared" si="35"/>
        <v>0</v>
      </c>
      <c r="BQ101" s="1">
        <f t="shared" si="35"/>
        <v>1</v>
      </c>
      <c r="BR101" s="1">
        <f t="shared" si="35"/>
        <v>0</v>
      </c>
      <c r="BS101" s="1">
        <f t="shared" si="35"/>
        <v>0</v>
      </c>
      <c r="BT101" s="1">
        <f t="shared" si="35"/>
        <v>0</v>
      </c>
      <c r="BU101" s="1">
        <f t="shared" si="35"/>
        <v>0</v>
      </c>
      <c r="BV101" s="1">
        <f t="shared" si="35"/>
        <v>0</v>
      </c>
      <c r="BW101" s="1">
        <f t="shared" si="35"/>
        <v>0</v>
      </c>
      <c r="BX101" s="1">
        <f t="shared" si="35"/>
        <v>0</v>
      </c>
      <c r="BY101" s="1">
        <f t="shared" si="35"/>
        <v>0</v>
      </c>
      <c r="BZ101" s="1">
        <f t="shared" si="35"/>
        <v>1</v>
      </c>
      <c r="CA101" s="1">
        <f t="shared" si="35"/>
        <v>0</v>
      </c>
      <c r="CB101" s="1">
        <f t="shared" si="35"/>
        <v>1</v>
      </c>
      <c r="CC101" s="1">
        <f t="shared" si="23"/>
        <v>100</v>
      </c>
      <c r="CD101" s="1">
        <f t="shared" si="17"/>
        <v>30</v>
      </c>
      <c r="CE101" s="1">
        <v>19</v>
      </c>
      <c r="CF101" s="1">
        <v>0</v>
      </c>
      <c r="CG101" s="1">
        <v>0</v>
      </c>
      <c r="CH101" s="1">
        <v>0.25</v>
      </c>
      <c r="CI101" s="1">
        <v>0</v>
      </c>
      <c r="CJ101" s="1">
        <f t="shared" si="30"/>
        <v>0</v>
      </c>
      <c r="CK101" s="1">
        <f t="shared" si="30"/>
        <v>0</v>
      </c>
      <c r="CL101" s="1">
        <f t="shared" si="30"/>
        <v>0</v>
      </c>
      <c r="CM101" s="1">
        <f t="shared" si="30"/>
        <v>0</v>
      </c>
      <c r="CN101" s="1">
        <f t="shared" si="30"/>
        <v>0</v>
      </c>
      <c r="CO101" s="1">
        <f t="shared" si="30"/>
        <v>0</v>
      </c>
      <c r="CP101" s="1">
        <f t="shared" si="28"/>
        <v>0</v>
      </c>
      <c r="CQ101" s="1">
        <f t="shared" si="28"/>
        <v>0</v>
      </c>
      <c r="CR101" s="1">
        <f t="shared" si="24"/>
        <v>0</v>
      </c>
      <c r="CS101" s="1">
        <f t="shared" si="24"/>
        <v>0</v>
      </c>
      <c r="CT101" s="1">
        <f t="shared" si="24"/>
        <v>0</v>
      </c>
      <c r="CU101" s="1">
        <f t="shared" ref="CU101:CW115" si="36">$CG101*BK101</f>
        <v>0</v>
      </c>
      <c r="CV101" s="1">
        <f t="shared" si="36"/>
        <v>0</v>
      </c>
      <c r="CW101" s="1">
        <f t="shared" si="36"/>
        <v>0</v>
      </c>
      <c r="CX101" s="1">
        <f t="shared" si="31"/>
        <v>90.35</v>
      </c>
      <c r="CY101" s="1">
        <f t="shared" si="31"/>
        <v>0</v>
      </c>
      <c r="CZ101" s="1">
        <f t="shared" si="31"/>
        <v>75.349999999999994</v>
      </c>
      <c r="DA101" s="1">
        <f t="shared" si="31"/>
        <v>0</v>
      </c>
      <c r="DB101" s="1">
        <f t="shared" si="31"/>
        <v>60.78958333333334</v>
      </c>
      <c r="DC101" s="1">
        <f t="shared" si="31"/>
        <v>0.43958333333333499</v>
      </c>
      <c r="DD101" s="1">
        <f t="shared" si="29"/>
        <v>48.279166666666669</v>
      </c>
      <c r="DE101" s="1">
        <f t="shared" si="29"/>
        <v>2.9291666666666676</v>
      </c>
      <c r="DF101" s="1">
        <f t="shared" si="25"/>
        <v>36.029166666666669</v>
      </c>
      <c r="DG101" s="1">
        <f t="shared" si="25"/>
        <v>5.6791666666666689</v>
      </c>
      <c r="DH101" s="1">
        <f t="shared" si="25"/>
        <v>24.643749999999997</v>
      </c>
      <c r="DI101" s="1">
        <f t="shared" ref="DI101:DK115" si="37">$CH101*BK101</f>
        <v>9.2937500000000011</v>
      </c>
      <c r="DJ101" s="1">
        <f t="shared" si="37"/>
        <v>14.529166666666669</v>
      </c>
      <c r="DK101" s="1">
        <f t="shared" si="37"/>
        <v>14.179166666666669</v>
      </c>
      <c r="DL101" s="24">
        <v>488913.69</v>
      </c>
      <c r="DM101" s="25">
        <v>1026.3</v>
      </c>
      <c r="DN101" s="24"/>
      <c r="DO101" s="25"/>
      <c r="DP101" s="25"/>
      <c r="DQ101" s="25"/>
      <c r="DR101" s="25"/>
      <c r="DS101" s="25"/>
      <c r="DT101" s="25"/>
      <c r="DU101" s="25"/>
      <c r="DV101" s="25"/>
    </row>
    <row r="102" spans="1:126" x14ac:dyDescent="0.25">
      <c r="A102" s="252">
        <v>45047</v>
      </c>
      <c r="B102" s="253">
        <f t="shared" si="18"/>
        <v>2023</v>
      </c>
      <c r="C102" s="253">
        <f t="shared" si="19"/>
        <v>5</v>
      </c>
      <c r="D102" s="254">
        <v>35211427.053577706</v>
      </c>
      <c r="E102" s="254">
        <f ca="1">IFERROR(VLOOKUP($B102-1,CDM!$L$7:$T$18,2,FALSE)/12,0)+IFERROR(VLOOKUP($B102,CDM!$L$36:$T$46,2,FALSE)/24,0)+IFERROR(VLOOKUP($B102,CDM!$L$36:$T$46,2,FALSE)/2*$C102/78,0)</f>
        <v>2469675.3410794633</v>
      </c>
      <c r="F102" s="254">
        <f ca="1">D102+E102</f>
        <v>37681102.394657172</v>
      </c>
      <c r="G102" s="255">
        <v>57007</v>
      </c>
      <c r="H102" s="254">
        <v>9641299.5781515539</v>
      </c>
      <c r="I102" s="254">
        <f ca="1">IFERROR(VLOOKUP($B102-1,CDM!$L$7:$T$18,3,FALSE)/12,0)+IFERROR(VLOOKUP($B102,CDM!$L$36:$T$46,3,FALSE)/24,0)+IFERROR(VLOOKUP($B102,CDM!$L$36:$T$46,3,FALSE)/2*$C102/78,0)</f>
        <v>736200.82991463935</v>
      </c>
      <c r="J102" s="254">
        <f ca="1">H102+I102</f>
        <v>10377500.408066193</v>
      </c>
      <c r="K102" s="256">
        <v>4331</v>
      </c>
      <c r="L102" s="4">
        <v>25126757.098224279</v>
      </c>
      <c r="M102" s="257">
        <f ca="1">IFERROR(VLOOKUP($B102-1,CDM!$L$7:$T$18,4,FALSE)/12,0)+IFERROR(VLOOKUP($B102,CDM!$L$36:$T$46,4,FALSE)/24,0)+IFERROR(VLOOKUP($B102,CDM!$L$36:$T$46,4,FALSE)/2*$C102/78,0)</f>
        <v>1022523.3451384158</v>
      </c>
      <c r="N102" s="254">
        <f ca="1">L102+M102</f>
        <v>26149280.443362694</v>
      </c>
      <c r="O102" s="4">
        <v>74476.05</v>
      </c>
      <c r="P102" s="256">
        <v>546</v>
      </c>
      <c r="Q102" s="256">
        <v>6228639.3792677624</v>
      </c>
      <c r="R102" s="256">
        <f ca="1">IFERROR(VLOOKUP($B102-1,CDM!$L$7:$T$18,5,FALSE)/12,0)+IFERROR(VLOOKUP($B102,CDM!$L$36:$T$46,5,FALSE)/24,0)+IFERROR(VLOOKUP($B102,CDM!$L$36:$T$46,5,FALSE)/2*$C102/78,0)</f>
        <v>937734.6826698638</v>
      </c>
      <c r="S102" s="256">
        <f ca="1">Q102+R102</f>
        <v>7166374.0619376265</v>
      </c>
      <c r="T102" s="256">
        <v>15747.64</v>
      </c>
      <c r="U102" s="256">
        <v>18</v>
      </c>
      <c r="V102" s="256">
        <v>2612878.6013215701</v>
      </c>
      <c r="W102" s="256">
        <f ca="1">IFERROR(VLOOKUP($B102-1,CDM!$L$7:$T$18,6,FALSE)/12,0)+IFERROR(VLOOKUP($B102,CDM!$L$36:$T$46,6,FALSE)/24,0)+IFERROR(VLOOKUP($B102,CDM!$L$36:$T$46,6,FALSE)/2*$C102/78,0)</f>
        <v>42114.741843035124</v>
      </c>
      <c r="X102" s="256">
        <f ca="1">V102+W102</f>
        <v>2654993.3431646051</v>
      </c>
      <c r="Y102" s="256">
        <v>5904.5</v>
      </c>
      <c r="Z102" s="256">
        <v>1</v>
      </c>
      <c r="AA102" s="4">
        <v>311879.67510809598</v>
      </c>
      <c r="AB102" s="4">
        <v>1061.0999999999999</v>
      </c>
      <c r="AC102" s="256">
        <v>14338</v>
      </c>
      <c r="AD102" s="256">
        <v>2212.1999999999998</v>
      </c>
      <c r="AE102" s="256">
        <v>0</v>
      </c>
      <c r="AF102" s="256">
        <v>19</v>
      </c>
      <c r="AG102" s="4">
        <v>233670</v>
      </c>
      <c r="AH102" s="4">
        <v>260</v>
      </c>
      <c r="AI102" s="28">
        <f>Economic!H104</f>
        <v>865859.6</v>
      </c>
      <c r="AJ102" s="28">
        <f>Economic!I104</f>
        <v>679067</v>
      </c>
      <c r="AK102" s="28">
        <f>Economic!J104</f>
        <v>74531.5</v>
      </c>
      <c r="AL102" s="28">
        <f>Economic!K104</f>
        <v>865503</v>
      </c>
      <c r="AM102" s="28">
        <f>Economic!L104</f>
        <v>675983</v>
      </c>
      <c r="AN102" s="28">
        <f>Economic!M104</f>
        <v>32660</v>
      </c>
      <c r="AO102" s="28">
        <f>Economic!D104</f>
        <v>7895.3</v>
      </c>
      <c r="AP102" s="28">
        <f>Economic!E104</f>
        <v>7882.6</v>
      </c>
      <c r="AQ102" s="28">
        <f>Economic!F104</f>
        <v>220</v>
      </c>
      <c r="AR102" s="28">
        <f>Economic!G104</f>
        <v>221.2</v>
      </c>
      <c r="AS102" s="28">
        <f>Economic!N104</f>
        <v>142</v>
      </c>
      <c r="AT102" s="28">
        <f>Economic!O104</f>
        <v>144</v>
      </c>
      <c r="AU102" s="28">
        <f>Economic!P104</f>
        <v>-9.3000000000000114</v>
      </c>
      <c r="AV102" s="28">
        <f>Economic!Q104</f>
        <v>-9.6000000000000227</v>
      </c>
      <c r="AW102" s="28">
        <f>Economic!R104</f>
        <v>15397.699999999953</v>
      </c>
      <c r="AX102" s="28">
        <f>Economic!S104</f>
        <v>4845</v>
      </c>
      <c r="AY102" s="7">
        <f>Weather!D102</f>
        <v>12.986102150537635</v>
      </c>
      <c r="AZ102" s="7">
        <f>Weather!E102</f>
        <v>219.04750000000001</v>
      </c>
      <c r="BA102" s="7">
        <f>Weather!F102</f>
        <v>1.6166666666666636</v>
      </c>
      <c r="BB102" s="7">
        <f>Weather!G102</f>
        <v>163.56416666666669</v>
      </c>
      <c r="BC102" s="7">
        <f>Weather!H102</f>
        <v>8.1333333333333258</v>
      </c>
      <c r="BD102" s="7">
        <f>Weather!I102</f>
        <v>113.00166666666665</v>
      </c>
      <c r="BE102" s="7">
        <f>Weather!J102</f>
        <v>19.570833333333329</v>
      </c>
      <c r="BF102" s="7">
        <f>Weather!K102</f>
        <v>68.776666666666671</v>
      </c>
      <c r="BG102" s="7">
        <f>Weather!L102</f>
        <v>37.345833333333331</v>
      </c>
      <c r="BH102" s="7">
        <f>Weather!M102</f>
        <v>37.480833333333329</v>
      </c>
      <c r="BI102" s="7">
        <f>Weather!N102</f>
        <v>68.049999999999983</v>
      </c>
      <c r="BJ102" s="7">
        <f>Weather!O102</f>
        <v>20.284999999999989</v>
      </c>
      <c r="BK102" s="7">
        <f>Weather!P102</f>
        <v>112.85416666666666</v>
      </c>
      <c r="BL102" s="7">
        <f>Weather!Q102</f>
        <v>7.2058333333333309</v>
      </c>
      <c r="BM102" s="7">
        <f>Weather!R102</f>
        <v>161.77500000000001</v>
      </c>
      <c r="BN102" s="1">
        <f t="shared" si="35"/>
        <v>0</v>
      </c>
      <c r="BO102" s="1">
        <f t="shared" si="35"/>
        <v>0</v>
      </c>
      <c r="BP102" s="1">
        <f t="shared" si="35"/>
        <v>0</v>
      </c>
      <c r="BQ102" s="1">
        <f t="shared" si="35"/>
        <v>0</v>
      </c>
      <c r="BR102" s="1">
        <f t="shared" si="35"/>
        <v>1</v>
      </c>
      <c r="BS102" s="1">
        <f t="shared" si="35"/>
        <v>0</v>
      </c>
      <c r="BT102" s="1">
        <f t="shared" si="35"/>
        <v>0</v>
      </c>
      <c r="BU102" s="1">
        <f t="shared" si="35"/>
        <v>0</v>
      </c>
      <c r="BV102" s="1">
        <f t="shared" si="35"/>
        <v>0</v>
      </c>
      <c r="BW102" s="1">
        <f t="shared" si="35"/>
        <v>0</v>
      </c>
      <c r="BX102" s="1">
        <f t="shared" si="35"/>
        <v>0</v>
      </c>
      <c r="BY102" s="1">
        <f t="shared" si="35"/>
        <v>0</v>
      </c>
      <c r="BZ102" s="1">
        <f t="shared" si="35"/>
        <v>1</v>
      </c>
      <c r="CA102" s="1">
        <f t="shared" si="35"/>
        <v>0</v>
      </c>
      <c r="CB102" s="1">
        <f t="shared" si="35"/>
        <v>1</v>
      </c>
      <c r="CC102" s="1">
        <f t="shared" si="23"/>
        <v>101</v>
      </c>
      <c r="CD102" s="1">
        <f t="shared" si="17"/>
        <v>31</v>
      </c>
      <c r="CE102" s="1">
        <v>22</v>
      </c>
      <c r="CF102" s="1">
        <v>0</v>
      </c>
      <c r="CG102" s="1">
        <v>0</v>
      </c>
      <c r="CH102" s="1">
        <v>0.25</v>
      </c>
      <c r="CI102" s="1">
        <v>0</v>
      </c>
      <c r="CJ102" s="1">
        <f t="shared" si="30"/>
        <v>0</v>
      </c>
      <c r="CK102" s="1">
        <f t="shared" si="30"/>
        <v>0</v>
      </c>
      <c r="CL102" s="1">
        <f t="shared" si="30"/>
        <v>0</v>
      </c>
      <c r="CM102" s="1">
        <f t="shared" si="30"/>
        <v>0</v>
      </c>
      <c r="CN102" s="1">
        <f t="shared" si="30"/>
        <v>0</v>
      </c>
      <c r="CO102" s="1">
        <f t="shared" si="30"/>
        <v>0</v>
      </c>
      <c r="CP102" s="1">
        <f t="shared" si="28"/>
        <v>0</v>
      </c>
      <c r="CQ102" s="1">
        <f t="shared" si="28"/>
        <v>0</v>
      </c>
      <c r="CR102" s="1">
        <f t="shared" si="28"/>
        <v>0</v>
      </c>
      <c r="CS102" s="1">
        <f t="shared" si="28"/>
        <v>0</v>
      </c>
      <c r="CT102" s="1">
        <f t="shared" si="28"/>
        <v>0</v>
      </c>
      <c r="CU102" s="1">
        <f t="shared" si="36"/>
        <v>0</v>
      </c>
      <c r="CV102" s="1">
        <f t="shared" si="36"/>
        <v>0</v>
      </c>
      <c r="CW102" s="1">
        <f t="shared" si="36"/>
        <v>0</v>
      </c>
      <c r="CX102" s="1">
        <f t="shared" si="31"/>
        <v>54.761875000000003</v>
      </c>
      <c r="CY102" s="1">
        <f t="shared" si="31"/>
        <v>0.4041666666666659</v>
      </c>
      <c r="CZ102" s="1">
        <f t="shared" si="31"/>
        <v>40.891041666666673</v>
      </c>
      <c r="DA102" s="1">
        <f t="shared" si="31"/>
        <v>2.0333333333333314</v>
      </c>
      <c r="DB102" s="1">
        <f t="shared" si="31"/>
        <v>28.250416666666663</v>
      </c>
      <c r="DC102" s="1">
        <f t="shared" si="31"/>
        <v>4.8927083333333323</v>
      </c>
      <c r="DD102" s="1">
        <f t="shared" si="29"/>
        <v>17.194166666666668</v>
      </c>
      <c r="DE102" s="1">
        <f t="shared" si="29"/>
        <v>9.3364583333333329</v>
      </c>
      <c r="DF102" s="1">
        <f t="shared" si="29"/>
        <v>9.3702083333333324</v>
      </c>
      <c r="DG102" s="1">
        <f t="shared" si="29"/>
        <v>17.012499999999996</v>
      </c>
      <c r="DH102" s="1">
        <f t="shared" si="29"/>
        <v>5.0712499999999974</v>
      </c>
      <c r="DI102" s="1">
        <f t="shared" si="37"/>
        <v>28.213541666666664</v>
      </c>
      <c r="DJ102" s="1">
        <f t="shared" si="37"/>
        <v>1.8014583333333327</v>
      </c>
      <c r="DK102" s="1">
        <f t="shared" si="37"/>
        <v>40.443750000000001</v>
      </c>
      <c r="DL102" s="24">
        <v>537351.52</v>
      </c>
      <c r="DM102" s="25">
        <v>1131.54</v>
      </c>
      <c r="DN102" s="24"/>
      <c r="DO102" s="25"/>
      <c r="DP102" s="25"/>
      <c r="DQ102" s="25"/>
      <c r="DR102" s="25"/>
      <c r="DS102" s="25"/>
      <c r="DT102" s="25"/>
      <c r="DU102" s="25"/>
      <c r="DV102" s="25"/>
    </row>
    <row r="103" spans="1:126" x14ac:dyDescent="0.25">
      <c r="A103" s="252">
        <v>45078</v>
      </c>
      <c r="B103" s="253">
        <f t="shared" si="18"/>
        <v>2023</v>
      </c>
      <c r="C103" s="253">
        <f t="shared" si="19"/>
        <v>6</v>
      </c>
      <c r="D103" s="254">
        <v>41734868.608303823</v>
      </c>
      <c r="E103" s="254">
        <f ca="1">IFERROR(VLOOKUP($B103-1,CDM!$L$7:$T$18,2,FALSE)/12,0)+IFERROR(VLOOKUP($B103,CDM!$L$36:$T$46,2,FALSE)/24,0)+IFERROR(VLOOKUP($B103,CDM!$L$36:$T$46,2,FALSE)/2*$C103/78,0)</f>
        <v>2470657.131961822</v>
      </c>
      <c r="F103" s="254">
        <f ca="1">D103+E103</f>
        <v>44205525.740265645</v>
      </c>
      <c r="G103" s="255">
        <v>57237</v>
      </c>
      <c r="H103" s="254">
        <v>10386750.995515592</v>
      </c>
      <c r="I103" s="254">
        <f ca="1">IFERROR(VLOOKUP($B103-1,CDM!$L$7:$T$18,3,FALSE)/12,0)+IFERROR(VLOOKUP($B103,CDM!$L$36:$T$46,3,FALSE)/24,0)+IFERROR(VLOOKUP($B103,CDM!$L$36:$T$46,3,FALSE)/2*$C103/78,0)</f>
        <v>742206.52793103573</v>
      </c>
      <c r="J103" s="254">
        <f ca="1">H103+I103</f>
        <v>11128957.523446629</v>
      </c>
      <c r="K103" s="256">
        <v>4427</v>
      </c>
      <c r="L103" s="4">
        <v>24977115.519233055</v>
      </c>
      <c r="M103" s="257">
        <f ca="1">IFERROR(VLOOKUP($B103-1,CDM!$L$7:$T$18,4,FALSE)/12,0)+IFERROR(VLOOKUP($B103,CDM!$L$36:$T$46,4,FALSE)/24,0)+IFERROR(VLOOKUP($B103,CDM!$L$36:$T$46,4,FALSE)/2*$C103/78,0)</f>
        <v>1034035.9384984053</v>
      </c>
      <c r="N103" s="254">
        <f ca="1">L103+M103</f>
        <v>26011151.457731459</v>
      </c>
      <c r="O103" s="4">
        <v>71474.94</v>
      </c>
      <c r="P103" s="256">
        <v>502</v>
      </c>
      <c r="Q103" s="256">
        <v>6986002.6691308822</v>
      </c>
      <c r="R103" s="256">
        <f ca="1">IFERROR(VLOOKUP($B103-1,CDM!$L$7:$T$18,5,FALSE)/12,0)+IFERROR(VLOOKUP($B103,CDM!$L$36:$T$46,5,FALSE)/24,0)+IFERROR(VLOOKUP($B103,CDM!$L$36:$T$46,5,FALSE)/2*$C103/78,0)</f>
        <v>941233.09247696155</v>
      </c>
      <c r="S103" s="256">
        <f ca="1">Q103+R103</f>
        <v>7927235.7616078435</v>
      </c>
      <c r="T103" s="256">
        <v>16264.94</v>
      </c>
      <c r="U103" s="256">
        <v>18</v>
      </c>
      <c r="V103" s="256">
        <v>2552437.8310888154</v>
      </c>
      <c r="W103" s="256">
        <f ca="1">IFERROR(VLOOKUP($B103-1,CDM!$L$7:$T$18,6,FALSE)/12,0)+IFERROR(VLOOKUP($B103,CDM!$L$36:$T$46,6,FALSE)/24,0)+IFERROR(VLOOKUP($B103,CDM!$L$36:$T$46,6,FALSE)/2*$C103/78,0)</f>
        <v>42771.498707892701</v>
      </c>
      <c r="X103" s="256">
        <f ca="1">V103+W103</f>
        <v>2595209.3297967082</v>
      </c>
      <c r="Y103" s="256">
        <v>6611.64</v>
      </c>
      <c r="Z103" s="256">
        <v>1</v>
      </c>
      <c r="AA103" s="4">
        <v>279405.63553276402</v>
      </c>
      <c r="AB103" s="4">
        <v>1061.8</v>
      </c>
      <c r="AC103" s="256">
        <v>14354</v>
      </c>
      <c r="AD103" s="256">
        <v>2285.94</v>
      </c>
      <c r="AE103" s="256">
        <v>0</v>
      </c>
      <c r="AF103" s="256">
        <v>19</v>
      </c>
      <c r="AG103" s="4">
        <v>234193</v>
      </c>
      <c r="AH103" s="4">
        <v>259</v>
      </c>
      <c r="AI103" s="28">
        <f>Economic!H105</f>
        <v>865859.6</v>
      </c>
      <c r="AJ103" s="28">
        <f>Economic!I105</f>
        <v>679067</v>
      </c>
      <c r="AK103" s="28">
        <f>Economic!J105</f>
        <v>74531.5</v>
      </c>
      <c r="AL103" s="28">
        <f>Economic!K105</f>
        <v>865503</v>
      </c>
      <c r="AM103" s="28">
        <f>Economic!L105</f>
        <v>675983</v>
      </c>
      <c r="AN103" s="28">
        <f>Economic!M105</f>
        <v>32660</v>
      </c>
      <c r="AO103" s="28">
        <f>Economic!D105</f>
        <v>7916.1</v>
      </c>
      <c r="AP103" s="28">
        <f>Economic!E105</f>
        <v>7971.2</v>
      </c>
      <c r="AQ103" s="28">
        <f>Economic!F105</f>
        <v>220.4</v>
      </c>
      <c r="AR103" s="28">
        <f>Economic!G105</f>
        <v>223</v>
      </c>
      <c r="AS103" s="28">
        <f>Economic!N105</f>
        <v>161.30000000000018</v>
      </c>
      <c r="AT103" s="28">
        <f>Economic!O105</f>
        <v>162</v>
      </c>
      <c r="AU103" s="28">
        <f>Economic!P105</f>
        <v>-9.5</v>
      </c>
      <c r="AV103" s="28">
        <f>Economic!Q105</f>
        <v>-9.6999999999999886</v>
      </c>
      <c r="AW103" s="28">
        <f>Economic!R105</f>
        <v>15397.699999999953</v>
      </c>
      <c r="AX103" s="28">
        <f>Economic!S105</f>
        <v>4845</v>
      </c>
      <c r="AY103" s="7">
        <f>Weather!D103</f>
        <v>18.851388888888884</v>
      </c>
      <c r="AZ103" s="7">
        <f>Weather!E103</f>
        <v>55.599999999999994</v>
      </c>
      <c r="BA103" s="7">
        <f>Weather!F103</f>
        <v>21.141666666666666</v>
      </c>
      <c r="BB103" s="7">
        <f>Weather!G103</f>
        <v>21.441666666666659</v>
      </c>
      <c r="BC103" s="7">
        <f>Weather!H103</f>
        <v>46.983333333333334</v>
      </c>
      <c r="BD103" s="7">
        <f>Weather!I103</f>
        <v>4.2708333333333268</v>
      </c>
      <c r="BE103" s="7">
        <f>Weather!J103</f>
        <v>89.8125</v>
      </c>
      <c r="BF103" s="7">
        <f>Weather!K103</f>
        <v>0</v>
      </c>
      <c r="BG103" s="7">
        <f>Weather!L103</f>
        <v>145.54166666666666</v>
      </c>
      <c r="BH103" s="7">
        <f>Weather!M103</f>
        <v>0</v>
      </c>
      <c r="BI103" s="7">
        <f>Weather!N103</f>
        <v>205.54166666666669</v>
      </c>
      <c r="BJ103" s="7">
        <f>Weather!O103</f>
        <v>0</v>
      </c>
      <c r="BK103" s="7">
        <f>Weather!P103</f>
        <v>265.54166666666669</v>
      </c>
      <c r="BL103" s="7">
        <f>Weather!Q103</f>
        <v>0</v>
      </c>
      <c r="BM103" s="7">
        <f>Weather!R103</f>
        <v>325.54166666666669</v>
      </c>
      <c r="BN103" s="1">
        <f t="shared" si="35"/>
        <v>0</v>
      </c>
      <c r="BO103" s="1">
        <f t="shared" si="35"/>
        <v>0</v>
      </c>
      <c r="BP103" s="1">
        <f t="shared" si="35"/>
        <v>0</v>
      </c>
      <c r="BQ103" s="1">
        <f t="shared" si="35"/>
        <v>0</v>
      </c>
      <c r="BR103" s="1">
        <f t="shared" si="35"/>
        <v>0</v>
      </c>
      <c r="BS103" s="1">
        <f t="shared" si="35"/>
        <v>1</v>
      </c>
      <c r="BT103" s="1">
        <f t="shared" si="35"/>
        <v>0</v>
      </c>
      <c r="BU103" s="1">
        <f t="shared" si="35"/>
        <v>0</v>
      </c>
      <c r="BV103" s="1">
        <f t="shared" si="35"/>
        <v>0</v>
      </c>
      <c r="BW103" s="1">
        <f t="shared" si="35"/>
        <v>0</v>
      </c>
      <c r="BX103" s="1">
        <f t="shared" si="35"/>
        <v>0</v>
      </c>
      <c r="BY103" s="1">
        <f t="shared" si="35"/>
        <v>0</v>
      </c>
      <c r="BZ103" s="1">
        <f t="shared" si="35"/>
        <v>0</v>
      </c>
      <c r="CA103" s="1">
        <f t="shared" si="35"/>
        <v>0</v>
      </c>
      <c r="CB103" s="1">
        <f t="shared" si="35"/>
        <v>0</v>
      </c>
      <c r="CC103" s="1">
        <f t="shared" si="23"/>
        <v>102</v>
      </c>
      <c r="CD103" s="1">
        <f t="shared" si="17"/>
        <v>30</v>
      </c>
      <c r="CE103" s="1">
        <v>22</v>
      </c>
      <c r="CF103" s="1">
        <v>0</v>
      </c>
      <c r="CG103" s="1">
        <v>0</v>
      </c>
      <c r="CH103" s="1">
        <v>0.25</v>
      </c>
      <c r="CI103" s="1">
        <v>0</v>
      </c>
      <c r="CJ103" s="1">
        <f t="shared" si="30"/>
        <v>0</v>
      </c>
      <c r="CK103" s="1">
        <f t="shared" si="30"/>
        <v>0</v>
      </c>
      <c r="CL103" s="1">
        <f t="shared" si="30"/>
        <v>0</v>
      </c>
      <c r="CM103" s="1">
        <f t="shared" si="30"/>
        <v>0</v>
      </c>
      <c r="CN103" s="1">
        <f t="shared" si="30"/>
        <v>0</v>
      </c>
      <c r="CO103" s="1">
        <f t="shared" si="30"/>
        <v>0</v>
      </c>
      <c r="CP103" s="1">
        <f t="shared" si="28"/>
        <v>0</v>
      </c>
      <c r="CQ103" s="1">
        <f t="shared" si="28"/>
        <v>0</v>
      </c>
      <c r="CR103" s="1">
        <f t="shared" si="28"/>
        <v>0</v>
      </c>
      <c r="CS103" s="1">
        <f t="shared" si="28"/>
        <v>0</v>
      </c>
      <c r="CT103" s="1">
        <f t="shared" si="28"/>
        <v>0</v>
      </c>
      <c r="CU103" s="1">
        <f t="shared" si="36"/>
        <v>0</v>
      </c>
      <c r="CV103" s="1">
        <f t="shared" si="36"/>
        <v>0</v>
      </c>
      <c r="CW103" s="1">
        <f t="shared" si="36"/>
        <v>0</v>
      </c>
      <c r="CX103" s="1">
        <f t="shared" si="31"/>
        <v>13.899999999999999</v>
      </c>
      <c r="CY103" s="1">
        <f t="shared" si="31"/>
        <v>5.2854166666666664</v>
      </c>
      <c r="CZ103" s="1">
        <f t="shared" si="31"/>
        <v>5.3604166666666648</v>
      </c>
      <c r="DA103" s="1">
        <f t="shared" si="31"/>
        <v>11.745833333333334</v>
      </c>
      <c r="DB103" s="1">
        <f t="shared" si="31"/>
        <v>1.0677083333333317</v>
      </c>
      <c r="DC103" s="1">
        <f t="shared" si="31"/>
        <v>22.453125</v>
      </c>
      <c r="DD103" s="1">
        <f t="shared" si="29"/>
        <v>0</v>
      </c>
      <c r="DE103" s="1">
        <f t="shared" si="29"/>
        <v>36.385416666666664</v>
      </c>
      <c r="DF103" s="1">
        <f t="shared" si="29"/>
        <v>0</v>
      </c>
      <c r="DG103" s="1">
        <f t="shared" si="29"/>
        <v>51.385416666666671</v>
      </c>
      <c r="DH103" s="1">
        <f t="shared" si="29"/>
        <v>0</v>
      </c>
      <c r="DI103" s="1">
        <f t="shared" si="37"/>
        <v>66.385416666666671</v>
      </c>
      <c r="DJ103" s="1">
        <f t="shared" si="37"/>
        <v>0</v>
      </c>
      <c r="DK103" s="1">
        <f t="shared" si="37"/>
        <v>81.385416666666671</v>
      </c>
      <c r="DL103" s="24">
        <v>555709.33000000007</v>
      </c>
      <c r="DM103" s="25">
        <v>1154.08</v>
      </c>
      <c r="DN103" s="24"/>
      <c r="DO103" s="25"/>
      <c r="DP103" s="25"/>
      <c r="DQ103" s="25"/>
      <c r="DR103" s="25"/>
      <c r="DS103" s="25"/>
      <c r="DT103" s="25"/>
      <c r="DU103" s="25"/>
      <c r="DV103" s="25"/>
    </row>
    <row r="104" spans="1:126" x14ac:dyDescent="0.25">
      <c r="A104" s="252">
        <v>45108</v>
      </c>
      <c r="B104" s="253">
        <f t="shared" si="18"/>
        <v>2023</v>
      </c>
      <c r="C104" s="253">
        <f t="shared" si="19"/>
        <v>7</v>
      </c>
      <c r="D104" s="254">
        <v>50676415.019803561</v>
      </c>
      <c r="E104" s="254">
        <f ca="1">IFERROR(VLOOKUP($B104-1,CDM!$L$7:$T$18,2,FALSE)/12,0)+IFERROR(VLOOKUP($B104,CDM!$L$36:$T$46,2,FALSE)/24,0)+IFERROR(VLOOKUP($B104,CDM!$L$36:$T$46,2,FALSE)/2*$C104/78,0)</f>
        <v>2471638.9228441813</v>
      </c>
      <c r="F104" s="254">
        <f ca="1">D104+E104</f>
        <v>53148053.94264774</v>
      </c>
      <c r="G104" s="255">
        <v>57117</v>
      </c>
      <c r="H104" s="254">
        <v>11800522.143800972</v>
      </c>
      <c r="I104" s="254">
        <f ca="1">IFERROR(VLOOKUP($B104-1,CDM!$L$7:$T$18,3,FALSE)/12,0)+IFERROR(VLOOKUP($B104,CDM!$L$36:$T$46,3,FALSE)/24,0)+IFERROR(VLOOKUP($B104,CDM!$L$36:$T$46,3,FALSE)/2*$C104/78,0)</f>
        <v>748212.22594743199</v>
      </c>
      <c r="J104" s="254">
        <f ca="1">H104+I104</f>
        <v>12548734.369748404</v>
      </c>
      <c r="K104" s="256">
        <v>4428</v>
      </c>
      <c r="L104" s="4">
        <v>28175776.702092201</v>
      </c>
      <c r="M104" s="257">
        <f ca="1">IFERROR(VLOOKUP($B104-1,CDM!$L$7:$T$18,4,FALSE)/12,0)+IFERROR(VLOOKUP($B104,CDM!$L$36:$T$46,4,FALSE)/24,0)+IFERROR(VLOOKUP($B104,CDM!$L$36:$T$46,4,FALSE)/2*$C104/78,0)</f>
        <v>1045548.5318583947</v>
      </c>
      <c r="N104" s="254">
        <f ca="1">L104+M104</f>
        <v>29221325.233950596</v>
      </c>
      <c r="O104" s="4">
        <v>74306.489999999991</v>
      </c>
      <c r="P104" s="256">
        <v>501</v>
      </c>
      <c r="Q104" s="256">
        <v>7175136.9031590242</v>
      </c>
      <c r="R104" s="256">
        <f ca="1">IFERROR(VLOOKUP($B104-1,CDM!$L$7:$T$18,5,FALSE)/12,0)+IFERROR(VLOOKUP($B104,CDM!$L$36:$T$46,5,FALSE)/24,0)+IFERROR(VLOOKUP($B104,CDM!$L$36:$T$46,5,FALSE)/2*$C104/78,0)</f>
        <v>944731.5022840593</v>
      </c>
      <c r="S104" s="256">
        <f ca="1">Q104+R104</f>
        <v>8119868.4054430835</v>
      </c>
      <c r="T104" s="256">
        <v>15915.71</v>
      </c>
      <c r="U104" s="256">
        <v>18</v>
      </c>
      <c r="V104" s="256">
        <v>2671992.2080055689</v>
      </c>
      <c r="W104" s="256">
        <f ca="1">IFERROR(VLOOKUP($B104-1,CDM!$L$7:$T$18,6,FALSE)/12,0)+IFERROR(VLOOKUP($B104,CDM!$L$36:$T$46,6,FALSE)/24,0)+IFERROR(VLOOKUP($B104,CDM!$L$36:$T$46,6,FALSE)/2*$C104/78,0)</f>
        <v>43428.255572750277</v>
      </c>
      <c r="X104" s="256">
        <f ca="1">V104+W104</f>
        <v>2715420.4635783192</v>
      </c>
      <c r="Y104" s="256">
        <v>5697.72</v>
      </c>
      <c r="Z104" s="256">
        <v>1</v>
      </c>
      <c r="AA104" s="4">
        <v>296800.05956267804</v>
      </c>
      <c r="AB104" s="4">
        <v>1064.5</v>
      </c>
      <c r="AC104" s="256">
        <v>14415</v>
      </c>
      <c r="AD104" s="256">
        <v>2285.94</v>
      </c>
      <c r="AE104" s="256">
        <v>0</v>
      </c>
      <c r="AF104" s="256">
        <v>19</v>
      </c>
      <c r="AG104" s="4">
        <v>234168</v>
      </c>
      <c r="AH104" s="4">
        <v>258</v>
      </c>
      <c r="AI104" s="28">
        <f>Economic!H106</f>
        <v>865859.6</v>
      </c>
      <c r="AJ104" s="28">
        <f>Economic!I106</f>
        <v>679067</v>
      </c>
      <c r="AK104" s="28">
        <f>Economic!J106</f>
        <v>74531.5</v>
      </c>
      <c r="AL104" s="28">
        <f>Economic!K106</f>
        <v>867701</v>
      </c>
      <c r="AM104" s="28">
        <f>Economic!L106</f>
        <v>682077</v>
      </c>
      <c r="AN104" s="28">
        <f>Economic!M106</f>
        <v>32844</v>
      </c>
      <c r="AO104" s="28">
        <f>Economic!D106</f>
        <v>7926.1</v>
      </c>
      <c r="AP104" s="28">
        <f>Economic!E106</f>
        <v>8016.9</v>
      </c>
      <c r="AQ104" s="28">
        <f>Economic!F106</f>
        <v>220.8</v>
      </c>
      <c r="AR104" s="28">
        <f>Economic!G106</f>
        <v>222.5</v>
      </c>
      <c r="AS104" s="28">
        <f>Economic!N106</f>
        <v>171.30000000000018</v>
      </c>
      <c r="AT104" s="28">
        <f>Economic!O106</f>
        <v>173.29999999999927</v>
      </c>
      <c r="AU104" s="28">
        <f>Economic!P106</f>
        <v>-8</v>
      </c>
      <c r="AV104" s="28">
        <f>Economic!Q106</f>
        <v>-8.6999999999999886</v>
      </c>
      <c r="AW104" s="28">
        <f>Economic!R106</f>
        <v>15397.699999999953</v>
      </c>
      <c r="AX104" s="28">
        <f>Economic!S106</f>
        <v>2198</v>
      </c>
      <c r="AY104" s="7">
        <f>Weather!D104</f>
        <v>21.218817204301072</v>
      </c>
      <c r="AZ104" s="7">
        <f>Weather!E104</f>
        <v>7.3166666666666593</v>
      </c>
      <c r="BA104" s="7">
        <f>Weather!F104</f>
        <v>45.099999999999966</v>
      </c>
      <c r="BB104" s="7">
        <f>Weather!G104</f>
        <v>0.12499999999999645</v>
      </c>
      <c r="BC104" s="7">
        <f>Weather!H104</f>
        <v>99.908333333333317</v>
      </c>
      <c r="BD104" s="7">
        <f>Weather!I104</f>
        <v>0</v>
      </c>
      <c r="BE104" s="7">
        <f>Weather!J104</f>
        <v>161.78333333333336</v>
      </c>
      <c r="BF104" s="7">
        <f>Weather!K104</f>
        <v>0</v>
      </c>
      <c r="BG104" s="7">
        <f>Weather!L104</f>
        <v>223.78333333333336</v>
      </c>
      <c r="BH104" s="7">
        <f>Weather!M104</f>
        <v>0</v>
      </c>
      <c r="BI104" s="7">
        <f>Weather!N104</f>
        <v>285.78333333333342</v>
      </c>
      <c r="BJ104" s="7">
        <f>Weather!O104</f>
        <v>0</v>
      </c>
      <c r="BK104" s="7">
        <f>Weather!P104</f>
        <v>347.78333333333342</v>
      </c>
      <c r="BL104" s="7">
        <f>Weather!Q104</f>
        <v>0</v>
      </c>
      <c r="BM104" s="7">
        <f>Weather!R104</f>
        <v>409.7833333333333</v>
      </c>
      <c r="BN104" s="1">
        <f t="shared" si="35"/>
        <v>0</v>
      </c>
      <c r="BO104" s="1">
        <f t="shared" si="35"/>
        <v>0</v>
      </c>
      <c r="BP104" s="1">
        <f t="shared" si="35"/>
        <v>0</v>
      </c>
      <c r="BQ104" s="1">
        <f t="shared" si="35"/>
        <v>0</v>
      </c>
      <c r="BR104" s="1">
        <f t="shared" si="35"/>
        <v>0</v>
      </c>
      <c r="BS104" s="1">
        <f t="shared" si="35"/>
        <v>0</v>
      </c>
      <c r="BT104" s="1">
        <f t="shared" si="35"/>
        <v>1</v>
      </c>
      <c r="BU104" s="1">
        <f t="shared" si="35"/>
        <v>0</v>
      </c>
      <c r="BV104" s="1">
        <f t="shared" si="35"/>
        <v>0</v>
      </c>
      <c r="BW104" s="1">
        <f t="shared" si="35"/>
        <v>0</v>
      </c>
      <c r="BX104" s="1">
        <f t="shared" si="35"/>
        <v>0</v>
      </c>
      <c r="BY104" s="1">
        <f t="shared" si="35"/>
        <v>0</v>
      </c>
      <c r="BZ104" s="1">
        <f t="shared" si="35"/>
        <v>0</v>
      </c>
      <c r="CA104" s="1">
        <f t="shared" si="35"/>
        <v>0</v>
      </c>
      <c r="CB104" s="1">
        <f t="shared" si="35"/>
        <v>0</v>
      </c>
      <c r="CC104" s="1">
        <f t="shared" si="23"/>
        <v>103</v>
      </c>
      <c r="CD104" s="1">
        <f t="shared" si="17"/>
        <v>31</v>
      </c>
      <c r="CE104" s="1">
        <v>20</v>
      </c>
      <c r="CF104" s="1">
        <v>0</v>
      </c>
      <c r="CG104" s="1">
        <v>0</v>
      </c>
      <c r="CH104" s="1">
        <v>0.25</v>
      </c>
      <c r="CI104" s="1">
        <v>0</v>
      </c>
      <c r="CJ104" s="1">
        <f t="shared" si="30"/>
        <v>0</v>
      </c>
      <c r="CK104" s="1">
        <f t="shared" si="30"/>
        <v>0</v>
      </c>
      <c r="CL104" s="1">
        <f t="shared" si="30"/>
        <v>0</v>
      </c>
      <c r="CM104" s="1">
        <f t="shared" si="30"/>
        <v>0</v>
      </c>
      <c r="CN104" s="1">
        <f t="shared" si="30"/>
        <v>0</v>
      </c>
      <c r="CO104" s="1">
        <f t="shared" si="30"/>
        <v>0</v>
      </c>
      <c r="CP104" s="1">
        <f t="shared" si="28"/>
        <v>0</v>
      </c>
      <c r="CQ104" s="1">
        <f t="shared" si="28"/>
        <v>0</v>
      </c>
      <c r="CR104" s="1">
        <f t="shared" si="28"/>
        <v>0</v>
      </c>
      <c r="CS104" s="1">
        <f t="shared" si="28"/>
        <v>0</v>
      </c>
      <c r="CT104" s="1">
        <f t="shared" si="28"/>
        <v>0</v>
      </c>
      <c r="CU104" s="1">
        <f t="shared" si="36"/>
        <v>0</v>
      </c>
      <c r="CV104" s="1">
        <f t="shared" si="36"/>
        <v>0</v>
      </c>
      <c r="CW104" s="1">
        <f t="shared" si="36"/>
        <v>0</v>
      </c>
      <c r="CX104" s="1">
        <f t="shared" si="31"/>
        <v>1.8291666666666648</v>
      </c>
      <c r="CY104" s="1">
        <f t="shared" si="31"/>
        <v>11.274999999999991</v>
      </c>
      <c r="CZ104" s="1">
        <f t="shared" si="31"/>
        <v>3.1249999999999112E-2</v>
      </c>
      <c r="DA104" s="1">
        <f t="shared" si="31"/>
        <v>24.977083333333329</v>
      </c>
      <c r="DB104" s="1">
        <f t="shared" si="31"/>
        <v>0</v>
      </c>
      <c r="DC104" s="1">
        <f t="shared" si="31"/>
        <v>40.44583333333334</v>
      </c>
      <c r="DD104" s="1">
        <f t="shared" si="29"/>
        <v>0</v>
      </c>
      <c r="DE104" s="1">
        <f t="shared" si="29"/>
        <v>55.94583333333334</v>
      </c>
      <c r="DF104" s="1">
        <f t="shared" si="29"/>
        <v>0</v>
      </c>
      <c r="DG104" s="1">
        <f t="shared" si="29"/>
        <v>71.445833333333354</v>
      </c>
      <c r="DH104" s="1">
        <f t="shared" si="29"/>
        <v>0</v>
      </c>
      <c r="DI104" s="1">
        <f t="shared" si="37"/>
        <v>86.945833333333354</v>
      </c>
      <c r="DJ104" s="1">
        <f t="shared" si="37"/>
        <v>0</v>
      </c>
      <c r="DK104" s="1">
        <f t="shared" si="37"/>
        <v>102.44583333333333</v>
      </c>
      <c r="DL104" s="24">
        <v>566484.18999999994</v>
      </c>
      <c r="DM104" s="25">
        <v>1140.96</v>
      </c>
      <c r="DN104" s="24"/>
      <c r="DO104" s="25"/>
      <c r="DP104" s="25"/>
      <c r="DQ104" s="25"/>
      <c r="DR104" s="25"/>
      <c r="DS104" s="25"/>
      <c r="DT104" s="25"/>
      <c r="DU104" s="25"/>
      <c r="DV104" s="25"/>
    </row>
    <row r="105" spans="1:126" x14ac:dyDescent="0.25">
      <c r="A105" s="252">
        <v>45139</v>
      </c>
      <c r="B105" s="253">
        <f t="shared" si="18"/>
        <v>2023</v>
      </c>
      <c r="C105" s="253">
        <f t="shared" si="19"/>
        <v>8</v>
      </c>
      <c r="D105" s="254">
        <v>49883081.059523009</v>
      </c>
      <c r="E105" s="254">
        <f ca="1">IFERROR(VLOOKUP($B105-1,CDM!$L$7:$T$18,2,FALSE)/12,0)+IFERROR(VLOOKUP($B105,CDM!$L$36:$T$46,2,FALSE)/24,0)+IFERROR(VLOOKUP($B105,CDM!$L$36:$T$46,2,FALSE)/2*$C105/78,0)</f>
        <v>2472620.7137265401</v>
      </c>
      <c r="F105" s="254">
        <f ca="1">D105+E105</f>
        <v>52355701.773249552</v>
      </c>
      <c r="G105" s="255">
        <v>57319</v>
      </c>
      <c r="H105" s="254">
        <v>10988147.424653323</v>
      </c>
      <c r="I105" s="254">
        <f ca="1">IFERROR(VLOOKUP($B105-1,CDM!$L$7:$T$18,3,FALSE)/12,0)+IFERROR(VLOOKUP($B105,CDM!$L$36:$T$46,3,FALSE)/24,0)+IFERROR(VLOOKUP($B105,CDM!$L$36:$T$46,3,FALSE)/2*$C105/78,0)</f>
        <v>754217.92396382836</v>
      </c>
      <c r="J105" s="254">
        <f ca="1">H105+I105</f>
        <v>11742365.348617151</v>
      </c>
      <c r="K105" s="256">
        <v>4431</v>
      </c>
      <c r="L105" s="4">
        <v>26191452.433149893</v>
      </c>
      <c r="M105" s="257">
        <f ca="1">IFERROR(VLOOKUP($B105-1,CDM!$L$7:$T$18,4,FALSE)/12,0)+IFERROR(VLOOKUP($B105,CDM!$L$36:$T$46,4,FALSE)/24,0)+IFERROR(VLOOKUP($B105,CDM!$L$36:$T$46,4,FALSE)/2*$C105/78,0)</f>
        <v>1057061.1252183842</v>
      </c>
      <c r="N105" s="254">
        <f ca="1">L105+M105</f>
        <v>27248513.558368277</v>
      </c>
      <c r="O105" s="4">
        <v>71422.929999999993</v>
      </c>
      <c r="P105" s="256">
        <v>504</v>
      </c>
      <c r="Q105" s="256">
        <v>7226299.2855512602</v>
      </c>
      <c r="R105" s="256">
        <f ca="1">IFERROR(VLOOKUP($B105-1,CDM!$L$7:$T$18,5,FALSE)/12,0)+IFERROR(VLOOKUP($B105,CDM!$L$36:$T$46,5,FALSE)/24,0)+IFERROR(VLOOKUP($B105,CDM!$L$36:$T$46,5,FALSE)/2*$C105/78,0)</f>
        <v>948229.91209115717</v>
      </c>
      <c r="S105" s="256">
        <f ca="1">Q105+R105</f>
        <v>8174529.1976424176</v>
      </c>
      <c r="T105" s="256">
        <v>15506.96</v>
      </c>
      <c r="U105" s="256">
        <v>18</v>
      </c>
      <c r="V105" s="256">
        <v>2937780.5360975759</v>
      </c>
      <c r="W105" s="256">
        <f ca="1">IFERROR(VLOOKUP($B105-1,CDM!$L$7:$T$18,6,FALSE)/12,0)+IFERROR(VLOOKUP($B105,CDM!$L$36:$T$46,6,FALSE)/24,0)+IFERROR(VLOOKUP($B105,CDM!$L$36:$T$46,6,FALSE)/2*$C105/78,0)</f>
        <v>44085.012437607853</v>
      </c>
      <c r="X105" s="256">
        <f ca="1">V105+W105</f>
        <v>2981865.5485351835</v>
      </c>
      <c r="Y105" s="256">
        <v>6440.28</v>
      </c>
      <c r="Z105" s="256">
        <v>1</v>
      </c>
      <c r="AA105" s="4">
        <v>305790.15876303281</v>
      </c>
      <c r="AB105" s="4">
        <v>1067.3</v>
      </c>
      <c r="AC105" s="256">
        <v>14427</v>
      </c>
      <c r="AD105" s="256">
        <v>2212.1999999999998</v>
      </c>
      <c r="AE105" s="256">
        <v>0</v>
      </c>
      <c r="AF105" s="256">
        <v>19</v>
      </c>
      <c r="AG105" s="4">
        <v>230836.22950819673</v>
      </c>
      <c r="AH105" s="4">
        <v>258</v>
      </c>
      <c r="AI105" s="28">
        <f>Economic!H107</f>
        <v>865859.6</v>
      </c>
      <c r="AJ105" s="28">
        <f>Economic!I107</f>
        <v>679067</v>
      </c>
      <c r="AK105" s="28">
        <f>Economic!J107</f>
        <v>74531.5</v>
      </c>
      <c r="AL105" s="28">
        <f>Economic!K107</f>
        <v>867701</v>
      </c>
      <c r="AM105" s="28">
        <f>Economic!L107</f>
        <v>682077</v>
      </c>
      <c r="AN105" s="28">
        <f>Economic!M107</f>
        <v>32844</v>
      </c>
      <c r="AO105" s="28">
        <f>Economic!D107</f>
        <v>7940.5</v>
      </c>
      <c r="AP105" s="28">
        <f>Economic!E107</f>
        <v>8020.3</v>
      </c>
      <c r="AQ105" s="28">
        <f>Economic!F107</f>
        <v>223.5</v>
      </c>
      <c r="AR105" s="28">
        <f>Economic!G107</f>
        <v>223.8</v>
      </c>
      <c r="AS105" s="28">
        <f>Economic!N107</f>
        <v>193.10000000000036</v>
      </c>
      <c r="AT105" s="28">
        <f>Economic!O107</f>
        <v>194.90000000000055</v>
      </c>
      <c r="AU105" s="28">
        <f>Economic!P107</f>
        <v>-3.8000000000000114</v>
      </c>
      <c r="AV105" s="28">
        <f>Economic!Q107</f>
        <v>-4.0999999999999943</v>
      </c>
      <c r="AW105" s="28">
        <f>Economic!R107</f>
        <v>15397.699999999953</v>
      </c>
      <c r="AX105" s="28">
        <f>Economic!S107</f>
        <v>2198</v>
      </c>
      <c r="AY105" s="7">
        <f>Weather!D105</f>
        <v>19.348544880785411</v>
      </c>
      <c r="AZ105" s="7">
        <f>Weather!E105</f>
        <v>32.211775362318839</v>
      </c>
      <c r="BA105" s="7">
        <f>Weather!F105</f>
        <v>12.016666666666676</v>
      </c>
      <c r="BB105" s="7">
        <f>Weather!G105</f>
        <v>9.274999999999995</v>
      </c>
      <c r="BC105" s="7">
        <f>Weather!H105</f>
        <v>51.079891304347839</v>
      </c>
      <c r="BD105" s="7">
        <f>Weather!I105</f>
        <v>1.6125000000000007</v>
      </c>
      <c r="BE105" s="7">
        <f>Weather!J105</f>
        <v>105.41739130434784</v>
      </c>
      <c r="BF105" s="7">
        <f>Weather!K105</f>
        <v>0</v>
      </c>
      <c r="BG105" s="7">
        <f>Weather!L105</f>
        <v>165.80489130434788</v>
      </c>
      <c r="BH105" s="7">
        <f>Weather!M105</f>
        <v>0</v>
      </c>
      <c r="BI105" s="7">
        <f>Weather!N105</f>
        <v>227.80489130434788</v>
      </c>
      <c r="BJ105" s="7">
        <f>Weather!O105</f>
        <v>0</v>
      </c>
      <c r="BK105" s="7">
        <f>Weather!P105</f>
        <v>289.8048913043479</v>
      </c>
      <c r="BL105" s="7">
        <f>Weather!Q105</f>
        <v>0</v>
      </c>
      <c r="BM105" s="7">
        <f>Weather!R105</f>
        <v>351.80489130434785</v>
      </c>
      <c r="BN105" s="1">
        <f t="shared" si="35"/>
        <v>0</v>
      </c>
      <c r="BO105" s="1">
        <f t="shared" si="35"/>
        <v>0</v>
      </c>
      <c r="BP105" s="1">
        <f t="shared" si="35"/>
        <v>0</v>
      </c>
      <c r="BQ105" s="1">
        <f t="shared" si="35"/>
        <v>0</v>
      </c>
      <c r="BR105" s="1">
        <f t="shared" si="35"/>
        <v>0</v>
      </c>
      <c r="BS105" s="1">
        <f t="shared" si="35"/>
        <v>0</v>
      </c>
      <c r="BT105" s="1">
        <f t="shared" si="35"/>
        <v>0</v>
      </c>
      <c r="BU105" s="1">
        <f t="shared" si="35"/>
        <v>1</v>
      </c>
      <c r="BV105" s="1">
        <f t="shared" si="35"/>
        <v>0</v>
      </c>
      <c r="BW105" s="1">
        <f t="shared" si="35"/>
        <v>0</v>
      </c>
      <c r="BX105" s="1">
        <f t="shared" si="35"/>
        <v>0</v>
      </c>
      <c r="BY105" s="1">
        <f t="shared" si="35"/>
        <v>0</v>
      </c>
      <c r="BZ105" s="1">
        <f t="shared" si="35"/>
        <v>0</v>
      </c>
      <c r="CA105" s="1">
        <f t="shared" si="35"/>
        <v>0</v>
      </c>
      <c r="CB105" s="1">
        <f t="shared" si="35"/>
        <v>0</v>
      </c>
      <c r="CC105" s="1">
        <f t="shared" si="23"/>
        <v>104</v>
      </c>
      <c r="CD105" s="1">
        <f t="shared" si="17"/>
        <v>31</v>
      </c>
      <c r="CE105" s="1">
        <v>22</v>
      </c>
      <c r="CF105" s="1">
        <v>0</v>
      </c>
      <c r="CG105" s="1">
        <v>0</v>
      </c>
      <c r="CH105" s="1">
        <v>0.25</v>
      </c>
      <c r="CI105" s="1">
        <v>0</v>
      </c>
      <c r="CJ105" s="1">
        <f t="shared" si="30"/>
        <v>0</v>
      </c>
      <c r="CK105" s="1">
        <f t="shared" si="30"/>
        <v>0</v>
      </c>
      <c r="CL105" s="1">
        <f t="shared" si="30"/>
        <v>0</v>
      </c>
      <c r="CM105" s="1">
        <f t="shared" si="30"/>
        <v>0</v>
      </c>
      <c r="CN105" s="1">
        <f t="shared" si="30"/>
        <v>0</v>
      </c>
      <c r="CO105" s="1">
        <f t="shared" si="30"/>
        <v>0</v>
      </c>
      <c r="CP105" s="1">
        <f t="shared" si="28"/>
        <v>0</v>
      </c>
      <c r="CQ105" s="1">
        <f t="shared" si="28"/>
        <v>0</v>
      </c>
      <c r="CR105" s="1">
        <f t="shared" si="28"/>
        <v>0</v>
      </c>
      <c r="CS105" s="1">
        <f t="shared" si="28"/>
        <v>0</v>
      </c>
      <c r="CT105" s="1">
        <f t="shared" si="28"/>
        <v>0</v>
      </c>
      <c r="CU105" s="1">
        <f t="shared" si="36"/>
        <v>0</v>
      </c>
      <c r="CV105" s="1">
        <f t="shared" si="36"/>
        <v>0</v>
      </c>
      <c r="CW105" s="1">
        <f t="shared" si="36"/>
        <v>0</v>
      </c>
      <c r="CX105" s="1">
        <f t="shared" si="31"/>
        <v>8.0529438405797098</v>
      </c>
      <c r="CY105" s="1">
        <f t="shared" si="31"/>
        <v>3.0041666666666691</v>
      </c>
      <c r="CZ105" s="1">
        <f t="shared" si="31"/>
        <v>2.3187499999999988</v>
      </c>
      <c r="DA105" s="1">
        <f t="shared" si="31"/>
        <v>12.76997282608696</v>
      </c>
      <c r="DB105" s="1">
        <f t="shared" si="31"/>
        <v>0.40312500000000018</v>
      </c>
      <c r="DC105" s="1">
        <f t="shared" si="31"/>
        <v>26.354347826086961</v>
      </c>
      <c r="DD105" s="1">
        <f t="shared" si="29"/>
        <v>0</v>
      </c>
      <c r="DE105" s="1">
        <f t="shared" si="29"/>
        <v>41.451222826086969</v>
      </c>
      <c r="DF105" s="1">
        <f t="shared" si="29"/>
        <v>0</v>
      </c>
      <c r="DG105" s="1">
        <f t="shared" si="29"/>
        <v>56.951222826086969</v>
      </c>
      <c r="DH105" s="1">
        <f t="shared" si="29"/>
        <v>0</v>
      </c>
      <c r="DI105" s="1">
        <f t="shared" si="37"/>
        <v>72.451222826086976</v>
      </c>
      <c r="DJ105" s="1">
        <f t="shared" si="37"/>
        <v>0</v>
      </c>
      <c r="DK105" s="1">
        <f t="shared" si="37"/>
        <v>87.951222826086962</v>
      </c>
      <c r="DL105" s="24">
        <v>598862.81000000006</v>
      </c>
      <c r="DM105" s="25">
        <v>1117.27</v>
      </c>
      <c r="DN105" s="24"/>
      <c r="DO105" s="25"/>
      <c r="DP105" s="25"/>
      <c r="DQ105" s="25"/>
      <c r="DR105" s="25"/>
      <c r="DS105" s="25"/>
      <c r="DT105" s="25"/>
      <c r="DU105" s="25"/>
      <c r="DV105" s="25"/>
    </row>
    <row r="106" spans="1:126" x14ac:dyDescent="0.25">
      <c r="A106" s="252">
        <v>45170</v>
      </c>
      <c r="B106" s="253">
        <f t="shared" si="18"/>
        <v>2023</v>
      </c>
      <c r="C106" s="253">
        <f t="shared" si="19"/>
        <v>9</v>
      </c>
      <c r="D106" s="254">
        <v>44092631.227047838</v>
      </c>
      <c r="E106" s="254">
        <f ca="1">IFERROR(VLOOKUP($B106-1,CDM!$L$7:$T$18,2,FALSE)/12,0)+IFERROR(VLOOKUP($B106,CDM!$L$36:$T$46,2,FALSE)/24,0)+IFERROR(VLOOKUP($B106,CDM!$L$36:$T$46,2,FALSE)/2*$C106/78,0)</f>
        <v>2473602.5046088989</v>
      </c>
      <c r="F106" s="254">
        <f ca="1">D106+E106</f>
        <v>46566233.731656738</v>
      </c>
      <c r="G106" s="255">
        <v>57290</v>
      </c>
      <c r="H106" s="254">
        <v>10112666.782799996</v>
      </c>
      <c r="I106" s="254">
        <f ca="1">IFERROR(VLOOKUP($B106-1,CDM!$L$7:$T$18,3,FALSE)/12,0)+IFERROR(VLOOKUP($B106,CDM!$L$36:$T$46,3,FALSE)/24,0)+IFERROR(VLOOKUP($B106,CDM!$L$36:$T$46,3,FALSE)/2*$C106/78,0)</f>
        <v>760223.62198022474</v>
      </c>
      <c r="J106" s="254">
        <f ca="1">H106+I106</f>
        <v>10872890.40478022</v>
      </c>
      <c r="K106" s="256">
        <v>4430</v>
      </c>
      <c r="L106" s="4">
        <v>24765523.610411026</v>
      </c>
      <c r="M106" s="257">
        <f ca="1">IFERROR(VLOOKUP($B106-1,CDM!$L$7:$T$18,4,FALSE)/12,0)+IFERROR(VLOOKUP($B106,CDM!$L$36:$T$46,4,FALSE)/24,0)+IFERROR(VLOOKUP($B106,CDM!$L$36:$T$46,4,FALSE)/2*$C106/78,0)</f>
        <v>1068573.7185783735</v>
      </c>
      <c r="N106" s="254">
        <f ca="1">L106+M106</f>
        <v>25834097.328989398</v>
      </c>
      <c r="O106" s="4">
        <v>74318.390000000014</v>
      </c>
      <c r="P106" s="256">
        <v>505</v>
      </c>
      <c r="Q106" s="256">
        <v>7001134.0125022195</v>
      </c>
      <c r="R106" s="256">
        <f ca="1">IFERROR(VLOOKUP($B106-1,CDM!$L$7:$T$18,5,FALSE)/12,0)+IFERROR(VLOOKUP($B106,CDM!$L$36:$T$46,5,FALSE)/24,0)+IFERROR(VLOOKUP($B106,CDM!$L$36:$T$46,5,FALSE)/2*$C106/78,0)</f>
        <v>951728.32189825492</v>
      </c>
      <c r="S106" s="256">
        <f ca="1">Q106+R106</f>
        <v>7952862.3344004741</v>
      </c>
      <c r="T106" s="256">
        <v>16983.7</v>
      </c>
      <c r="U106" s="256">
        <v>18</v>
      </c>
      <c r="V106" s="256">
        <v>2945265.9434799016</v>
      </c>
      <c r="W106" s="256">
        <f ca="1">IFERROR(VLOOKUP($B106-1,CDM!$L$7:$T$18,6,FALSE)/12,0)+IFERROR(VLOOKUP($B106,CDM!$L$36:$T$46,6,FALSE)/24,0)+IFERROR(VLOOKUP($B106,CDM!$L$36:$T$46,6,FALSE)/2*$C106/78,0)</f>
        <v>44741.769302465429</v>
      </c>
      <c r="X106" s="256">
        <f ca="1">V106+W106</f>
        <v>2990007.7127823671</v>
      </c>
      <c r="Y106" s="256">
        <v>6421.8</v>
      </c>
      <c r="Z106" s="256">
        <v>1</v>
      </c>
      <c r="AA106" s="4">
        <v>303740.12746349431</v>
      </c>
      <c r="AB106" s="4">
        <v>1067.3</v>
      </c>
      <c r="AC106" s="256">
        <v>14427</v>
      </c>
      <c r="AD106" s="256">
        <v>2285.94</v>
      </c>
      <c r="AE106" s="256">
        <v>0</v>
      </c>
      <c r="AF106" s="256">
        <v>19</v>
      </c>
      <c r="AG106" s="4">
        <v>238530.77049180327</v>
      </c>
      <c r="AH106" s="4">
        <v>259</v>
      </c>
      <c r="AI106" s="28">
        <f>Economic!H108</f>
        <v>865859.6</v>
      </c>
      <c r="AJ106" s="28">
        <f>Economic!I108</f>
        <v>679067</v>
      </c>
      <c r="AK106" s="28">
        <f>Economic!J108</f>
        <v>74531.5</v>
      </c>
      <c r="AL106" s="28">
        <f>Economic!K108</f>
        <v>867701</v>
      </c>
      <c r="AM106" s="28">
        <f>Economic!L108</f>
        <v>682077</v>
      </c>
      <c r="AN106" s="28">
        <f>Economic!M108</f>
        <v>32844</v>
      </c>
      <c r="AO106" s="28">
        <f>Economic!D108</f>
        <v>7945</v>
      </c>
      <c r="AP106" s="28">
        <f>Economic!E108</f>
        <v>7968.4</v>
      </c>
      <c r="AQ106" s="28">
        <f>Economic!F108</f>
        <v>223.9</v>
      </c>
      <c r="AR106" s="28">
        <f>Economic!G108</f>
        <v>222.1</v>
      </c>
      <c r="AS106" s="28">
        <f>Economic!N108</f>
        <v>204.30000000000018</v>
      </c>
      <c r="AT106" s="28">
        <f>Economic!O108</f>
        <v>201.69999999999982</v>
      </c>
      <c r="AU106" s="28">
        <f>Economic!P108</f>
        <v>-2.0999999999999943</v>
      </c>
      <c r="AV106" s="28">
        <f>Economic!Q108</f>
        <v>-2.3000000000000114</v>
      </c>
      <c r="AW106" s="28">
        <f>Economic!R108</f>
        <v>15397.699999999953</v>
      </c>
      <c r="AX106" s="28">
        <f>Economic!S108</f>
        <v>2198</v>
      </c>
      <c r="AY106" s="7">
        <f>Weather!D106</f>
        <v>17.433055555555555</v>
      </c>
      <c r="AZ106" s="7">
        <f>Weather!E106</f>
        <v>95.22083333333336</v>
      </c>
      <c r="BA106" s="7">
        <f>Weather!F106</f>
        <v>18.212499999999995</v>
      </c>
      <c r="BB106" s="7">
        <f>Weather!G106</f>
        <v>47.591666666666676</v>
      </c>
      <c r="BC106" s="7">
        <f>Weather!H106</f>
        <v>30.583333333333329</v>
      </c>
      <c r="BD106" s="7">
        <f>Weather!I106</f>
        <v>15.216666666666669</v>
      </c>
      <c r="BE106" s="7">
        <f>Weather!J106</f>
        <v>58.208333333333314</v>
      </c>
      <c r="BF106" s="7">
        <f>Weather!K106</f>
        <v>2.3583333333333378</v>
      </c>
      <c r="BG106" s="7">
        <f>Weather!L106</f>
        <v>105.35</v>
      </c>
      <c r="BH106" s="7">
        <f>Weather!M106</f>
        <v>0</v>
      </c>
      <c r="BI106" s="7">
        <f>Weather!N106</f>
        <v>162.99166666666662</v>
      </c>
      <c r="BJ106" s="7">
        <f>Weather!O106</f>
        <v>0</v>
      </c>
      <c r="BK106" s="7">
        <f>Weather!P106</f>
        <v>222.99166666666656</v>
      </c>
      <c r="BL106" s="7">
        <f>Weather!Q106</f>
        <v>0</v>
      </c>
      <c r="BM106" s="7">
        <f>Weather!R106</f>
        <v>282.99166666666656</v>
      </c>
      <c r="BN106" s="1">
        <f t="shared" si="35"/>
        <v>0</v>
      </c>
      <c r="BO106" s="1">
        <f t="shared" si="35"/>
        <v>0</v>
      </c>
      <c r="BP106" s="1">
        <f t="shared" si="35"/>
        <v>0</v>
      </c>
      <c r="BQ106" s="1">
        <f t="shared" si="35"/>
        <v>0</v>
      </c>
      <c r="BR106" s="1">
        <f t="shared" si="35"/>
        <v>0</v>
      </c>
      <c r="BS106" s="1">
        <f t="shared" si="35"/>
        <v>0</v>
      </c>
      <c r="BT106" s="1">
        <f t="shared" si="35"/>
        <v>0</v>
      </c>
      <c r="BU106" s="1">
        <f t="shared" si="35"/>
        <v>0</v>
      </c>
      <c r="BV106" s="1">
        <f t="shared" si="35"/>
        <v>1</v>
      </c>
      <c r="BW106" s="1">
        <f t="shared" si="35"/>
        <v>0</v>
      </c>
      <c r="BX106" s="1">
        <f t="shared" si="35"/>
        <v>0</v>
      </c>
      <c r="BY106" s="1">
        <f t="shared" si="35"/>
        <v>0</v>
      </c>
      <c r="BZ106" s="1">
        <f t="shared" si="35"/>
        <v>0</v>
      </c>
      <c r="CA106" s="1">
        <f t="shared" si="35"/>
        <v>1</v>
      </c>
      <c r="CB106" s="1">
        <f t="shared" si="35"/>
        <v>1</v>
      </c>
      <c r="CC106" s="1">
        <f t="shared" si="23"/>
        <v>105</v>
      </c>
      <c r="CD106" s="1">
        <f t="shared" si="17"/>
        <v>30</v>
      </c>
      <c r="CE106" s="1">
        <v>20</v>
      </c>
      <c r="CF106" s="1">
        <v>0</v>
      </c>
      <c r="CG106" s="1">
        <v>0</v>
      </c>
      <c r="CH106" s="1">
        <v>0.25</v>
      </c>
      <c r="CI106" s="1">
        <v>0</v>
      </c>
      <c r="CJ106" s="1">
        <f t="shared" si="30"/>
        <v>0</v>
      </c>
      <c r="CK106" s="1">
        <f t="shared" si="30"/>
        <v>0</v>
      </c>
      <c r="CL106" s="1">
        <f t="shared" si="30"/>
        <v>0</v>
      </c>
      <c r="CM106" s="1">
        <f t="shared" si="30"/>
        <v>0</v>
      </c>
      <c r="CN106" s="1">
        <f t="shared" si="30"/>
        <v>0</v>
      </c>
      <c r="CO106" s="1">
        <f t="shared" si="30"/>
        <v>0</v>
      </c>
      <c r="CP106" s="1">
        <f t="shared" si="28"/>
        <v>0</v>
      </c>
      <c r="CQ106" s="1">
        <f t="shared" si="28"/>
        <v>0</v>
      </c>
      <c r="CR106" s="1">
        <f t="shared" si="28"/>
        <v>0</v>
      </c>
      <c r="CS106" s="1">
        <f t="shared" si="28"/>
        <v>0</v>
      </c>
      <c r="CT106" s="1">
        <f t="shared" si="28"/>
        <v>0</v>
      </c>
      <c r="CU106" s="1">
        <f t="shared" si="36"/>
        <v>0</v>
      </c>
      <c r="CV106" s="1">
        <f t="shared" si="36"/>
        <v>0</v>
      </c>
      <c r="CW106" s="1">
        <f t="shared" si="36"/>
        <v>0</v>
      </c>
      <c r="CX106" s="1">
        <f t="shared" si="31"/>
        <v>23.80520833333334</v>
      </c>
      <c r="CY106" s="1">
        <f t="shared" si="31"/>
        <v>4.5531249999999988</v>
      </c>
      <c r="CZ106" s="1">
        <f t="shared" si="31"/>
        <v>11.897916666666669</v>
      </c>
      <c r="DA106" s="1">
        <f t="shared" si="31"/>
        <v>7.6458333333333321</v>
      </c>
      <c r="DB106" s="1">
        <f t="shared" si="31"/>
        <v>3.8041666666666671</v>
      </c>
      <c r="DC106" s="1">
        <f t="shared" si="31"/>
        <v>14.552083333333329</v>
      </c>
      <c r="DD106" s="1">
        <f t="shared" si="29"/>
        <v>0.58958333333333446</v>
      </c>
      <c r="DE106" s="1">
        <f t="shared" si="29"/>
        <v>26.337499999999999</v>
      </c>
      <c r="DF106" s="1">
        <f t="shared" si="29"/>
        <v>0</v>
      </c>
      <c r="DG106" s="1">
        <f t="shared" si="29"/>
        <v>40.747916666666654</v>
      </c>
      <c r="DH106" s="1">
        <f t="shared" si="29"/>
        <v>0</v>
      </c>
      <c r="DI106" s="1">
        <f t="shared" si="37"/>
        <v>55.74791666666664</v>
      </c>
      <c r="DJ106" s="1">
        <f t="shared" si="37"/>
        <v>0</v>
      </c>
      <c r="DK106" s="1">
        <f t="shared" si="37"/>
        <v>70.74791666666664</v>
      </c>
      <c r="DL106" s="24">
        <v>533518.5</v>
      </c>
      <c r="DM106" s="25">
        <v>1172.49</v>
      </c>
      <c r="DN106" s="24"/>
      <c r="DO106" s="25"/>
      <c r="DP106" s="25"/>
      <c r="DQ106" s="25"/>
      <c r="DR106" s="25"/>
      <c r="DS106" s="25"/>
      <c r="DT106" s="25"/>
      <c r="DU106" s="25"/>
      <c r="DV106" s="25"/>
    </row>
    <row r="107" spans="1:126" x14ac:dyDescent="0.25">
      <c r="A107" s="252">
        <v>45200</v>
      </c>
      <c r="B107" s="253">
        <f t="shared" si="18"/>
        <v>2023</v>
      </c>
      <c r="C107" s="253">
        <f t="shared" si="19"/>
        <v>10</v>
      </c>
      <c r="D107" s="254">
        <v>36697087.270370044</v>
      </c>
      <c r="E107" s="254">
        <f ca="1">IFERROR(VLOOKUP($B107-1,CDM!$L$7:$T$18,2,FALSE)/12,0)+IFERROR(VLOOKUP($B107,CDM!$L$36:$T$46,2,FALSE)/24,0)+IFERROR(VLOOKUP($B107,CDM!$L$36:$T$46,2,FALSE)/2*$C107/78,0)</f>
        <v>2474584.2954912581</v>
      </c>
      <c r="F107" s="254">
        <f ca="1">D107+E107</f>
        <v>39171671.5658613</v>
      </c>
      <c r="G107" s="255">
        <v>57322</v>
      </c>
      <c r="H107" s="254">
        <v>9823925.9173602089</v>
      </c>
      <c r="I107" s="254">
        <f ca="1">IFERROR(VLOOKUP($B107-1,CDM!$L$7:$T$18,3,FALSE)/12,0)+IFERROR(VLOOKUP($B107,CDM!$L$36:$T$46,3,FALSE)/24,0)+IFERROR(VLOOKUP($B107,CDM!$L$36:$T$46,3,FALSE)/2*$C107/78,0)</f>
        <v>766229.31999662099</v>
      </c>
      <c r="J107" s="254">
        <f ca="1">H107+I107</f>
        <v>10590155.23735683</v>
      </c>
      <c r="K107" s="256">
        <v>4441</v>
      </c>
      <c r="L107" s="4">
        <v>24358423.45844838</v>
      </c>
      <c r="M107" s="257">
        <f ca="1">IFERROR(VLOOKUP($B107-1,CDM!$L$7:$T$18,4,FALSE)/12,0)+IFERROR(VLOOKUP($B107,CDM!$L$36:$T$46,4,FALSE)/24,0)+IFERROR(VLOOKUP($B107,CDM!$L$36:$T$46,4,FALSE)/2*$C107/78,0)</f>
        <v>1080086.3119383631</v>
      </c>
      <c r="N107" s="254">
        <f ca="1">L107+M107</f>
        <v>25438509.770386744</v>
      </c>
      <c r="O107" s="4">
        <v>70078.37</v>
      </c>
      <c r="P107" s="256">
        <v>508</v>
      </c>
      <c r="Q107" s="256">
        <v>5712296.2692309907</v>
      </c>
      <c r="R107" s="256">
        <f ca="1">IFERROR(VLOOKUP($B107-1,CDM!$L$7:$T$18,5,FALSE)/12,0)+IFERROR(VLOOKUP($B107,CDM!$L$36:$T$46,5,FALSE)/24,0)+IFERROR(VLOOKUP($B107,CDM!$L$36:$T$46,5,FALSE)/2*$C107/78,0)</f>
        <v>955226.73170535266</v>
      </c>
      <c r="S107" s="256">
        <f ca="1">Q107+R107</f>
        <v>6667523.0009363433</v>
      </c>
      <c r="T107" s="256">
        <v>13479.599999999999</v>
      </c>
      <c r="U107" s="256">
        <v>18</v>
      </c>
      <c r="V107" s="256">
        <v>2948633.5569325746</v>
      </c>
      <c r="W107" s="256">
        <f ca="1">IFERROR(VLOOKUP($B107-1,CDM!$L$7:$T$18,6,FALSE)/12,0)+IFERROR(VLOOKUP($B107,CDM!$L$36:$T$46,6,FALSE)/24,0)+IFERROR(VLOOKUP($B107,CDM!$L$36:$T$46,6,FALSE)/2*$C107/78,0)</f>
        <v>45398.526167323005</v>
      </c>
      <c r="X107" s="256">
        <f ca="1">V107+W107</f>
        <v>2994032.0830998975</v>
      </c>
      <c r="Y107" s="256">
        <v>8182.44</v>
      </c>
      <c r="Z107" s="256">
        <v>1</v>
      </c>
      <c r="AA107" s="4">
        <v>426672.76080104249</v>
      </c>
      <c r="AB107" s="4">
        <v>1067.3</v>
      </c>
      <c r="AC107" s="256">
        <v>14427</v>
      </c>
      <c r="AD107" s="256">
        <v>2212.1999999999998</v>
      </c>
      <c r="AE107" s="256">
        <v>0</v>
      </c>
      <c r="AF107" s="256">
        <v>19</v>
      </c>
      <c r="AG107" s="4">
        <v>234893</v>
      </c>
      <c r="AH107" s="4">
        <v>259</v>
      </c>
      <c r="AI107" s="28">
        <f>Economic!H109</f>
        <v>865859.6</v>
      </c>
      <c r="AJ107" s="28">
        <f>Economic!I109</f>
        <v>679067</v>
      </c>
      <c r="AK107" s="28">
        <f>Economic!J109</f>
        <v>74531.5</v>
      </c>
      <c r="AL107" s="28">
        <f>Economic!K109</f>
        <v>869576</v>
      </c>
      <c r="AM107" s="28">
        <f>Economic!L109</f>
        <v>686415</v>
      </c>
      <c r="AN107" s="28">
        <f>Economic!M109</f>
        <v>33497</v>
      </c>
      <c r="AO107" s="28">
        <f>Economic!D109</f>
        <v>7949.8</v>
      </c>
      <c r="AP107" s="28">
        <f>Economic!E109</f>
        <v>7947.2</v>
      </c>
      <c r="AQ107" s="28">
        <f>Economic!F109</f>
        <v>223.1</v>
      </c>
      <c r="AR107" s="28">
        <f>Economic!G109</f>
        <v>220.7</v>
      </c>
      <c r="AS107" s="28">
        <f>Economic!N109</f>
        <v>209.5</v>
      </c>
      <c r="AT107" s="28">
        <f>Economic!O109</f>
        <v>203.69999999999982</v>
      </c>
      <c r="AU107" s="28">
        <f>Economic!P109</f>
        <v>-3.0999999999999943</v>
      </c>
      <c r="AV107" s="28">
        <f>Economic!Q109</f>
        <v>-2.8000000000000114</v>
      </c>
      <c r="AW107" s="28">
        <f>Economic!R109</f>
        <v>15397.699999999953</v>
      </c>
      <c r="AX107" s="28">
        <f>Economic!S109</f>
        <v>1875</v>
      </c>
      <c r="AY107" s="7">
        <f>Weather!D107</f>
        <v>11.553225806451612</v>
      </c>
      <c r="AZ107" s="7">
        <f>Weather!E107</f>
        <v>261.85000000000002</v>
      </c>
      <c r="BA107" s="7">
        <f>Weather!F107</f>
        <v>0</v>
      </c>
      <c r="BB107" s="7">
        <f>Weather!G107</f>
        <v>207.15416666666667</v>
      </c>
      <c r="BC107" s="7">
        <f>Weather!H107</f>
        <v>7.3041666666666707</v>
      </c>
      <c r="BD107" s="7">
        <f>Weather!I107</f>
        <v>157.42916666666665</v>
      </c>
      <c r="BE107" s="7">
        <f>Weather!J107</f>
        <v>19.579166666666676</v>
      </c>
      <c r="BF107" s="7">
        <f>Weather!K107</f>
        <v>111.18333333333332</v>
      </c>
      <c r="BG107" s="7">
        <f>Weather!L107</f>
        <v>35.333333333333343</v>
      </c>
      <c r="BH107" s="7">
        <f>Weather!M107</f>
        <v>68.475000000000009</v>
      </c>
      <c r="BI107" s="7">
        <f>Weather!N107</f>
        <v>54.625</v>
      </c>
      <c r="BJ107" s="7">
        <f>Weather!O107</f>
        <v>37.779166666666669</v>
      </c>
      <c r="BK107" s="7">
        <f>Weather!P107</f>
        <v>85.929166666666674</v>
      </c>
      <c r="BL107" s="7">
        <f>Weather!Q107</f>
        <v>17.783333333333335</v>
      </c>
      <c r="BM107" s="7">
        <f>Weather!R107</f>
        <v>127.93333333333337</v>
      </c>
      <c r="BN107" s="1">
        <f t="shared" si="35"/>
        <v>0</v>
      </c>
      <c r="BO107" s="1">
        <f t="shared" si="35"/>
        <v>0</v>
      </c>
      <c r="BP107" s="1">
        <f t="shared" si="35"/>
        <v>0</v>
      </c>
      <c r="BQ107" s="1">
        <f t="shared" si="35"/>
        <v>0</v>
      </c>
      <c r="BR107" s="1">
        <f t="shared" si="35"/>
        <v>0</v>
      </c>
      <c r="BS107" s="1">
        <f t="shared" si="35"/>
        <v>0</v>
      </c>
      <c r="BT107" s="1">
        <f t="shared" si="35"/>
        <v>0</v>
      </c>
      <c r="BU107" s="1">
        <f t="shared" si="35"/>
        <v>0</v>
      </c>
      <c r="BV107" s="1">
        <f t="shared" si="35"/>
        <v>0</v>
      </c>
      <c r="BW107" s="1">
        <f t="shared" si="35"/>
        <v>1</v>
      </c>
      <c r="BX107" s="1">
        <f t="shared" si="35"/>
        <v>0</v>
      </c>
      <c r="BY107" s="1">
        <f t="shared" si="35"/>
        <v>0</v>
      </c>
      <c r="BZ107" s="1">
        <f t="shared" si="35"/>
        <v>0</v>
      </c>
      <c r="CA107" s="1">
        <f t="shared" si="35"/>
        <v>1</v>
      </c>
      <c r="CB107" s="1">
        <f t="shared" si="35"/>
        <v>1</v>
      </c>
      <c r="CC107" s="1">
        <f t="shared" si="23"/>
        <v>106</v>
      </c>
      <c r="CD107" s="1">
        <f t="shared" si="17"/>
        <v>31</v>
      </c>
      <c r="CE107" s="1">
        <v>21</v>
      </c>
      <c r="CF107" s="1">
        <v>0</v>
      </c>
      <c r="CG107" s="1">
        <v>0</v>
      </c>
      <c r="CH107" s="1">
        <v>0.25</v>
      </c>
      <c r="CI107" s="1">
        <v>0</v>
      </c>
      <c r="CJ107" s="1">
        <f t="shared" si="30"/>
        <v>0</v>
      </c>
      <c r="CK107" s="1">
        <f t="shared" si="30"/>
        <v>0</v>
      </c>
      <c r="CL107" s="1">
        <f t="shared" si="30"/>
        <v>0</v>
      </c>
      <c r="CM107" s="1">
        <f t="shared" si="30"/>
        <v>0</v>
      </c>
      <c r="CN107" s="1">
        <f t="shared" si="30"/>
        <v>0</v>
      </c>
      <c r="CO107" s="1">
        <f t="shared" si="30"/>
        <v>0</v>
      </c>
      <c r="CP107" s="1">
        <f t="shared" si="28"/>
        <v>0</v>
      </c>
      <c r="CQ107" s="1">
        <f t="shared" si="28"/>
        <v>0</v>
      </c>
      <c r="CR107" s="1">
        <f t="shared" si="28"/>
        <v>0</v>
      </c>
      <c r="CS107" s="1">
        <f t="shared" si="28"/>
        <v>0</v>
      </c>
      <c r="CT107" s="1">
        <f t="shared" si="28"/>
        <v>0</v>
      </c>
      <c r="CU107" s="1">
        <f t="shared" si="36"/>
        <v>0</v>
      </c>
      <c r="CV107" s="1">
        <f t="shared" si="36"/>
        <v>0</v>
      </c>
      <c r="CW107" s="1">
        <f t="shared" si="36"/>
        <v>0</v>
      </c>
      <c r="CX107" s="1">
        <f t="shared" si="31"/>
        <v>65.462500000000006</v>
      </c>
      <c r="CY107" s="1">
        <f t="shared" si="31"/>
        <v>0</v>
      </c>
      <c r="CZ107" s="1">
        <f t="shared" si="31"/>
        <v>51.788541666666667</v>
      </c>
      <c r="DA107" s="1">
        <f t="shared" si="31"/>
        <v>1.8260416666666677</v>
      </c>
      <c r="DB107" s="1">
        <f t="shared" si="31"/>
        <v>39.357291666666661</v>
      </c>
      <c r="DC107" s="1">
        <f t="shared" si="31"/>
        <v>4.8947916666666691</v>
      </c>
      <c r="DD107" s="1">
        <f t="shared" si="29"/>
        <v>27.795833333333331</v>
      </c>
      <c r="DE107" s="1">
        <f t="shared" si="29"/>
        <v>8.8333333333333357</v>
      </c>
      <c r="DF107" s="1">
        <f t="shared" si="29"/>
        <v>17.118750000000002</v>
      </c>
      <c r="DG107" s="1">
        <f t="shared" si="29"/>
        <v>13.65625</v>
      </c>
      <c r="DH107" s="1">
        <f t="shared" si="29"/>
        <v>9.4447916666666671</v>
      </c>
      <c r="DI107" s="1">
        <f t="shared" si="37"/>
        <v>21.482291666666669</v>
      </c>
      <c r="DJ107" s="1">
        <f t="shared" si="37"/>
        <v>4.4458333333333337</v>
      </c>
      <c r="DK107" s="1">
        <f t="shared" si="37"/>
        <v>31.983333333333341</v>
      </c>
      <c r="DL107" s="24">
        <v>518991.99</v>
      </c>
      <c r="DM107" s="25">
        <v>1098.2</v>
      </c>
      <c r="DN107" s="24"/>
      <c r="DO107" s="25"/>
      <c r="DP107" s="25"/>
      <c r="DQ107" s="25"/>
      <c r="DR107" s="25"/>
      <c r="DS107" s="25"/>
      <c r="DT107" s="25"/>
      <c r="DU107" s="25"/>
      <c r="DV107" s="25"/>
    </row>
    <row r="108" spans="1:126" x14ac:dyDescent="0.25">
      <c r="A108" s="252">
        <v>45231</v>
      </c>
      <c r="B108" s="253">
        <f t="shared" si="18"/>
        <v>2023</v>
      </c>
      <c r="C108" s="253">
        <f t="shared" si="19"/>
        <v>11</v>
      </c>
      <c r="D108" s="254">
        <v>39313957.896769263</v>
      </c>
      <c r="E108" s="254">
        <f ca="1">IFERROR(VLOOKUP($B108-1,CDM!$L$7:$T$18,2,FALSE)/12,0)+IFERROR(VLOOKUP($B108,CDM!$L$36:$T$46,2,FALSE)/24,0)+IFERROR(VLOOKUP($B108,CDM!$L$36:$T$46,2,FALSE)/2*$C108/78,0)</f>
        <v>2475566.0863736169</v>
      </c>
      <c r="F108" s="254">
        <f ca="1">D108+E108</f>
        <v>41789523.983142883</v>
      </c>
      <c r="G108" s="255">
        <v>57313</v>
      </c>
      <c r="H108" s="254">
        <v>10357796.1952377</v>
      </c>
      <c r="I108" s="254">
        <f ca="1">IFERROR(VLOOKUP($B108-1,CDM!$L$7:$T$18,3,FALSE)/12,0)+IFERROR(VLOOKUP($B108,CDM!$L$36:$T$46,3,FALSE)/24,0)+IFERROR(VLOOKUP($B108,CDM!$L$36:$T$46,3,FALSE)/2*$C108/78,0)</f>
        <v>772235.01801301737</v>
      </c>
      <c r="J108" s="254">
        <f ca="1">H108+I108</f>
        <v>11130031.213250717</v>
      </c>
      <c r="K108" s="256">
        <v>4460</v>
      </c>
      <c r="L108" s="4">
        <v>26551618.715326767</v>
      </c>
      <c r="M108" s="257">
        <f ca="1">IFERROR(VLOOKUP($B108-1,CDM!$L$7:$T$18,4,FALSE)/12,0)+IFERROR(VLOOKUP($B108,CDM!$L$36:$T$46,4,FALSE)/24,0)+IFERROR(VLOOKUP($B108,CDM!$L$36:$T$46,4,FALSE)/2*$C108/78,0)</f>
        <v>1091598.9052983525</v>
      </c>
      <c r="N108" s="254">
        <f ca="1">L108+M108</f>
        <v>27643217.62062512</v>
      </c>
      <c r="O108" s="4">
        <v>69659.73</v>
      </c>
      <c r="P108" s="256">
        <v>507</v>
      </c>
      <c r="Q108" s="256">
        <v>6528080.753760987</v>
      </c>
      <c r="R108" s="256">
        <f ca="1">IFERROR(VLOOKUP($B108-1,CDM!$L$7:$T$18,5,FALSE)/12,0)+IFERROR(VLOOKUP($B108,CDM!$L$36:$T$46,5,FALSE)/24,0)+IFERROR(VLOOKUP($B108,CDM!$L$36:$T$46,5,FALSE)/2*$C108/78,0)</f>
        <v>958725.14151245053</v>
      </c>
      <c r="S108" s="256">
        <f ca="1">Q108+R108</f>
        <v>7486805.8952734377</v>
      </c>
      <c r="T108" s="256">
        <v>15609.00288</v>
      </c>
      <c r="U108" s="256">
        <v>18</v>
      </c>
      <c r="V108" s="256">
        <v>3365865.081233291</v>
      </c>
      <c r="W108" s="256">
        <f ca="1">IFERROR(VLOOKUP($B108-1,CDM!$L$7:$T$18,6,FALSE)/12,0)+IFERROR(VLOOKUP($B108,CDM!$L$36:$T$46,6,FALSE)/24,0)+IFERROR(VLOOKUP($B108,CDM!$L$36:$T$46,6,FALSE)/2*$C108/78,0)</f>
        <v>46055.283032180581</v>
      </c>
      <c r="X108" s="256">
        <f ca="1">V108+W108</f>
        <v>3411920.3642654717</v>
      </c>
      <c r="Y108" s="256">
        <v>6194.16</v>
      </c>
      <c r="Z108" s="256">
        <v>1</v>
      </c>
      <c r="AA108" s="4">
        <v>452134.30558555777</v>
      </c>
      <c r="AB108" s="4">
        <v>1067.3</v>
      </c>
      <c r="AC108" s="256">
        <v>14427</v>
      </c>
      <c r="AD108" s="256">
        <v>2285.94</v>
      </c>
      <c r="AE108" s="256">
        <v>0</v>
      </c>
      <c r="AF108" s="256">
        <v>19</v>
      </c>
      <c r="AG108" s="4">
        <v>235484</v>
      </c>
      <c r="AH108" s="4">
        <v>259</v>
      </c>
      <c r="AI108" s="28">
        <f>Economic!H110</f>
        <v>865859.6</v>
      </c>
      <c r="AJ108" s="28">
        <f>Economic!I110</f>
        <v>679067</v>
      </c>
      <c r="AK108" s="28">
        <f>Economic!J110</f>
        <v>74531.5</v>
      </c>
      <c r="AL108" s="28">
        <f>Economic!K110</f>
        <v>869576</v>
      </c>
      <c r="AM108" s="28">
        <f>Economic!L110</f>
        <v>686415</v>
      </c>
      <c r="AN108" s="28">
        <f>Economic!M110</f>
        <v>33497</v>
      </c>
      <c r="AO108" s="28">
        <f>Economic!D110</f>
        <v>7953.4</v>
      </c>
      <c r="AP108" s="28">
        <f>Economic!E110</f>
        <v>7939.3</v>
      </c>
      <c r="AQ108" s="28">
        <f>Economic!F110</f>
        <v>224.9</v>
      </c>
      <c r="AR108" s="28">
        <f>Economic!G110</f>
        <v>223.1</v>
      </c>
      <c r="AS108" s="28">
        <f>Economic!N110</f>
        <v>206.19999999999982</v>
      </c>
      <c r="AT108" s="28">
        <f>Economic!O110</f>
        <v>200.40000000000055</v>
      </c>
      <c r="AU108" s="28">
        <f>Economic!P110</f>
        <v>-1</v>
      </c>
      <c r="AV108" s="28">
        <f>Economic!Q110</f>
        <v>-0.70000000000001705</v>
      </c>
      <c r="AW108" s="28">
        <f>Economic!R110</f>
        <v>15397.699999999953</v>
      </c>
      <c r="AX108" s="28">
        <f>Economic!S110</f>
        <v>1875</v>
      </c>
      <c r="AY108" s="7">
        <f>Weather!D108</f>
        <v>2.9802294685990343</v>
      </c>
      <c r="AZ108" s="7">
        <f>Weather!E108</f>
        <v>510.59311594202899</v>
      </c>
      <c r="BA108" s="7">
        <f>Weather!F108</f>
        <v>0</v>
      </c>
      <c r="BB108" s="7">
        <f>Weather!G108</f>
        <v>450.59311594202899</v>
      </c>
      <c r="BC108" s="7">
        <f>Weather!H108</f>
        <v>0</v>
      </c>
      <c r="BD108" s="7">
        <f>Weather!I108</f>
        <v>390.59311594202899</v>
      </c>
      <c r="BE108" s="7">
        <f>Weather!J108</f>
        <v>0</v>
      </c>
      <c r="BF108" s="7">
        <f>Weather!K108</f>
        <v>330.59311594202904</v>
      </c>
      <c r="BG108" s="7">
        <f>Weather!L108</f>
        <v>0</v>
      </c>
      <c r="BH108" s="7">
        <f>Weather!M108</f>
        <v>270.59311594202899</v>
      </c>
      <c r="BI108" s="7">
        <f>Weather!N108</f>
        <v>0</v>
      </c>
      <c r="BJ108" s="7">
        <f>Weather!O108</f>
        <v>210.95561594202897</v>
      </c>
      <c r="BK108" s="7">
        <f>Weather!P108</f>
        <v>0.36249999999999893</v>
      </c>
      <c r="BL108" s="7">
        <f>Weather!Q108</f>
        <v>153.42644927536227</v>
      </c>
      <c r="BM108" s="7">
        <f>Weather!R108</f>
        <v>2.8333333333333304</v>
      </c>
      <c r="BN108" s="1">
        <f t="shared" si="35"/>
        <v>0</v>
      </c>
      <c r="BO108" s="1">
        <f t="shared" si="35"/>
        <v>0</v>
      </c>
      <c r="BP108" s="1">
        <f t="shared" si="35"/>
        <v>0</v>
      </c>
      <c r="BQ108" s="1">
        <f t="shared" si="35"/>
        <v>0</v>
      </c>
      <c r="BR108" s="1">
        <f t="shared" si="35"/>
        <v>0</v>
      </c>
      <c r="BS108" s="1">
        <f t="shared" si="35"/>
        <v>0</v>
      </c>
      <c r="BT108" s="1">
        <f t="shared" si="35"/>
        <v>0</v>
      </c>
      <c r="BU108" s="1">
        <f t="shared" si="35"/>
        <v>0</v>
      </c>
      <c r="BV108" s="1">
        <f t="shared" si="35"/>
        <v>0</v>
      </c>
      <c r="BW108" s="1">
        <f t="shared" si="35"/>
        <v>0</v>
      </c>
      <c r="BX108" s="1">
        <f t="shared" si="35"/>
        <v>1</v>
      </c>
      <c r="BY108" s="1">
        <f t="shared" si="35"/>
        <v>0</v>
      </c>
      <c r="BZ108" s="1">
        <f t="shared" si="35"/>
        <v>0</v>
      </c>
      <c r="CA108" s="1">
        <f t="shared" si="35"/>
        <v>1</v>
      </c>
      <c r="CB108" s="1">
        <f t="shared" si="35"/>
        <v>1</v>
      </c>
      <c r="CC108" s="1">
        <f t="shared" si="23"/>
        <v>107</v>
      </c>
      <c r="CD108" s="1">
        <f t="shared" si="17"/>
        <v>30</v>
      </c>
      <c r="CE108" s="1">
        <v>22</v>
      </c>
      <c r="CF108" s="1">
        <v>0</v>
      </c>
      <c r="CG108" s="1">
        <v>0</v>
      </c>
      <c r="CH108" s="1">
        <v>0.25</v>
      </c>
      <c r="CI108" s="1">
        <v>0</v>
      </c>
      <c r="CJ108" s="1">
        <f t="shared" si="30"/>
        <v>0</v>
      </c>
      <c r="CK108" s="1">
        <f t="shared" si="30"/>
        <v>0</v>
      </c>
      <c r="CL108" s="1">
        <f t="shared" si="30"/>
        <v>0</v>
      </c>
      <c r="CM108" s="1">
        <f t="shared" ref="CM108:CO115" si="38">$CG108*BC108</f>
        <v>0</v>
      </c>
      <c r="CN108" s="1">
        <f t="shared" si="38"/>
        <v>0</v>
      </c>
      <c r="CO108" s="1">
        <f t="shared" si="38"/>
        <v>0</v>
      </c>
      <c r="CP108" s="1">
        <f t="shared" si="28"/>
        <v>0</v>
      </c>
      <c r="CQ108" s="1">
        <f t="shared" si="28"/>
        <v>0</v>
      </c>
      <c r="CR108" s="1">
        <f t="shared" si="28"/>
        <v>0</v>
      </c>
      <c r="CS108" s="1">
        <f t="shared" si="28"/>
        <v>0</v>
      </c>
      <c r="CT108" s="1">
        <f t="shared" si="28"/>
        <v>0</v>
      </c>
      <c r="CU108" s="1">
        <f t="shared" si="36"/>
        <v>0</v>
      </c>
      <c r="CV108" s="1">
        <f t="shared" si="36"/>
        <v>0</v>
      </c>
      <c r="CW108" s="1">
        <f t="shared" si="36"/>
        <v>0</v>
      </c>
      <c r="CX108" s="1">
        <f t="shared" si="31"/>
        <v>127.64827898550725</v>
      </c>
      <c r="CY108" s="1">
        <f t="shared" si="31"/>
        <v>0</v>
      </c>
      <c r="CZ108" s="1">
        <f t="shared" si="31"/>
        <v>112.64827898550725</v>
      </c>
      <c r="DA108" s="1">
        <f t="shared" ref="DA108:DC115" si="39">$CH108*BC108</f>
        <v>0</v>
      </c>
      <c r="DB108" s="1">
        <f t="shared" si="39"/>
        <v>97.648278985507247</v>
      </c>
      <c r="DC108" s="1">
        <f t="shared" si="39"/>
        <v>0</v>
      </c>
      <c r="DD108" s="1">
        <f t="shared" si="29"/>
        <v>82.648278985507261</v>
      </c>
      <c r="DE108" s="1">
        <f t="shared" si="29"/>
        <v>0</v>
      </c>
      <c r="DF108" s="1">
        <f t="shared" si="29"/>
        <v>67.648278985507247</v>
      </c>
      <c r="DG108" s="1">
        <f t="shared" si="29"/>
        <v>0</v>
      </c>
      <c r="DH108" s="1">
        <f t="shared" si="29"/>
        <v>52.738903985507243</v>
      </c>
      <c r="DI108" s="1">
        <f t="shared" si="37"/>
        <v>9.0624999999999734E-2</v>
      </c>
      <c r="DJ108" s="1">
        <f t="shared" si="37"/>
        <v>38.356612318840568</v>
      </c>
      <c r="DK108" s="1">
        <f t="shared" si="37"/>
        <v>0.70833333333333259</v>
      </c>
      <c r="DL108" s="24">
        <v>471316.12</v>
      </c>
      <c r="DM108" s="25">
        <v>813</v>
      </c>
      <c r="DN108" s="24"/>
      <c r="DO108" s="25"/>
      <c r="DP108" s="25"/>
      <c r="DQ108" s="25"/>
      <c r="DR108" s="25"/>
      <c r="DS108" s="25"/>
      <c r="DT108" s="25"/>
      <c r="DU108" s="25"/>
      <c r="DV108" s="25"/>
    </row>
    <row r="109" spans="1:126" x14ac:dyDescent="0.25">
      <c r="A109" s="252">
        <v>45261</v>
      </c>
      <c r="B109" s="253">
        <f t="shared" si="18"/>
        <v>2023</v>
      </c>
      <c r="C109" s="253">
        <f t="shared" si="19"/>
        <v>12</v>
      </c>
      <c r="D109" s="254">
        <v>43861123.988152489</v>
      </c>
      <c r="E109" s="254">
        <f ca="1">IFERROR(VLOOKUP($B109-1,CDM!$L$7:$T$18,2,FALSE)/12,0)+IFERROR(VLOOKUP($B109,CDM!$L$36:$T$46,2,FALSE)/24,0)+IFERROR(VLOOKUP($B109,CDM!$L$36:$T$46,2,FALSE)/2*$C109/78,0)</f>
        <v>2476547.8772559762</v>
      </c>
      <c r="F109" s="254">
        <f ca="1">D109+E109</f>
        <v>46337671.865408465</v>
      </c>
      <c r="G109" s="255">
        <v>57315</v>
      </c>
      <c r="H109" s="254">
        <v>11427533.564707631</v>
      </c>
      <c r="I109" s="254">
        <f ca="1">IFERROR(VLOOKUP($B109-1,CDM!$L$7:$T$18,3,FALSE)/12,0)+IFERROR(VLOOKUP($B109,CDM!$L$36:$T$46,3,FALSE)/24,0)+IFERROR(VLOOKUP($B109,CDM!$L$36:$T$46,3,FALSE)/2*$C109/78,0)</f>
        <v>778240.71602941363</v>
      </c>
      <c r="J109" s="254">
        <f ca="1">H109+I109</f>
        <v>12205774.280737044</v>
      </c>
      <c r="K109" s="256">
        <v>4474</v>
      </c>
      <c r="L109" s="256">
        <v>27834535.080934487</v>
      </c>
      <c r="M109" s="257">
        <f ca="1">IFERROR(VLOOKUP($B109-1,CDM!$L$7:$T$18,4,FALSE)/12,0)+IFERROR(VLOOKUP($B109,CDM!$L$36:$T$46,4,FALSE)/24,0)+IFERROR(VLOOKUP($B109,CDM!$L$36:$T$46,4,FALSE)/2*$C109/78,0)</f>
        <v>1103111.4986583421</v>
      </c>
      <c r="N109" s="254">
        <f ca="1">L109+M109</f>
        <v>28937646.579592828</v>
      </c>
      <c r="O109" s="256">
        <v>51478.274067530278</v>
      </c>
      <c r="P109" s="256">
        <v>508</v>
      </c>
      <c r="Q109" s="256">
        <v>5852445.8653241377</v>
      </c>
      <c r="R109" s="256">
        <f ca="1">IFERROR(VLOOKUP($B109-1,CDM!$L$7:$T$18,5,FALSE)/12,0)+IFERROR(VLOOKUP($B109,CDM!$L$36:$T$46,5,FALSE)/24,0)+IFERROR(VLOOKUP($B109,CDM!$L$36:$T$46,5,FALSE)/2*$C109/78,0)</f>
        <v>962223.55131954828</v>
      </c>
      <c r="S109" s="256">
        <f ca="1">Q109+R109</f>
        <v>6814669.4166436857</v>
      </c>
      <c r="T109" s="256">
        <v>14015.099999999999</v>
      </c>
      <c r="U109" s="256">
        <v>18</v>
      </c>
      <c r="V109" s="256">
        <v>3262989.9218887375</v>
      </c>
      <c r="W109" s="256">
        <f ca="1">IFERROR(VLOOKUP($B109-1,CDM!$L$7:$T$18,6,FALSE)/12,0)+IFERROR(VLOOKUP($B109,CDM!$L$36:$T$46,6,FALSE)/24,0)+IFERROR(VLOOKUP($B109,CDM!$L$36:$T$46,6,FALSE)/2*$C109/78,0)</f>
        <v>46712.039897038165</v>
      </c>
      <c r="X109" s="256">
        <f ca="1">V109+W109</f>
        <v>3309701.9617857756</v>
      </c>
      <c r="Y109" s="256">
        <v>6819.12</v>
      </c>
      <c r="Z109" s="256">
        <v>1</v>
      </c>
      <c r="AA109" s="4">
        <v>490490.95686031942</v>
      </c>
      <c r="AB109" s="4">
        <v>1068</v>
      </c>
      <c r="AC109" s="256">
        <v>14445</v>
      </c>
      <c r="AD109" s="256">
        <v>2285.94</v>
      </c>
      <c r="AE109" s="256">
        <v>77</v>
      </c>
      <c r="AF109" s="256">
        <v>19</v>
      </c>
      <c r="AG109" s="4">
        <v>235443</v>
      </c>
      <c r="AH109" s="4">
        <v>259</v>
      </c>
      <c r="AI109" s="28">
        <f>Economic!H111</f>
        <v>865859.6</v>
      </c>
      <c r="AJ109" s="28">
        <f>Economic!I111</f>
        <v>679067</v>
      </c>
      <c r="AK109" s="28">
        <f>Economic!J111</f>
        <v>74531.5</v>
      </c>
      <c r="AL109" s="28">
        <f>Economic!K111</f>
        <v>869576</v>
      </c>
      <c r="AM109" s="28">
        <f>Economic!L111</f>
        <v>686415</v>
      </c>
      <c r="AN109" s="28">
        <f>Economic!M111</f>
        <v>33497</v>
      </c>
      <c r="AO109" s="28">
        <f>Economic!D111</f>
        <v>7938</v>
      </c>
      <c r="AP109" s="28">
        <f>Economic!E111</f>
        <v>7938.2</v>
      </c>
      <c r="AQ109" s="28">
        <f>Economic!F111</f>
        <v>226.3</v>
      </c>
      <c r="AR109" s="28">
        <f>Economic!G111</f>
        <v>226.3</v>
      </c>
      <c r="AS109" s="28">
        <f>Economic!N111</f>
        <v>161.89999999999964</v>
      </c>
      <c r="AT109" s="28">
        <f>Economic!O111</f>
        <v>161</v>
      </c>
      <c r="AU109" s="28">
        <f>Economic!P111</f>
        <v>-1.2999999999999829</v>
      </c>
      <c r="AV109" s="28">
        <f>Economic!Q111</f>
        <v>-0.79999999999998295</v>
      </c>
      <c r="AW109" s="28">
        <f>Economic!R111</f>
        <v>15397.699999999953</v>
      </c>
      <c r="AX109" s="28">
        <f>Economic!S111</f>
        <v>1875</v>
      </c>
      <c r="AY109" s="7">
        <f>Weather!D109</f>
        <v>2.2038978494623653</v>
      </c>
      <c r="AZ109" s="7">
        <f>Weather!E109</f>
        <v>551.67916666666667</v>
      </c>
      <c r="BA109" s="7">
        <f>Weather!F109</f>
        <v>0</v>
      </c>
      <c r="BB109" s="7">
        <f>Weather!G109</f>
        <v>489.67916666666667</v>
      </c>
      <c r="BC109" s="7">
        <f>Weather!H109</f>
        <v>0</v>
      </c>
      <c r="BD109" s="7">
        <f>Weather!I109</f>
        <v>427.67916666666667</v>
      </c>
      <c r="BE109" s="7">
        <f>Weather!J109</f>
        <v>0</v>
      </c>
      <c r="BF109" s="7">
        <f>Weather!K109</f>
        <v>365.67916666666667</v>
      </c>
      <c r="BG109" s="7">
        <f>Weather!L109</f>
        <v>0</v>
      </c>
      <c r="BH109" s="7">
        <f>Weather!M109</f>
        <v>303.67916666666667</v>
      </c>
      <c r="BI109" s="7">
        <f>Weather!N109</f>
        <v>0</v>
      </c>
      <c r="BJ109" s="7">
        <f>Weather!O109</f>
        <v>241.67916666666659</v>
      </c>
      <c r="BK109" s="7">
        <f>Weather!P109</f>
        <v>0</v>
      </c>
      <c r="BL109" s="7">
        <f>Weather!Q109</f>
        <v>180.36666666666662</v>
      </c>
      <c r="BM109" s="7">
        <f>Weather!R109</f>
        <v>0.68750000000000178</v>
      </c>
      <c r="BN109" s="1">
        <f t="shared" si="35"/>
        <v>0</v>
      </c>
      <c r="BO109" s="1">
        <f t="shared" si="35"/>
        <v>0</v>
      </c>
      <c r="BP109" s="1">
        <f t="shared" si="35"/>
        <v>0</v>
      </c>
      <c r="BQ109" s="1">
        <f t="shared" si="35"/>
        <v>0</v>
      </c>
      <c r="BR109" s="1">
        <f t="shared" si="35"/>
        <v>0</v>
      </c>
      <c r="BS109" s="1">
        <f t="shared" si="35"/>
        <v>0</v>
      </c>
      <c r="BT109" s="1">
        <f t="shared" si="35"/>
        <v>0</v>
      </c>
      <c r="BU109" s="1">
        <f t="shared" si="35"/>
        <v>0</v>
      </c>
      <c r="BV109" s="1">
        <f t="shared" si="35"/>
        <v>0</v>
      </c>
      <c r="BW109" s="1">
        <f t="shared" si="35"/>
        <v>0</v>
      </c>
      <c r="BX109" s="1">
        <f t="shared" si="35"/>
        <v>0</v>
      </c>
      <c r="BY109" s="1">
        <f t="shared" si="35"/>
        <v>1</v>
      </c>
      <c r="BZ109" s="1">
        <f t="shared" si="35"/>
        <v>0</v>
      </c>
      <c r="CA109" s="1">
        <f t="shared" si="35"/>
        <v>0</v>
      </c>
      <c r="CB109" s="1">
        <f t="shared" si="35"/>
        <v>0</v>
      </c>
      <c r="CC109" s="1">
        <f t="shared" si="23"/>
        <v>108</v>
      </c>
      <c r="CD109" s="1">
        <f t="shared" si="17"/>
        <v>31</v>
      </c>
      <c r="CE109" s="1">
        <v>19</v>
      </c>
      <c r="CF109" s="1">
        <v>0</v>
      </c>
      <c r="CG109" s="1">
        <v>0</v>
      </c>
      <c r="CH109" s="1">
        <v>0.25</v>
      </c>
      <c r="CI109" s="1">
        <v>0</v>
      </c>
      <c r="CJ109" s="1">
        <f t="shared" ref="CJ109:CL115" si="40">$CG109*AZ109</f>
        <v>0</v>
      </c>
      <c r="CK109" s="1">
        <f t="shared" si="40"/>
        <v>0</v>
      </c>
      <c r="CL109" s="1">
        <f t="shared" si="40"/>
        <v>0</v>
      </c>
      <c r="CM109" s="1">
        <f t="shared" si="38"/>
        <v>0</v>
      </c>
      <c r="CN109" s="1">
        <f t="shared" si="38"/>
        <v>0</v>
      </c>
      <c r="CO109" s="1">
        <f t="shared" si="38"/>
        <v>0</v>
      </c>
      <c r="CP109" s="1">
        <f t="shared" si="28"/>
        <v>0</v>
      </c>
      <c r="CQ109" s="1">
        <f t="shared" si="28"/>
        <v>0</v>
      </c>
      <c r="CR109" s="1">
        <f t="shared" si="28"/>
        <v>0</v>
      </c>
      <c r="CS109" s="1">
        <f t="shared" si="28"/>
        <v>0</v>
      </c>
      <c r="CT109" s="1">
        <f t="shared" si="28"/>
        <v>0</v>
      </c>
      <c r="CU109" s="1">
        <f t="shared" si="36"/>
        <v>0</v>
      </c>
      <c r="CV109" s="1">
        <f t="shared" si="36"/>
        <v>0</v>
      </c>
      <c r="CW109" s="1">
        <f t="shared" si="36"/>
        <v>0</v>
      </c>
      <c r="CX109" s="1">
        <f t="shared" ref="CX109:CZ115" si="41">$CH109*AZ109</f>
        <v>137.91979166666667</v>
      </c>
      <c r="CY109" s="1">
        <f t="shared" si="41"/>
        <v>0</v>
      </c>
      <c r="CZ109" s="1">
        <f t="shared" si="41"/>
        <v>122.41979166666667</v>
      </c>
      <c r="DA109" s="1">
        <f t="shared" si="39"/>
        <v>0</v>
      </c>
      <c r="DB109" s="1">
        <f t="shared" si="39"/>
        <v>106.91979166666667</v>
      </c>
      <c r="DC109" s="1">
        <f t="shared" si="39"/>
        <v>0</v>
      </c>
      <c r="DD109" s="1">
        <f t="shared" si="29"/>
        <v>91.419791666666669</v>
      </c>
      <c r="DE109" s="1">
        <f t="shared" si="29"/>
        <v>0</v>
      </c>
      <c r="DF109" s="1">
        <f t="shared" si="29"/>
        <v>75.919791666666669</v>
      </c>
      <c r="DG109" s="1">
        <f t="shared" si="29"/>
        <v>0</v>
      </c>
      <c r="DH109" s="1">
        <f t="shared" si="29"/>
        <v>60.419791666666647</v>
      </c>
      <c r="DI109" s="1">
        <f t="shared" si="37"/>
        <v>0</v>
      </c>
      <c r="DJ109" s="1">
        <f t="shared" si="37"/>
        <v>45.091666666666654</v>
      </c>
      <c r="DK109" s="1">
        <f t="shared" si="37"/>
        <v>0.17187500000000044</v>
      </c>
      <c r="DL109" s="24">
        <v>494528.17</v>
      </c>
      <c r="DM109" s="25">
        <v>809.45</v>
      </c>
      <c r="DN109" s="24"/>
      <c r="DO109" s="25"/>
      <c r="DP109" s="25"/>
      <c r="DQ109" s="25"/>
      <c r="DR109" s="25"/>
      <c r="DS109" s="25"/>
      <c r="DT109" s="25"/>
      <c r="DU109" s="25"/>
      <c r="DV109" s="25"/>
    </row>
    <row r="110" spans="1:126" x14ac:dyDescent="0.25">
      <c r="A110" s="252">
        <v>45292</v>
      </c>
      <c r="B110" s="253">
        <f t="shared" si="18"/>
        <v>2024</v>
      </c>
      <c r="C110" s="253">
        <f t="shared" si="19"/>
        <v>1</v>
      </c>
      <c r="D110" s="254">
        <v>46951979.487224318</v>
      </c>
      <c r="E110" s="254">
        <f ca="1">IFERROR(VLOOKUP($B110-1,CDM!$L$7:$T$18,2,FALSE)/12,0)+IFERROR(VLOOKUP($B110,CDM!$L$36:$T$46,2,FALSE)/24,0)+IFERROR(VLOOKUP($B110,CDM!$L$36:$T$46,2,FALSE)/2*$C110/78,0)</f>
        <v>2524679.5516971932</v>
      </c>
      <c r="F110" s="254">
        <f ca="1">D110+E110</f>
        <v>49476659.038921513</v>
      </c>
      <c r="G110" s="255">
        <v>57575</v>
      </c>
      <c r="H110" s="254">
        <v>12219612.588192796</v>
      </c>
      <c r="I110" s="254">
        <f ca="1">IFERROR(VLOOKUP($B110-1,CDM!$L$7:$T$18,3,FALSE)/12,0)+IFERROR(VLOOKUP($B110,CDM!$L$36:$T$46,3,FALSE)/24,0)+IFERROR(VLOOKUP($B110,CDM!$L$36:$T$46,3,FALSE)/2*$C110/78,0)</f>
        <v>795022.55977982108</v>
      </c>
      <c r="J110" s="254">
        <f ca="1">H110+I110</f>
        <v>13014635.147972617</v>
      </c>
      <c r="K110" s="256">
        <v>4429</v>
      </c>
      <c r="L110" s="254">
        <v>31639692.667157065</v>
      </c>
      <c r="M110" s="257">
        <f ca="1">IFERROR(VLOOKUP($B110-1,CDM!$L$7:$T$18,4,FALSE)/12,0)+IFERROR(VLOOKUP($B110,CDM!$L$36:$T$46,4,FALSE)/24,0)+IFERROR(VLOOKUP($B110,CDM!$L$36:$T$46,4,FALSE)/2*$C110/78,0)</f>
        <v>1122379.2167100292</v>
      </c>
      <c r="N110" s="254">
        <f ca="1">L110+M110</f>
        <v>32762071.883867092</v>
      </c>
      <c r="O110" s="254">
        <v>57173.439567982161</v>
      </c>
      <c r="P110" s="256">
        <v>512</v>
      </c>
      <c r="Q110" s="254">
        <v>6520661</v>
      </c>
      <c r="R110" s="256">
        <f ca="1">IFERROR(VLOOKUP($B110-1,CDM!$L$7:$T$18,5,FALSE)/12,0)+IFERROR(VLOOKUP($B110,CDM!$L$36:$T$46,5,FALSE)/24,0)+IFERROR(VLOOKUP($B110,CDM!$L$36:$T$46,5,FALSE)/2*$C110/78,0)</f>
        <v>1006944.8341107568</v>
      </c>
      <c r="S110" s="256">
        <f ca="1">Q110+R110</f>
        <v>7527605.8341107564</v>
      </c>
      <c r="T110" s="254">
        <v>15059.48211132401</v>
      </c>
      <c r="U110" s="256">
        <v>17</v>
      </c>
      <c r="V110" s="254">
        <v>3490906.9121080958</v>
      </c>
      <c r="W110" s="256">
        <f ca="1">IFERROR(VLOOKUP($B110-1,CDM!$L$7:$T$18,6,FALSE)/12,0)+IFERROR(VLOOKUP($B110,CDM!$L$36:$T$46,6,FALSE)/24,0)+IFERROR(VLOOKUP($B110,CDM!$L$36:$T$46,6,FALSE)/2*$C110/78,0)</f>
        <v>50040.773769055704</v>
      </c>
      <c r="X110" s="256">
        <f ca="1">V110+W110</f>
        <v>3540947.6858771513</v>
      </c>
      <c r="Y110" s="254">
        <v>7267.8620933717448</v>
      </c>
      <c r="Z110" s="256">
        <v>1</v>
      </c>
      <c r="AA110" s="254">
        <v>493761.98244870716</v>
      </c>
      <c r="AB110" s="4">
        <v>1068</v>
      </c>
      <c r="AC110" s="256">
        <v>14445</v>
      </c>
      <c r="AD110" s="254">
        <v>1835.3986611233436</v>
      </c>
      <c r="AE110" s="254">
        <v>0</v>
      </c>
      <c r="AF110" s="256">
        <v>19</v>
      </c>
      <c r="AG110" s="254">
        <v>236897.66221406587</v>
      </c>
      <c r="AH110" s="4">
        <v>259</v>
      </c>
      <c r="AI110" s="28">
        <f>Economic!H112</f>
        <v>878414.56419999991</v>
      </c>
      <c r="AJ110" s="28">
        <f>Economic!I112</f>
        <v>688913.47149999999</v>
      </c>
      <c r="AK110" s="28">
        <f>Economic!J112</f>
        <v>75612.206749999998</v>
      </c>
      <c r="AL110" s="28">
        <f>Economic!K112</f>
        <v>874402</v>
      </c>
      <c r="AM110" s="28">
        <f>Economic!L112</f>
        <v>691697</v>
      </c>
      <c r="AN110" s="28">
        <f>Economic!M112</f>
        <v>33806</v>
      </c>
      <c r="AO110" s="28">
        <f>Economic!D112</f>
        <v>7934.2</v>
      </c>
      <c r="AP110" s="28">
        <f>Economic!E112</f>
        <v>7904.9</v>
      </c>
      <c r="AQ110" s="28">
        <f>Economic!F112</f>
        <v>228.3</v>
      </c>
      <c r="AR110" s="28">
        <f>Economic!G112</f>
        <v>229.2</v>
      </c>
      <c r="AS110" s="28">
        <f>Economic!N112</f>
        <v>127.19999999999982</v>
      </c>
      <c r="AT110" s="28">
        <f>Economic!O112</f>
        <v>128.29999999999927</v>
      </c>
      <c r="AU110" s="28">
        <f>Economic!P112</f>
        <v>-0.59999999999999432</v>
      </c>
      <c r="AV110" s="28">
        <f>Economic!Q112</f>
        <v>0</v>
      </c>
      <c r="AW110" s="28">
        <f>Economic!R112</f>
        <v>12554.964199999929</v>
      </c>
      <c r="AX110" s="28">
        <f>Economic!S112</f>
        <v>4826</v>
      </c>
      <c r="AY110" s="7">
        <f>Weather!D110</f>
        <v>-2.5482526881720431</v>
      </c>
      <c r="AZ110" s="7">
        <f>Weather!E110</f>
        <v>698.99583333333328</v>
      </c>
      <c r="BA110" s="7">
        <f>Weather!F110</f>
        <v>0</v>
      </c>
      <c r="BB110" s="7">
        <f>Weather!G110</f>
        <v>636.99583333333339</v>
      </c>
      <c r="BC110" s="7">
        <f>Weather!H110</f>
        <v>0</v>
      </c>
      <c r="BD110" s="7">
        <f>Weather!I110</f>
        <v>574.99583333333339</v>
      </c>
      <c r="BE110" s="7">
        <f>Weather!J110</f>
        <v>0</v>
      </c>
      <c r="BF110" s="7">
        <f>Weather!K110</f>
        <v>512.99583333333328</v>
      </c>
      <c r="BG110" s="7">
        <f>Weather!L110</f>
        <v>0</v>
      </c>
      <c r="BH110" s="7">
        <f>Weather!M110</f>
        <v>450.99583333333322</v>
      </c>
      <c r="BI110" s="7">
        <f>Weather!N110</f>
        <v>0</v>
      </c>
      <c r="BJ110" s="7">
        <f>Weather!O110</f>
        <v>388.99583333333317</v>
      </c>
      <c r="BK110" s="7">
        <f>Weather!P110</f>
        <v>0</v>
      </c>
      <c r="BL110" s="7">
        <f>Weather!Q110</f>
        <v>326.99583333333317</v>
      </c>
      <c r="BM110" s="7">
        <f>Weather!R110</f>
        <v>0</v>
      </c>
      <c r="BN110" s="1">
        <f t="shared" si="35"/>
        <v>1</v>
      </c>
      <c r="BO110" s="1">
        <f t="shared" si="35"/>
        <v>0</v>
      </c>
      <c r="BP110" s="1">
        <f t="shared" si="35"/>
        <v>0</v>
      </c>
      <c r="BQ110" s="1">
        <f t="shared" si="35"/>
        <v>0</v>
      </c>
      <c r="BR110" s="1">
        <f t="shared" si="35"/>
        <v>0</v>
      </c>
      <c r="BS110" s="1">
        <f t="shared" si="35"/>
        <v>0</v>
      </c>
      <c r="BT110" s="1">
        <f t="shared" si="35"/>
        <v>0</v>
      </c>
      <c r="BU110" s="1">
        <f t="shared" si="35"/>
        <v>0</v>
      </c>
      <c r="BV110" s="1">
        <f t="shared" si="35"/>
        <v>0</v>
      </c>
      <c r="BW110" s="1">
        <f t="shared" si="35"/>
        <v>0</v>
      </c>
      <c r="BX110" s="1">
        <f t="shared" si="35"/>
        <v>0</v>
      </c>
      <c r="BY110" s="1">
        <f t="shared" si="35"/>
        <v>0</v>
      </c>
      <c r="BZ110" s="1">
        <f t="shared" si="35"/>
        <v>0</v>
      </c>
      <c r="CA110" s="1">
        <f t="shared" si="35"/>
        <v>0</v>
      </c>
      <c r="CB110" s="1">
        <f t="shared" si="35"/>
        <v>0</v>
      </c>
      <c r="CC110" s="1">
        <f t="shared" si="23"/>
        <v>109</v>
      </c>
      <c r="CD110" s="1">
        <f t="shared" si="17"/>
        <v>31</v>
      </c>
      <c r="CE110" s="1">
        <v>22</v>
      </c>
      <c r="CF110" s="1">
        <v>0</v>
      </c>
      <c r="CG110" s="1">
        <v>0</v>
      </c>
      <c r="CH110" s="1">
        <v>0.25</v>
      </c>
      <c r="CI110" s="1">
        <v>0</v>
      </c>
      <c r="CJ110" s="1">
        <f t="shared" si="40"/>
        <v>0</v>
      </c>
      <c r="CK110" s="1">
        <f t="shared" si="40"/>
        <v>0</v>
      </c>
      <c r="CL110" s="1">
        <f t="shared" si="40"/>
        <v>0</v>
      </c>
      <c r="CM110" s="1">
        <f t="shared" si="38"/>
        <v>0</v>
      </c>
      <c r="CN110" s="1">
        <f t="shared" si="38"/>
        <v>0</v>
      </c>
      <c r="CO110" s="1">
        <f t="shared" si="38"/>
        <v>0</v>
      </c>
      <c r="CP110" s="1">
        <f t="shared" si="28"/>
        <v>0</v>
      </c>
      <c r="CQ110" s="1">
        <f t="shared" si="28"/>
        <v>0</v>
      </c>
      <c r="CR110" s="1">
        <f t="shared" si="28"/>
        <v>0</v>
      </c>
      <c r="CS110" s="1">
        <f t="shared" si="28"/>
        <v>0</v>
      </c>
      <c r="CT110" s="1">
        <f t="shared" si="28"/>
        <v>0</v>
      </c>
      <c r="CU110" s="1">
        <f t="shared" si="36"/>
        <v>0</v>
      </c>
      <c r="CV110" s="1">
        <f t="shared" si="36"/>
        <v>0</v>
      </c>
      <c r="CW110" s="1">
        <f t="shared" si="36"/>
        <v>0</v>
      </c>
      <c r="CX110" s="1">
        <f t="shared" si="41"/>
        <v>174.74895833333332</v>
      </c>
      <c r="CY110" s="1">
        <f t="shared" si="41"/>
        <v>0</v>
      </c>
      <c r="CZ110" s="1">
        <f t="shared" si="41"/>
        <v>159.24895833333335</v>
      </c>
      <c r="DA110" s="1">
        <f t="shared" si="39"/>
        <v>0</v>
      </c>
      <c r="DB110" s="1">
        <f t="shared" si="39"/>
        <v>143.74895833333335</v>
      </c>
      <c r="DC110" s="1">
        <f t="shared" si="39"/>
        <v>0</v>
      </c>
      <c r="DD110" s="1">
        <f t="shared" si="29"/>
        <v>128.24895833333332</v>
      </c>
      <c r="DE110" s="1">
        <f t="shared" si="29"/>
        <v>0</v>
      </c>
      <c r="DF110" s="1">
        <f t="shared" si="29"/>
        <v>112.74895833333331</v>
      </c>
      <c r="DG110" s="1">
        <f t="shared" si="29"/>
        <v>0</v>
      </c>
      <c r="DH110" s="1">
        <f t="shared" si="29"/>
        <v>97.248958333333292</v>
      </c>
      <c r="DI110" s="1">
        <f t="shared" si="37"/>
        <v>0</v>
      </c>
      <c r="DJ110" s="1">
        <f t="shared" si="37"/>
        <v>81.748958333333292</v>
      </c>
      <c r="DK110" s="1">
        <f t="shared" si="37"/>
        <v>0</v>
      </c>
      <c r="DL110" s="24">
        <v>482108.97</v>
      </c>
      <c r="DM110" s="25">
        <v>796.08999999999992</v>
      </c>
      <c r="DN110" s="24"/>
      <c r="DO110" s="25"/>
      <c r="DP110" s="25"/>
      <c r="DQ110" s="25"/>
      <c r="DR110" s="25"/>
      <c r="DS110" s="25"/>
      <c r="DT110" s="25"/>
      <c r="DU110" s="25"/>
      <c r="DV110" s="25"/>
    </row>
    <row r="111" spans="1:126" x14ac:dyDescent="0.25">
      <c r="A111" s="252">
        <v>45323</v>
      </c>
      <c r="B111" s="253">
        <f t="shared" si="18"/>
        <v>2024</v>
      </c>
      <c r="C111" s="253">
        <f t="shared" si="19"/>
        <v>2</v>
      </c>
      <c r="D111" s="254">
        <v>40694816.657715864</v>
      </c>
      <c r="E111" s="254">
        <f ca="1">IFERROR(VLOOKUP($B111-1,CDM!$L$7:$T$18,2,FALSE)/12,0)+IFERROR(VLOOKUP($B111,CDM!$L$36:$T$46,2,FALSE)/24,0)+IFERROR(VLOOKUP($B111,CDM!$L$36:$T$46,2,FALSE)/2*$C111/78,0)</f>
        <v>2531817.088269752</v>
      </c>
      <c r="F111" s="254">
        <f ca="1">D111+E111</f>
        <v>43226633.74598562</v>
      </c>
      <c r="G111" s="255">
        <v>57563</v>
      </c>
      <c r="H111" s="254">
        <v>11007402.79703689</v>
      </c>
      <c r="I111" s="254">
        <f ca="1">IFERROR(VLOOKUP($B111-1,CDM!$L$7:$T$18,3,FALSE)/12,0)+IFERROR(VLOOKUP($B111,CDM!$L$36:$T$46,3,FALSE)/24,0)+IFERROR(VLOOKUP($B111,CDM!$L$36:$T$46,3,FALSE)/2*$C111/78,0)</f>
        <v>801664.31749189936</v>
      </c>
      <c r="J111" s="254">
        <f ca="1">H111+I111</f>
        <v>11809067.11452879</v>
      </c>
      <c r="K111" s="256">
        <v>4427</v>
      </c>
      <c r="L111" s="254">
        <v>27174850.65953441</v>
      </c>
      <c r="M111" s="257">
        <f ca="1">IFERROR(VLOOKUP($B111-1,CDM!$L$7:$T$18,4,FALSE)/12,0)+IFERROR(VLOOKUP($B111,CDM!$L$36:$T$46,4,FALSE)/24,0)+IFERROR(VLOOKUP($B111,CDM!$L$36:$T$46,4,FALSE)/2*$C111/78,0)</f>
        <v>1133390.8142475795</v>
      </c>
      <c r="N111" s="254">
        <f ca="1">L111+M111</f>
        <v>28308241.473781988</v>
      </c>
      <c r="O111" s="254">
        <v>77301.335777056098</v>
      </c>
      <c r="P111" s="256">
        <v>513</v>
      </c>
      <c r="Q111" s="254">
        <v>5730314</v>
      </c>
      <c r="R111" s="256">
        <f ca="1">IFERROR(VLOOKUP($B111-1,CDM!$L$7:$T$18,5,FALSE)/12,0)+IFERROR(VLOOKUP($B111,CDM!$L$36:$T$46,5,FALSE)/24,0)+IFERROR(VLOOKUP($B111,CDM!$L$36:$T$46,5,FALSE)/2*$C111/78,0)</f>
        <v>1015473.1723414563</v>
      </c>
      <c r="S111" s="256">
        <f ca="1">Q111+R111</f>
        <v>6745787.1723414566</v>
      </c>
      <c r="T111" s="254">
        <v>14074.357097579794</v>
      </c>
      <c r="U111" s="256">
        <v>17</v>
      </c>
      <c r="V111" s="254">
        <v>3323334.9163271203</v>
      </c>
      <c r="W111" s="256">
        <f ca="1">IFERROR(VLOOKUP($B111-1,CDM!$L$7:$T$18,6,FALSE)/12,0)+IFERROR(VLOOKUP($B111,CDM!$L$36:$T$46,6,FALSE)/24,0)+IFERROR(VLOOKUP($B111,CDM!$L$36:$T$46,6,FALSE)/2*$C111/78,0)</f>
        <v>50966.22665288693</v>
      </c>
      <c r="X111" s="256">
        <f ca="1">V111+W111</f>
        <v>3374301.142980007</v>
      </c>
      <c r="Y111" s="254">
        <v>6788.2655077580539</v>
      </c>
      <c r="Z111" s="256">
        <v>1</v>
      </c>
      <c r="AA111" s="254">
        <v>415599.02851988992</v>
      </c>
      <c r="AB111" s="4">
        <v>1067.9000000000001</v>
      </c>
      <c r="AC111" s="256">
        <v>14444</v>
      </c>
      <c r="AD111" s="254">
        <v>1961.9778791318502</v>
      </c>
      <c r="AE111" s="254">
        <v>0</v>
      </c>
      <c r="AF111" s="256">
        <v>19</v>
      </c>
      <c r="AG111" s="254">
        <v>237384.22041145735</v>
      </c>
      <c r="AH111" s="4">
        <v>259</v>
      </c>
      <c r="AI111" s="28">
        <f>Economic!H113</f>
        <v>878414.56419999991</v>
      </c>
      <c r="AJ111" s="28">
        <f>Economic!I113</f>
        <v>688913.47149999999</v>
      </c>
      <c r="AK111" s="28">
        <f>Economic!J113</f>
        <v>75612.206749999998</v>
      </c>
      <c r="AL111" s="28">
        <f>Economic!K113</f>
        <v>874402</v>
      </c>
      <c r="AM111" s="28">
        <f>Economic!L113</f>
        <v>691697</v>
      </c>
      <c r="AN111" s="28">
        <f>Economic!M113</f>
        <v>33806</v>
      </c>
      <c r="AO111" s="28">
        <f>Economic!D113</f>
        <v>7932</v>
      </c>
      <c r="AP111" s="28">
        <f>Economic!E113</f>
        <v>7874.1</v>
      </c>
      <c r="AQ111" s="28">
        <f>Economic!F113</f>
        <v>229.4</v>
      </c>
      <c r="AR111" s="28">
        <f>Economic!G113</f>
        <v>230.1</v>
      </c>
      <c r="AS111" s="28">
        <f>Economic!N113</f>
        <v>91.300000000000182</v>
      </c>
      <c r="AT111" s="28">
        <f>Economic!O113</f>
        <v>93.600000000000364</v>
      </c>
      <c r="AU111" s="28">
        <f>Economic!P113</f>
        <v>-9.9999999999994316E-2</v>
      </c>
      <c r="AV111" s="28">
        <f>Economic!Q113</f>
        <v>0.5</v>
      </c>
      <c r="AW111" s="28">
        <f>Economic!R113</f>
        <v>12554.964199999929</v>
      </c>
      <c r="AX111" s="28">
        <f>Economic!S113</f>
        <v>4826</v>
      </c>
      <c r="AY111" s="7">
        <f>Weather!D111</f>
        <v>-0.72298850574712648</v>
      </c>
      <c r="AZ111" s="7">
        <f>Weather!E111</f>
        <v>600.96666666666647</v>
      </c>
      <c r="BA111" s="7">
        <f>Weather!F111</f>
        <v>0</v>
      </c>
      <c r="BB111" s="7">
        <f>Weather!G111</f>
        <v>542.96666666666658</v>
      </c>
      <c r="BC111" s="7">
        <f>Weather!H111</f>
        <v>0</v>
      </c>
      <c r="BD111" s="7">
        <f>Weather!I111</f>
        <v>484.96666666666658</v>
      </c>
      <c r="BE111" s="7">
        <f>Weather!J111</f>
        <v>0</v>
      </c>
      <c r="BF111" s="7">
        <f>Weather!K111</f>
        <v>426.96666666666664</v>
      </c>
      <c r="BG111" s="7">
        <f>Weather!L111</f>
        <v>0</v>
      </c>
      <c r="BH111" s="7">
        <f>Weather!M111</f>
        <v>368.96666666666664</v>
      </c>
      <c r="BI111" s="7">
        <f>Weather!N111</f>
        <v>0</v>
      </c>
      <c r="BJ111" s="7">
        <f>Weather!O111</f>
        <v>310.9666666666667</v>
      </c>
      <c r="BK111" s="7">
        <f>Weather!P111</f>
        <v>0</v>
      </c>
      <c r="BL111" s="7">
        <f>Weather!Q111</f>
        <v>252.9666666666667</v>
      </c>
      <c r="BM111" s="7">
        <f>Weather!R111</f>
        <v>0</v>
      </c>
      <c r="BN111" s="1">
        <f t="shared" ref="BN111:CB115" si="42">BN99</f>
        <v>0</v>
      </c>
      <c r="BO111" s="1">
        <f t="shared" si="42"/>
        <v>1</v>
      </c>
      <c r="BP111" s="1">
        <f t="shared" si="42"/>
        <v>0</v>
      </c>
      <c r="BQ111" s="1">
        <f t="shared" si="42"/>
        <v>0</v>
      </c>
      <c r="BR111" s="1">
        <f t="shared" si="42"/>
        <v>0</v>
      </c>
      <c r="BS111" s="1">
        <f t="shared" si="42"/>
        <v>0</v>
      </c>
      <c r="BT111" s="1">
        <f t="shared" si="42"/>
        <v>0</v>
      </c>
      <c r="BU111" s="1">
        <f t="shared" si="42"/>
        <v>0</v>
      </c>
      <c r="BV111" s="1">
        <f t="shared" si="42"/>
        <v>0</v>
      </c>
      <c r="BW111" s="1">
        <f t="shared" si="42"/>
        <v>0</v>
      </c>
      <c r="BX111" s="1">
        <f t="shared" si="42"/>
        <v>0</v>
      </c>
      <c r="BY111" s="1">
        <f t="shared" si="42"/>
        <v>0</v>
      </c>
      <c r="BZ111" s="1">
        <f t="shared" si="42"/>
        <v>0</v>
      </c>
      <c r="CA111" s="1">
        <f t="shared" si="42"/>
        <v>0</v>
      </c>
      <c r="CB111" s="1">
        <f t="shared" si="42"/>
        <v>0</v>
      </c>
      <c r="CC111" s="1">
        <f t="shared" si="23"/>
        <v>110</v>
      </c>
      <c r="CD111" s="1">
        <f t="shared" si="17"/>
        <v>29</v>
      </c>
      <c r="CE111" s="1">
        <v>20</v>
      </c>
      <c r="CF111" s="1">
        <v>0</v>
      </c>
      <c r="CG111" s="1">
        <v>0</v>
      </c>
      <c r="CH111" s="1">
        <v>0.25</v>
      </c>
      <c r="CI111" s="1">
        <v>0</v>
      </c>
      <c r="CJ111" s="1">
        <f t="shared" si="40"/>
        <v>0</v>
      </c>
      <c r="CK111" s="1">
        <f t="shared" si="40"/>
        <v>0</v>
      </c>
      <c r="CL111" s="1">
        <f t="shared" si="40"/>
        <v>0</v>
      </c>
      <c r="CM111" s="1">
        <f t="shared" si="38"/>
        <v>0</v>
      </c>
      <c r="CN111" s="1">
        <f t="shared" si="38"/>
        <v>0</v>
      </c>
      <c r="CO111" s="1">
        <f t="shared" si="38"/>
        <v>0</v>
      </c>
      <c r="CP111" s="1">
        <f t="shared" si="28"/>
        <v>0</v>
      </c>
      <c r="CQ111" s="1">
        <f t="shared" si="28"/>
        <v>0</v>
      </c>
      <c r="CR111" s="1">
        <f t="shared" si="28"/>
        <v>0</v>
      </c>
      <c r="CS111" s="1">
        <f t="shared" si="28"/>
        <v>0</v>
      </c>
      <c r="CT111" s="1">
        <f t="shared" si="28"/>
        <v>0</v>
      </c>
      <c r="CU111" s="1">
        <f t="shared" si="36"/>
        <v>0</v>
      </c>
      <c r="CV111" s="1">
        <f t="shared" si="36"/>
        <v>0</v>
      </c>
      <c r="CW111" s="1">
        <f t="shared" si="36"/>
        <v>0</v>
      </c>
      <c r="CX111" s="1">
        <f t="shared" si="41"/>
        <v>150.24166666666662</v>
      </c>
      <c r="CY111" s="1">
        <f t="shared" si="41"/>
        <v>0</v>
      </c>
      <c r="CZ111" s="1">
        <f t="shared" si="41"/>
        <v>135.74166666666665</v>
      </c>
      <c r="DA111" s="1">
        <f t="shared" si="39"/>
        <v>0</v>
      </c>
      <c r="DB111" s="1">
        <f t="shared" si="39"/>
        <v>121.24166666666665</v>
      </c>
      <c r="DC111" s="1">
        <f t="shared" si="39"/>
        <v>0</v>
      </c>
      <c r="DD111" s="1">
        <f t="shared" si="29"/>
        <v>106.74166666666666</v>
      </c>
      <c r="DE111" s="1">
        <f t="shared" si="29"/>
        <v>0</v>
      </c>
      <c r="DF111" s="1">
        <f t="shared" si="29"/>
        <v>92.24166666666666</v>
      </c>
      <c r="DG111" s="1">
        <f t="shared" si="29"/>
        <v>0</v>
      </c>
      <c r="DH111" s="1">
        <f t="shared" si="29"/>
        <v>77.741666666666674</v>
      </c>
      <c r="DI111" s="1">
        <f t="shared" si="37"/>
        <v>0</v>
      </c>
      <c r="DJ111" s="1">
        <f t="shared" si="37"/>
        <v>63.241666666666674</v>
      </c>
      <c r="DK111" s="1">
        <f t="shared" si="37"/>
        <v>0</v>
      </c>
      <c r="DL111" s="24">
        <v>459064.61</v>
      </c>
      <c r="DM111" s="25">
        <v>821.77</v>
      </c>
      <c r="DN111" s="24"/>
      <c r="DO111" s="25"/>
      <c r="DP111" s="25"/>
      <c r="DQ111" s="25"/>
      <c r="DR111" s="25"/>
      <c r="DS111" s="25"/>
      <c r="DT111" s="25"/>
      <c r="DU111" s="25"/>
      <c r="DV111" s="25"/>
    </row>
    <row r="112" spans="1:126" x14ac:dyDescent="0.25">
      <c r="A112" s="252">
        <v>45352</v>
      </c>
      <c r="B112" s="253">
        <f t="shared" si="18"/>
        <v>2024</v>
      </c>
      <c r="C112" s="253">
        <f t="shared" si="19"/>
        <v>3</v>
      </c>
      <c r="D112" s="254">
        <v>42441105.411365725</v>
      </c>
      <c r="E112" s="254">
        <f ca="1">IFERROR(VLOOKUP($B112-1,CDM!$L$7:$T$18,2,FALSE)/12,0)+IFERROR(VLOOKUP($B112,CDM!$L$36:$T$46,2,FALSE)/24,0)+IFERROR(VLOOKUP($B112,CDM!$L$36:$T$46,2,FALSE)/2*$C112/78,0)</f>
        <v>2538954.6248423108</v>
      </c>
      <c r="F112" s="254">
        <f ca="1">D112+E112</f>
        <v>44980060.036208034</v>
      </c>
      <c r="G112" s="255">
        <v>57679</v>
      </c>
      <c r="H112" s="254">
        <v>11038378.082569843</v>
      </c>
      <c r="I112" s="254">
        <f ca="1">IFERROR(VLOOKUP($B112-1,CDM!$L$7:$T$18,3,FALSE)/12,0)+IFERROR(VLOOKUP($B112,CDM!$L$36:$T$46,3,FALSE)/24,0)+IFERROR(VLOOKUP($B112,CDM!$L$36:$T$46,3,FALSE)/2*$C112/78,0)</f>
        <v>808306.07520397776</v>
      </c>
      <c r="J112" s="254">
        <f ca="1">H112+I112</f>
        <v>11846684.157773821</v>
      </c>
      <c r="K112" s="256">
        <v>4431</v>
      </c>
      <c r="L112" s="254">
        <v>26830099.771537125</v>
      </c>
      <c r="M112" s="257">
        <f ca="1">IFERROR(VLOOKUP($B112-1,CDM!$L$7:$T$18,4,FALSE)/12,0)+IFERROR(VLOOKUP($B112,CDM!$L$36:$T$46,4,FALSE)/24,0)+IFERROR(VLOOKUP($B112,CDM!$L$36:$T$46,4,FALSE)/2*$C112/78,0)</f>
        <v>1144402.4117851302</v>
      </c>
      <c r="N112" s="254">
        <f ca="1">L112+M112</f>
        <v>27974502.183322255</v>
      </c>
      <c r="O112" s="254">
        <v>74170.320007357441</v>
      </c>
      <c r="P112" s="256">
        <v>513</v>
      </c>
      <c r="Q112" s="254">
        <v>6020959</v>
      </c>
      <c r="R112" s="256">
        <f ca="1">IFERROR(VLOOKUP($B112-1,CDM!$L$7:$T$18,5,FALSE)/12,0)+IFERROR(VLOOKUP($B112,CDM!$L$36:$T$46,5,FALSE)/24,0)+IFERROR(VLOOKUP($B112,CDM!$L$36:$T$46,5,FALSE)/2*$C112/78,0)</f>
        <v>1024001.5105721558</v>
      </c>
      <c r="S112" s="256">
        <f ca="1">Q112+R112</f>
        <v>7044960.5105721559</v>
      </c>
      <c r="T112" s="254">
        <v>13826.717157099698</v>
      </c>
      <c r="U112" s="256">
        <v>17</v>
      </c>
      <c r="V112" s="254">
        <v>3467586.9126952323</v>
      </c>
      <c r="W112" s="256">
        <f ca="1">IFERROR(VLOOKUP($B112-1,CDM!$L$7:$T$18,6,FALSE)/12,0)+IFERROR(VLOOKUP($B112,CDM!$L$36:$T$46,6,FALSE)/24,0)+IFERROR(VLOOKUP($B112,CDM!$L$36:$T$46,6,FALSE)/2*$C112/78,0)</f>
        <v>51891.679536718162</v>
      </c>
      <c r="X112" s="256">
        <f ca="1">V112+W112</f>
        <v>3519478.5922319503</v>
      </c>
      <c r="Y112" s="254">
        <v>6205.3582741049868</v>
      </c>
      <c r="Z112" s="256">
        <v>1</v>
      </c>
      <c r="AA112" s="254">
        <v>397342.86689566023</v>
      </c>
      <c r="AB112" s="4">
        <v>1067.9000000000001</v>
      </c>
      <c r="AC112" s="256">
        <v>14444</v>
      </c>
      <c r="AD112" s="254">
        <v>1898.6882701275968</v>
      </c>
      <c r="AE112" s="254">
        <v>0</v>
      </c>
      <c r="AF112" s="256">
        <v>19</v>
      </c>
      <c r="AG112" s="254">
        <v>233402.88004785031</v>
      </c>
      <c r="AH112" s="4">
        <v>259</v>
      </c>
      <c r="AI112" s="28">
        <f>Economic!H114</f>
        <v>878414.56419999991</v>
      </c>
      <c r="AJ112" s="28">
        <f>Economic!I114</f>
        <v>688913.47149999999</v>
      </c>
      <c r="AK112" s="28">
        <f>Economic!J114</f>
        <v>75612.206749999998</v>
      </c>
      <c r="AL112" s="28">
        <f>Economic!K114</f>
        <v>874402</v>
      </c>
      <c r="AM112" s="28">
        <f>Economic!L114</f>
        <v>691697</v>
      </c>
      <c r="AN112" s="28">
        <f>Economic!M114</f>
        <v>33806</v>
      </c>
      <c r="AO112" s="28">
        <f>Economic!D114</f>
        <v>7950.9</v>
      </c>
      <c r="AP112" s="28">
        <f>Economic!E114</f>
        <v>7870.9</v>
      </c>
      <c r="AQ112" s="28">
        <f>Economic!F114</f>
        <v>230.9</v>
      </c>
      <c r="AR112" s="28">
        <f>Economic!G114</f>
        <v>230.3</v>
      </c>
      <c r="AS112" s="28">
        <f>Economic!N114</f>
        <v>84.299999999999272</v>
      </c>
      <c r="AT112" s="28">
        <f>Economic!O114</f>
        <v>89.599999999999454</v>
      </c>
      <c r="AU112" s="28">
        <f>Economic!P114</f>
        <v>4.2000000000000171</v>
      </c>
      <c r="AV112" s="28">
        <f>Economic!Q114</f>
        <v>4.5</v>
      </c>
      <c r="AW112" s="28">
        <f>Economic!R114</f>
        <v>12554.964199999929</v>
      </c>
      <c r="AX112" s="28">
        <f>Economic!S114</f>
        <v>4826</v>
      </c>
      <c r="AY112" s="7">
        <f>Weather!D112</f>
        <v>3.1576612903225802</v>
      </c>
      <c r="AZ112" s="7">
        <f>Weather!E112</f>
        <v>522.11249999999995</v>
      </c>
      <c r="BA112" s="7">
        <f>Weather!F112</f>
        <v>0</v>
      </c>
      <c r="BB112" s="7">
        <f>Weather!G112</f>
        <v>460.11250000000001</v>
      </c>
      <c r="BC112" s="7">
        <f>Weather!H112</f>
        <v>0</v>
      </c>
      <c r="BD112" s="7">
        <f>Weather!I112</f>
        <v>398.11250000000001</v>
      </c>
      <c r="BE112" s="7">
        <f>Weather!J112</f>
        <v>0</v>
      </c>
      <c r="BF112" s="7">
        <f>Weather!K112</f>
        <v>336.11249999999995</v>
      </c>
      <c r="BG112" s="7">
        <f>Weather!L112</f>
        <v>0</v>
      </c>
      <c r="BH112" s="7">
        <f>Weather!M112</f>
        <v>274.11250000000001</v>
      </c>
      <c r="BI112" s="7">
        <f>Weather!N112</f>
        <v>0</v>
      </c>
      <c r="BJ112" s="7">
        <f>Weather!O112</f>
        <v>212.11250000000004</v>
      </c>
      <c r="BK112" s="7">
        <f>Weather!P112</f>
        <v>0</v>
      </c>
      <c r="BL112" s="7">
        <f>Weather!Q112</f>
        <v>154.69166666666669</v>
      </c>
      <c r="BM112" s="7">
        <f>Weather!R112</f>
        <v>4.5791666666666657</v>
      </c>
      <c r="BN112" s="1">
        <f t="shared" si="42"/>
        <v>0</v>
      </c>
      <c r="BO112" s="1">
        <f t="shared" si="42"/>
        <v>0</v>
      </c>
      <c r="BP112" s="1">
        <f t="shared" si="42"/>
        <v>1</v>
      </c>
      <c r="BQ112" s="1">
        <f t="shared" si="42"/>
        <v>0</v>
      </c>
      <c r="BR112" s="1">
        <f t="shared" si="42"/>
        <v>0</v>
      </c>
      <c r="BS112" s="1">
        <f t="shared" si="42"/>
        <v>0</v>
      </c>
      <c r="BT112" s="1">
        <f t="shared" si="42"/>
        <v>0</v>
      </c>
      <c r="BU112" s="1">
        <f t="shared" si="42"/>
        <v>0</v>
      </c>
      <c r="BV112" s="1">
        <f t="shared" si="42"/>
        <v>0</v>
      </c>
      <c r="BW112" s="1">
        <f t="shared" si="42"/>
        <v>0</v>
      </c>
      <c r="BX112" s="1">
        <f t="shared" si="42"/>
        <v>0</v>
      </c>
      <c r="BY112" s="1">
        <f t="shared" si="42"/>
        <v>0</v>
      </c>
      <c r="BZ112" s="1">
        <f t="shared" si="42"/>
        <v>1</v>
      </c>
      <c r="CA112" s="1">
        <f t="shared" si="42"/>
        <v>0</v>
      </c>
      <c r="CB112" s="1">
        <f t="shared" si="42"/>
        <v>1</v>
      </c>
      <c r="CC112" s="1">
        <f t="shared" si="23"/>
        <v>111</v>
      </c>
      <c r="CD112" s="1">
        <f t="shared" si="17"/>
        <v>31</v>
      </c>
      <c r="CE112" s="1">
        <v>20</v>
      </c>
      <c r="CF112" s="1">
        <v>0</v>
      </c>
      <c r="CG112" s="1">
        <v>0</v>
      </c>
      <c r="CH112" s="1">
        <v>0.25</v>
      </c>
      <c r="CI112" s="1">
        <v>0</v>
      </c>
      <c r="CJ112" s="1">
        <f t="shared" si="40"/>
        <v>0</v>
      </c>
      <c r="CK112" s="1">
        <f t="shared" si="40"/>
        <v>0</v>
      </c>
      <c r="CL112" s="1">
        <f t="shared" si="40"/>
        <v>0</v>
      </c>
      <c r="CM112" s="1">
        <f t="shared" si="38"/>
        <v>0</v>
      </c>
      <c r="CN112" s="1">
        <f t="shared" si="38"/>
        <v>0</v>
      </c>
      <c r="CO112" s="1">
        <f t="shared" si="38"/>
        <v>0</v>
      </c>
      <c r="CP112" s="1">
        <f t="shared" si="28"/>
        <v>0</v>
      </c>
      <c r="CQ112" s="1">
        <f t="shared" si="28"/>
        <v>0</v>
      </c>
      <c r="CR112" s="1">
        <f t="shared" si="28"/>
        <v>0</v>
      </c>
      <c r="CS112" s="1">
        <f t="shared" si="28"/>
        <v>0</v>
      </c>
      <c r="CT112" s="1">
        <f t="shared" si="28"/>
        <v>0</v>
      </c>
      <c r="CU112" s="1">
        <f t="shared" si="36"/>
        <v>0</v>
      </c>
      <c r="CV112" s="1">
        <f t="shared" si="36"/>
        <v>0</v>
      </c>
      <c r="CW112" s="1">
        <f t="shared" si="36"/>
        <v>0</v>
      </c>
      <c r="CX112" s="1">
        <f t="shared" si="41"/>
        <v>130.52812499999999</v>
      </c>
      <c r="CY112" s="1">
        <f t="shared" si="41"/>
        <v>0</v>
      </c>
      <c r="CZ112" s="1">
        <f t="shared" si="41"/>
        <v>115.028125</v>
      </c>
      <c r="DA112" s="1">
        <f t="shared" si="39"/>
        <v>0</v>
      </c>
      <c r="DB112" s="1">
        <f t="shared" si="39"/>
        <v>99.528125000000003</v>
      </c>
      <c r="DC112" s="1">
        <f t="shared" si="39"/>
        <v>0</v>
      </c>
      <c r="DD112" s="1">
        <f t="shared" si="29"/>
        <v>84.028124999999989</v>
      </c>
      <c r="DE112" s="1">
        <f t="shared" si="29"/>
        <v>0</v>
      </c>
      <c r="DF112" s="1">
        <f t="shared" si="29"/>
        <v>68.528125000000003</v>
      </c>
      <c r="DG112" s="1">
        <f t="shared" si="29"/>
        <v>0</v>
      </c>
      <c r="DH112" s="1">
        <f t="shared" si="29"/>
        <v>53.02812500000001</v>
      </c>
      <c r="DI112" s="1">
        <f t="shared" si="37"/>
        <v>0</v>
      </c>
      <c r="DJ112" s="1">
        <f t="shared" si="37"/>
        <v>38.672916666666673</v>
      </c>
      <c r="DK112" s="1">
        <f t="shared" si="37"/>
        <v>1.1447916666666664</v>
      </c>
      <c r="DL112" s="24">
        <v>504434.19999999995</v>
      </c>
      <c r="DM112" s="25">
        <v>918.27</v>
      </c>
      <c r="DN112" s="24"/>
      <c r="DO112" s="25"/>
      <c r="DP112" s="25"/>
      <c r="DQ112" s="25"/>
      <c r="DR112" s="25"/>
      <c r="DS112" s="25"/>
      <c r="DT112" s="25"/>
      <c r="DU112" s="25"/>
      <c r="DV112" s="25"/>
    </row>
    <row r="113" spans="1:126" x14ac:dyDescent="0.25">
      <c r="A113" s="252">
        <v>45383</v>
      </c>
      <c r="B113" s="253">
        <f t="shared" si="18"/>
        <v>2024</v>
      </c>
      <c r="C113" s="253">
        <f t="shared" si="19"/>
        <v>4</v>
      </c>
      <c r="D113" s="254">
        <v>38430536.341795392</v>
      </c>
      <c r="E113" s="254">
        <f ca="1">IFERROR(VLOOKUP($B113-1,CDM!$L$7:$T$18,2,FALSE)/12,0)+IFERROR(VLOOKUP($B113,CDM!$L$36:$T$46,2,FALSE)/24,0)+IFERROR(VLOOKUP($B113,CDM!$L$36:$T$46,2,FALSE)/2*$C113/78,0)</f>
        <v>2546092.1614148701</v>
      </c>
      <c r="F113" s="254">
        <f ca="1">D113+E113</f>
        <v>40976628.503210261</v>
      </c>
      <c r="G113" s="255">
        <v>57801</v>
      </c>
      <c r="H113" s="254">
        <v>9995281.3656704258</v>
      </c>
      <c r="I113" s="254">
        <f ca="1">IFERROR(VLOOKUP($B113-1,CDM!$L$7:$T$18,3,FALSE)/12,0)+IFERROR(VLOOKUP($B113,CDM!$L$36:$T$46,3,FALSE)/24,0)+IFERROR(VLOOKUP($B113,CDM!$L$36:$T$46,3,FALSE)/2*$C113/78,0)</f>
        <v>814947.83291605604</v>
      </c>
      <c r="J113" s="254">
        <f ca="1">H113+I113</f>
        <v>10810229.198586483</v>
      </c>
      <c r="K113" s="256">
        <v>4433</v>
      </c>
      <c r="L113" s="254">
        <v>22725483.683347423</v>
      </c>
      <c r="M113" s="257">
        <f ca="1">IFERROR(VLOOKUP($B113-1,CDM!$L$7:$T$18,4,FALSE)/12,0)+IFERROR(VLOOKUP($B113,CDM!$L$36:$T$46,4,FALSE)/24,0)+IFERROR(VLOOKUP($B113,CDM!$L$36:$T$46,4,FALSE)/2*$C113/78,0)</f>
        <v>1155414.0093226808</v>
      </c>
      <c r="N113" s="254">
        <f ca="1">L113+M113</f>
        <v>23880897.692670103</v>
      </c>
      <c r="O113" s="254">
        <v>51241.95376039682</v>
      </c>
      <c r="P113" s="256">
        <v>514</v>
      </c>
      <c r="Q113" s="254">
        <v>6368764</v>
      </c>
      <c r="R113" s="256">
        <f ca="1">IFERROR(VLOOKUP($B113-1,CDM!$L$7:$T$18,5,FALSE)/12,0)+IFERROR(VLOOKUP($B113,CDM!$L$36:$T$46,5,FALSE)/24,0)+IFERROR(VLOOKUP($B113,CDM!$L$36:$T$46,5,FALSE)/2*$C113/78,0)</f>
        <v>1032529.8488028552</v>
      </c>
      <c r="S113" s="256">
        <f ca="1">Q113+R113</f>
        <v>7401293.8488028552</v>
      </c>
      <c r="T113" s="254">
        <v>14786.821820749861</v>
      </c>
      <c r="U113" s="256">
        <v>17</v>
      </c>
      <c r="V113" s="254">
        <v>3191122.9196558725</v>
      </c>
      <c r="W113" s="256">
        <f ca="1">IFERROR(VLOOKUP($B113-1,CDM!$L$7:$T$18,6,FALSE)/12,0)+IFERROR(VLOOKUP($B113,CDM!$L$36:$T$46,6,FALSE)/24,0)+IFERROR(VLOOKUP($B113,CDM!$L$36:$T$46,6,FALSE)/2*$C113/78,0)</f>
        <v>52817.132420549387</v>
      </c>
      <c r="X113" s="256">
        <f ca="1">V113+W113</f>
        <v>3243940.0520764217</v>
      </c>
      <c r="Y113" s="254">
        <v>6704.2731109780725</v>
      </c>
      <c r="Z113" s="256">
        <v>1</v>
      </c>
      <c r="AA113" s="254">
        <v>331405.49479449139</v>
      </c>
      <c r="AB113" s="4">
        <v>1068</v>
      </c>
      <c r="AC113" s="256">
        <v>14444</v>
      </c>
      <c r="AD113" s="254">
        <v>1961.9778791318502</v>
      </c>
      <c r="AE113" s="254">
        <v>0</v>
      </c>
      <c r="AF113" s="256">
        <v>19</v>
      </c>
      <c r="AG113" s="254">
        <v>241182.97604944531</v>
      </c>
      <c r="AH113" s="4">
        <v>259</v>
      </c>
      <c r="AI113" s="28">
        <f>Economic!H115</f>
        <v>878414.56419999991</v>
      </c>
      <c r="AJ113" s="28">
        <f>Economic!I115</f>
        <v>688913.47149999999</v>
      </c>
      <c r="AK113" s="28">
        <f>Economic!J115</f>
        <v>75612.206749999998</v>
      </c>
      <c r="AL113" s="28">
        <f>Economic!K115</f>
        <v>877135</v>
      </c>
      <c r="AM113" s="28">
        <f>Economic!L115</f>
        <v>695499</v>
      </c>
      <c r="AN113" s="28">
        <f>Economic!M115</f>
        <v>34058</v>
      </c>
      <c r="AO113" s="28">
        <f>Economic!D115</f>
        <v>7970.1</v>
      </c>
      <c r="AP113" s="28">
        <f>Economic!E115</f>
        <v>7915</v>
      </c>
      <c r="AQ113" s="28">
        <f>Economic!F115</f>
        <v>233.1</v>
      </c>
      <c r="AR113" s="28">
        <f>Economic!G115</f>
        <v>232.6</v>
      </c>
      <c r="AS113" s="28">
        <f>Economic!N115</f>
        <v>85.800000000000182</v>
      </c>
      <c r="AT113" s="28">
        <f>Economic!O115</f>
        <v>95.399999999999636</v>
      </c>
      <c r="AU113" s="28">
        <f>Economic!P115</f>
        <v>9.1999999999999886</v>
      </c>
      <c r="AV113" s="28">
        <f>Economic!Q115</f>
        <v>8.6999999999999886</v>
      </c>
      <c r="AW113" s="28">
        <f>Economic!R115</f>
        <v>12554.964199999929</v>
      </c>
      <c r="AX113" s="28">
        <f>Economic!S115</f>
        <v>2733</v>
      </c>
      <c r="AY113" s="7">
        <f>Weather!D113</f>
        <v>7.7234027777777765</v>
      </c>
      <c r="AZ113" s="7">
        <f>Weather!E113</f>
        <v>368.29791666666671</v>
      </c>
      <c r="BA113" s="7">
        <f>Weather!F113</f>
        <v>0</v>
      </c>
      <c r="BB113" s="7">
        <f>Weather!G113</f>
        <v>308.29791666666665</v>
      </c>
      <c r="BC113" s="7">
        <f>Weather!H113</f>
        <v>0</v>
      </c>
      <c r="BD113" s="7">
        <f>Weather!I113</f>
        <v>248.29791666666665</v>
      </c>
      <c r="BE113" s="7">
        <f>Weather!J113</f>
        <v>0</v>
      </c>
      <c r="BF113" s="7">
        <f>Weather!K113</f>
        <v>188.29791666666671</v>
      </c>
      <c r="BG113" s="7">
        <f>Weather!L113</f>
        <v>0</v>
      </c>
      <c r="BH113" s="7">
        <f>Weather!M113</f>
        <v>130.68125000000001</v>
      </c>
      <c r="BI113" s="7">
        <f>Weather!N113</f>
        <v>2.3833333333333346</v>
      </c>
      <c r="BJ113" s="7">
        <f>Weather!O113</f>
        <v>78.922916666666652</v>
      </c>
      <c r="BK113" s="7">
        <f>Weather!P113</f>
        <v>10.625</v>
      </c>
      <c r="BL113" s="7">
        <f>Weather!Q113</f>
        <v>41.093749999999993</v>
      </c>
      <c r="BM113" s="7">
        <f>Weather!R113</f>
        <v>32.795833333333334</v>
      </c>
      <c r="BN113" s="1">
        <f t="shared" si="42"/>
        <v>0</v>
      </c>
      <c r="BO113" s="1">
        <f t="shared" si="42"/>
        <v>0</v>
      </c>
      <c r="BP113" s="1">
        <f t="shared" si="42"/>
        <v>0</v>
      </c>
      <c r="BQ113" s="1">
        <f t="shared" si="42"/>
        <v>1</v>
      </c>
      <c r="BR113" s="1">
        <f t="shared" si="42"/>
        <v>0</v>
      </c>
      <c r="BS113" s="1">
        <f t="shared" si="42"/>
        <v>0</v>
      </c>
      <c r="BT113" s="1">
        <f t="shared" si="42"/>
        <v>0</v>
      </c>
      <c r="BU113" s="1">
        <f t="shared" si="42"/>
        <v>0</v>
      </c>
      <c r="BV113" s="1">
        <f t="shared" si="42"/>
        <v>0</v>
      </c>
      <c r="BW113" s="1">
        <f t="shared" si="42"/>
        <v>0</v>
      </c>
      <c r="BX113" s="1">
        <f t="shared" si="42"/>
        <v>0</v>
      </c>
      <c r="BY113" s="1">
        <f t="shared" si="42"/>
        <v>0</v>
      </c>
      <c r="BZ113" s="1">
        <f t="shared" si="42"/>
        <v>1</v>
      </c>
      <c r="CA113" s="1">
        <f t="shared" si="42"/>
        <v>0</v>
      </c>
      <c r="CB113" s="1">
        <f t="shared" si="42"/>
        <v>1</v>
      </c>
      <c r="CC113" s="1">
        <f t="shared" si="23"/>
        <v>112</v>
      </c>
      <c r="CD113" s="1">
        <f t="shared" si="17"/>
        <v>30</v>
      </c>
      <c r="CE113" s="1">
        <v>22</v>
      </c>
      <c r="CF113" s="1">
        <v>0</v>
      </c>
      <c r="CG113" s="1">
        <v>0</v>
      </c>
      <c r="CH113" s="1">
        <v>0.25</v>
      </c>
      <c r="CI113" s="1">
        <v>0</v>
      </c>
      <c r="CJ113" s="1">
        <f t="shared" si="40"/>
        <v>0</v>
      </c>
      <c r="CK113" s="1">
        <f t="shared" si="40"/>
        <v>0</v>
      </c>
      <c r="CL113" s="1">
        <f t="shared" si="40"/>
        <v>0</v>
      </c>
      <c r="CM113" s="1">
        <f t="shared" si="38"/>
        <v>0</v>
      </c>
      <c r="CN113" s="1">
        <f t="shared" si="38"/>
        <v>0</v>
      </c>
      <c r="CO113" s="1">
        <f t="shared" si="38"/>
        <v>0</v>
      </c>
      <c r="CP113" s="1">
        <f t="shared" si="28"/>
        <v>0</v>
      </c>
      <c r="CQ113" s="1">
        <f t="shared" si="28"/>
        <v>0</v>
      </c>
      <c r="CR113" s="1">
        <f t="shared" si="28"/>
        <v>0</v>
      </c>
      <c r="CS113" s="1">
        <f t="shared" si="28"/>
        <v>0</v>
      </c>
      <c r="CT113" s="1">
        <f t="shared" si="28"/>
        <v>0</v>
      </c>
      <c r="CU113" s="1">
        <f t="shared" si="36"/>
        <v>0</v>
      </c>
      <c r="CV113" s="1">
        <f t="shared" si="36"/>
        <v>0</v>
      </c>
      <c r="CW113" s="1">
        <f t="shared" si="36"/>
        <v>0</v>
      </c>
      <c r="CX113" s="1">
        <f t="shared" si="41"/>
        <v>92.074479166666677</v>
      </c>
      <c r="CY113" s="1">
        <f t="shared" si="41"/>
        <v>0</v>
      </c>
      <c r="CZ113" s="1">
        <f t="shared" si="41"/>
        <v>77.074479166666663</v>
      </c>
      <c r="DA113" s="1">
        <f t="shared" si="39"/>
        <v>0</v>
      </c>
      <c r="DB113" s="1">
        <f t="shared" si="39"/>
        <v>62.074479166666663</v>
      </c>
      <c r="DC113" s="1">
        <f t="shared" si="39"/>
        <v>0</v>
      </c>
      <c r="DD113" s="1">
        <f t="shared" si="29"/>
        <v>47.074479166666677</v>
      </c>
      <c r="DE113" s="1">
        <f t="shared" si="29"/>
        <v>0</v>
      </c>
      <c r="DF113" s="1">
        <f t="shared" si="29"/>
        <v>32.670312500000001</v>
      </c>
      <c r="DG113" s="1">
        <f t="shared" si="29"/>
        <v>0.59583333333333366</v>
      </c>
      <c r="DH113" s="1">
        <f t="shared" si="29"/>
        <v>19.730729166666663</v>
      </c>
      <c r="DI113" s="1">
        <f t="shared" si="37"/>
        <v>2.65625</v>
      </c>
      <c r="DJ113" s="1">
        <f t="shared" si="37"/>
        <v>10.273437499999998</v>
      </c>
      <c r="DK113" s="1">
        <f t="shared" si="37"/>
        <v>8.1989583333333336</v>
      </c>
      <c r="DL113" s="24">
        <v>496276.93000000005</v>
      </c>
      <c r="DM113" s="25">
        <v>906.19</v>
      </c>
      <c r="DN113" s="24"/>
      <c r="DO113" s="25"/>
      <c r="DP113" s="25"/>
      <c r="DQ113" s="25"/>
      <c r="DR113" s="25"/>
      <c r="DS113" s="25"/>
      <c r="DT113" s="25"/>
      <c r="DU113" s="25"/>
      <c r="DV113" s="25"/>
    </row>
    <row r="114" spans="1:126" x14ac:dyDescent="0.25">
      <c r="A114" s="252">
        <v>45413</v>
      </c>
      <c r="B114" s="253">
        <f t="shared" si="18"/>
        <v>2024</v>
      </c>
      <c r="C114" s="253">
        <f t="shared" si="19"/>
        <v>5</v>
      </c>
      <c r="D114" s="254">
        <v>38439394.585928291</v>
      </c>
      <c r="E114" s="254">
        <f ca="1">IFERROR(VLOOKUP($B114-1,CDM!$L$7:$T$18,2,FALSE)/12,0)+IFERROR(VLOOKUP($B114,CDM!$L$36:$T$46,2,FALSE)/24,0)+IFERROR(VLOOKUP($B114,CDM!$L$36:$T$46,2,FALSE)/2*$C114/78,0)</f>
        <v>2553229.6979874289</v>
      </c>
      <c r="F114" s="254">
        <f ca="1">D114+E114</f>
        <v>40992624.283915721</v>
      </c>
      <c r="G114" s="255">
        <v>57905</v>
      </c>
      <c r="H114" s="254">
        <v>9997585.2794572804</v>
      </c>
      <c r="I114" s="254">
        <f ca="1">IFERROR(VLOOKUP($B114-1,CDM!$L$7:$T$18,3,FALSE)/12,0)+IFERROR(VLOOKUP($B114,CDM!$L$36:$T$46,3,FALSE)/24,0)+IFERROR(VLOOKUP($B114,CDM!$L$36:$T$46,3,FALSE)/2*$C114/78,0)</f>
        <v>821589.59062813432</v>
      </c>
      <c r="J114" s="254">
        <f ca="1">H114+I114</f>
        <v>10819174.870085414</v>
      </c>
      <c r="K114" s="256">
        <v>4438</v>
      </c>
      <c r="L114" s="254">
        <v>24516827.705313709</v>
      </c>
      <c r="M114" s="257">
        <f ca="1">IFERROR(VLOOKUP($B114-1,CDM!$L$7:$T$18,4,FALSE)/12,0)+IFERROR(VLOOKUP($B114,CDM!$L$36:$T$46,4,FALSE)/24,0)+IFERROR(VLOOKUP($B114,CDM!$L$36:$T$46,4,FALSE)/2*$C114/78,0)</f>
        <v>1166425.6068602311</v>
      </c>
      <c r="N114" s="254">
        <f ca="1">L114+M114</f>
        <v>25683253.31217394</v>
      </c>
      <c r="O114" s="254">
        <v>58542.231829033808</v>
      </c>
      <c r="P114" s="256">
        <v>515</v>
      </c>
      <c r="Q114" s="254">
        <v>6870784</v>
      </c>
      <c r="R114" s="256">
        <f ca="1">IFERROR(VLOOKUP($B114-1,CDM!$L$7:$T$18,5,FALSE)/12,0)+IFERROR(VLOOKUP($B114,CDM!$L$36:$T$46,5,FALSE)/24,0)+IFERROR(VLOOKUP($B114,CDM!$L$36:$T$46,5,FALSE)/2*$C114/78,0)</f>
        <v>1041058.1870335548</v>
      </c>
      <c r="S114" s="256">
        <f ca="1">Q114+R114</f>
        <v>7911842.1870335545</v>
      </c>
      <c r="T114" s="254">
        <v>16893.453264734584</v>
      </c>
      <c r="U114" s="256">
        <v>17</v>
      </c>
      <c r="V114" s="254">
        <v>3367176.9152232935</v>
      </c>
      <c r="W114" s="256">
        <f ca="1">IFERROR(VLOOKUP($B114-1,CDM!$L$7:$T$18,6,FALSE)/12,0)+IFERROR(VLOOKUP($B114,CDM!$L$36:$T$46,6,FALSE)/24,0)+IFERROR(VLOOKUP($B114,CDM!$L$36:$T$46,6,FALSE)/2*$C114/78,0)</f>
        <v>53742.58530438062</v>
      </c>
      <c r="X114" s="256">
        <f ca="1">V114+W114</f>
        <v>3420919.5005276739</v>
      </c>
      <c r="Y114" s="254">
        <v>7043.602393969195</v>
      </c>
      <c r="Z114" s="256">
        <v>1</v>
      </c>
      <c r="AA114" s="254">
        <v>303453.34051880945</v>
      </c>
      <c r="AB114" s="4">
        <v>1067.8000000000002</v>
      </c>
      <c r="AC114" s="256">
        <v>14444</v>
      </c>
      <c r="AD114" s="254">
        <v>1898.6882701275968</v>
      </c>
      <c r="AE114" s="254">
        <v>0</v>
      </c>
      <c r="AF114" s="256">
        <v>19</v>
      </c>
      <c r="AG114" s="254">
        <v>237292.92804864782</v>
      </c>
      <c r="AH114" s="4">
        <v>259</v>
      </c>
      <c r="AI114" s="28">
        <f>Economic!H116</f>
        <v>878414.56419999991</v>
      </c>
      <c r="AJ114" s="28">
        <f>Economic!I116</f>
        <v>688913.47149999999</v>
      </c>
      <c r="AK114" s="28">
        <f>Economic!J116</f>
        <v>75612.206749999998</v>
      </c>
      <c r="AL114" s="28">
        <f>Economic!K116</f>
        <v>877135</v>
      </c>
      <c r="AM114" s="28">
        <f>Economic!L116</f>
        <v>695499</v>
      </c>
      <c r="AN114" s="28">
        <f>Economic!M116</f>
        <v>34058</v>
      </c>
      <c r="AO114" s="28">
        <f>Economic!D116</f>
        <v>8003.7</v>
      </c>
      <c r="AP114" s="28">
        <f>Economic!E116</f>
        <v>7999.8</v>
      </c>
      <c r="AQ114" s="28">
        <f>Economic!F116</f>
        <v>232.8</v>
      </c>
      <c r="AR114" s="28">
        <f>Economic!G116</f>
        <v>233.1</v>
      </c>
      <c r="AS114" s="28">
        <f>Economic!N116</f>
        <v>108.39999999999964</v>
      </c>
      <c r="AT114" s="28">
        <f>Economic!O116</f>
        <v>117.19999999999982</v>
      </c>
      <c r="AU114" s="28">
        <f>Economic!P116</f>
        <v>12.800000000000011</v>
      </c>
      <c r="AV114" s="28">
        <f>Economic!Q116</f>
        <v>11.900000000000006</v>
      </c>
      <c r="AW114" s="28">
        <f>Economic!R116</f>
        <v>12554.964199999929</v>
      </c>
      <c r="AX114" s="28">
        <f>Economic!S116</f>
        <v>2733</v>
      </c>
      <c r="AY114" s="7">
        <f>Weather!D114</f>
        <v>15.455779569892472</v>
      </c>
      <c r="AZ114" s="7">
        <f>Weather!E114</f>
        <v>143.5708333333333</v>
      </c>
      <c r="BA114" s="7">
        <f>Weather!F114</f>
        <v>2.6999999999999957</v>
      </c>
      <c r="BB114" s="7">
        <f>Weather!G114</f>
        <v>89.52916666666664</v>
      </c>
      <c r="BC114" s="7">
        <f>Weather!H114</f>
        <v>10.658333333333328</v>
      </c>
      <c r="BD114" s="7">
        <f>Weather!I114</f>
        <v>44.158333333333317</v>
      </c>
      <c r="BE114" s="7">
        <f>Weather!J114</f>
        <v>27.287500000000005</v>
      </c>
      <c r="BF114" s="7">
        <f>Weather!K114</f>
        <v>15.562499999999984</v>
      </c>
      <c r="BG114" s="7">
        <f>Weather!L114</f>
        <v>60.691666666666663</v>
      </c>
      <c r="BH114" s="7">
        <f>Weather!M114</f>
        <v>2.9208333333333272</v>
      </c>
      <c r="BI114" s="7">
        <f>Weather!N114</f>
        <v>110.05000000000001</v>
      </c>
      <c r="BJ114" s="7">
        <f>Weather!O114</f>
        <v>0</v>
      </c>
      <c r="BK114" s="7">
        <f>Weather!P114</f>
        <v>169.12916666666669</v>
      </c>
      <c r="BL114" s="7">
        <f>Weather!Q114</f>
        <v>0</v>
      </c>
      <c r="BM114" s="7">
        <f>Weather!R114</f>
        <v>231.12916666666669</v>
      </c>
      <c r="BN114" s="1">
        <f t="shared" si="42"/>
        <v>0</v>
      </c>
      <c r="BO114" s="1">
        <f t="shared" si="42"/>
        <v>0</v>
      </c>
      <c r="BP114" s="1">
        <f t="shared" si="42"/>
        <v>0</v>
      </c>
      <c r="BQ114" s="1">
        <f t="shared" si="42"/>
        <v>0</v>
      </c>
      <c r="BR114" s="1">
        <f t="shared" si="42"/>
        <v>1</v>
      </c>
      <c r="BS114" s="1">
        <f t="shared" si="42"/>
        <v>0</v>
      </c>
      <c r="BT114" s="1">
        <f t="shared" si="42"/>
        <v>0</v>
      </c>
      <c r="BU114" s="1">
        <f t="shared" si="42"/>
        <v>0</v>
      </c>
      <c r="BV114" s="1">
        <f t="shared" si="42"/>
        <v>0</v>
      </c>
      <c r="BW114" s="1">
        <f t="shared" si="42"/>
        <v>0</v>
      </c>
      <c r="BX114" s="1">
        <f t="shared" si="42"/>
        <v>0</v>
      </c>
      <c r="BY114" s="1">
        <f t="shared" si="42"/>
        <v>0</v>
      </c>
      <c r="BZ114" s="1">
        <f t="shared" si="42"/>
        <v>1</v>
      </c>
      <c r="CA114" s="1">
        <f t="shared" si="42"/>
        <v>0</v>
      </c>
      <c r="CB114" s="1">
        <f t="shared" si="42"/>
        <v>1</v>
      </c>
      <c r="CC114" s="1">
        <f t="shared" si="23"/>
        <v>113</v>
      </c>
      <c r="CD114" s="1">
        <f t="shared" si="17"/>
        <v>31</v>
      </c>
      <c r="CE114" s="1">
        <v>22</v>
      </c>
      <c r="CF114" s="1">
        <v>0</v>
      </c>
      <c r="CG114" s="1">
        <v>0</v>
      </c>
      <c r="CH114" s="1">
        <v>0.25</v>
      </c>
      <c r="CI114" s="1">
        <v>0</v>
      </c>
      <c r="CJ114" s="1">
        <f t="shared" si="40"/>
        <v>0</v>
      </c>
      <c r="CK114" s="1">
        <f t="shared" si="40"/>
        <v>0</v>
      </c>
      <c r="CL114" s="1">
        <f t="shared" si="40"/>
        <v>0</v>
      </c>
      <c r="CM114" s="1">
        <f t="shared" si="38"/>
        <v>0</v>
      </c>
      <c r="CN114" s="1">
        <f t="shared" si="38"/>
        <v>0</v>
      </c>
      <c r="CO114" s="1">
        <f t="shared" si="38"/>
        <v>0</v>
      </c>
      <c r="CP114" s="1">
        <f t="shared" si="28"/>
        <v>0</v>
      </c>
      <c r="CQ114" s="1">
        <f t="shared" si="28"/>
        <v>0</v>
      </c>
      <c r="CR114" s="1">
        <f t="shared" si="28"/>
        <v>0</v>
      </c>
      <c r="CS114" s="1">
        <f t="shared" si="28"/>
        <v>0</v>
      </c>
      <c r="CT114" s="1">
        <f t="shared" si="28"/>
        <v>0</v>
      </c>
      <c r="CU114" s="1">
        <f t="shared" si="36"/>
        <v>0</v>
      </c>
      <c r="CV114" s="1">
        <f t="shared" si="36"/>
        <v>0</v>
      </c>
      <c r="CW114" s="1">
        <f t="shared" si="36"/>
        <v>0</v>
      </c>
      <c r="CX114" s="1">
        <f t="shared" si="41"/>
        <v>35.892708333333324</v>
      </c>
      <c r="CY114" s="1">
        <f t="shared" si="41"/>
        <v>0.67499999999999893</v>
      </c>
      <c r="CZ114" s="1">
        <f t="shared" si="41"/>
        <v>22.38229166666666</v>
      </c>
      <c r="DA114" s="1">
        <f t="shared" si="39"/>
        <v>2.664583333333332</v>
      </c>
      <c r="DB114" s="1">
        <f t="shared" si="39"/>
        <v>11.039583333333329</v>
      </c>
      <c r="DC114" s="1">
        <f t="shared" si="39"/>
        <v>6.8218750000000012</v>
      </c>
      <c r="DD114" s="1">
        <f t="shared" si="29"/>
        <v>3.890624999999996</v>
      </c>
      <c r="DE114" s="1">
        <f t="shared" si="29"/>
        <v>15.172916666666666</v>
      </c>
      <c r="DF114" s="1">
        <f t="shared" si="29"/>
        <v>0.73020833333333179</v>
      </c>
      <c r="DG114" s="1">
        <f t="shared" si="29"/>
        <v>27.512500000000003</v>
      </c>
      <c r="DH114" s="1">
        <f t="shared" si="29"/>
        <v>0</v>
      </c>
      <c r="DI114" s="1">
        <f t="shared" si="37"/>
        <v>42.282291666666673</v>
      </c>
      <c r="DJ114" s="1">
        <f t="shared" si="37"/>
        <v>0</v>
      </c>
      <c r="DK114" s="1">
        <f t="shared" si="37"/>
        <v>57.782291666666673</v>
      </c>
      <c r="DL114" s="24">
        <v>553779.80000000005</v>
      </c>
      <c r="DM114" s="25">
        <v>1069.3400000000001</v>
      </c>
      <c r="DN114" s="24"/>
      <c r="DO114" s="25"/>
      <c r="DP114" s="25"/>
      <c r="DQ114" s="25"/>
      <c r="DR114" s="25"/>
      <c r="DS114" s="25"/>
      <c r="DT114" s="25"/>
      <c r="DU114" s="25"/>
      <c r="DV114" s="25"/>
    </row>
    <row r="115" spans="1:126" x14ac:dyDescent="0.25">
      <c r="A115" s="252">
        <v>45444</v>
      </c>
      <c r="B115" s="253">
        <f t="shared" si="18"/>
        <v>2024</v>
      </c>
      <c r="C115" s="253">
        <f t="shared" si="19"/>
        <v>6</v>
      </c>
      <c r="D115" s="254">
        <v>43384469.658798538</v>
      </c>
      <c r="E115" s="254">
        <f ca="1">IFERROR(VLOOKUP($B115-1,CDM!$L$7:$T$18,2,FALSE)/12,0)+IFERROR(VLOOKUP($B115,CDM!$L$36:$T$46,2,FALSE)/24,0)+IFERROR(VLOOKUP($B115,CDM!$L$36:$T$46,2,FALSE)/2*$C115/78,0)</f>
        <v>2560367.2345599877</v>
      </c>
      <c r="F115" s="254">
        <f ca="1">D115+E115</f>
        <v>45944836.893358529</v>
      </c>
      <c r="G115" s="255">
        <v>57937</v>
      </c>
      <c r="H115" s="254">
        <v>10720842.140283411</v>
      </c>
      <c r="I115" s="254">
        <f ca="1">IFERROR(VLOOKUP($B115-1,CDM!$L$7:$T$18,3,FALSE)/12,0)+IFERROR(VLOOKUP($B115,CDM!$L$36:$T$46,3,FALSE)/24,0)+IFERROR(VLOOKUP($B115,CDM!$L$36:$T$46,3,FALSE)/2*$C115/78,0)</f>
        <v>828231.3483402126</v>
      </c>
      <c r="J115" s="254">
        <f ca="1">H115+I115</f>
        <v>11549073.488623625</v>
      </c>
      <c r="K115" s="256">
        <v>4437</v>
      </c>
      <c r="L115" s="254">
        <v>26054271.013438087</v>
      </c>
      <c r="M115" s="257">
        <f ca="1">IFERROR(VLOOKUP($B115-1,CDM!$L$7:$T$18,4,FALSE)/12,0)+IFERROR(VLOOKUP($B115,CDM!$L$36:$T$46,4,FALSE)/24,0)+IFERROR(VLOOKUP($B115,CDM!$L$36:$T$46,4,FALSE)/2*$C115/78,0)</f>
        <v>1177437.2043977818</v>
      </c>
      <c r="N115" s="254">
        <f ca="1">L115+M115</f>
        <v>27231708.21783587</v>
      </c>
      <c r="O115" s="254">
        <v>79622.861924159908</v>
      </c>
      <c r="P115" s="256">
        <v>517</v>
      </c>
      <c r="Q115" s="254">
        <v>7639460</v>
      </c>
      <c r="R115" s="256">
        <f ca="1">IFERROR(VLOOKUP($B115-1,CDM!$L$7:$T$18,5,FALSE)/12,0)+IFERROR(VLOOKUP($B115,CDM!$L$36:$T$46,5,FALSE)/24,0)+IFERROR(VLOOKUP($B115,CDM!$L$36:$T$46,5,FALSE)/2*$C115/78,0)</f>
        <v>1049586.5252642543</v>
      </c>
      <c r="S115" s="256">
        <f ca="1">Q115+R115</f>
        <v>8689046.5252642538</v>
      </c>
      <c r="T115" s="254">
        <v>18137.395342566491</v>
      </c>
      <c r="U115" s="256">
        <v>17</v>
      </c>
      <c r="V115" s="254">
        <v>3275187.9175393358</v>
      </c>
      <c r="W115" s="256">
        <f ca="1">IFERROR(VLOOKUP($B115-1,CDM!$L$7:$T$18,6,FALSE)/12,0)+IFERROR(VLOOKUP($B115,CDM!$L$36:$T$46,6,FALSE)/24,0)+IFERROR(VLOOKUP($B115,CDM!$L$36:$T$46,6,FALSE)/2*$C115/78,0)</f>
        <v>54668.038188211845</v>
      </c>
      <c r="X115" s="256">
        <f ca="1">V115+W115</f>
        <v>3329855.9557275474</v>
      </c>
      <c r="Y115" s="254">
        <v>8182.5392943057359</v>
      </c>
      <c r="Z115" s="256">
        <v>1</v>
      </c>
      <c r="AA115" s="254">
        <v>271856.68137178733</v>
      </c>
      <c r="AB115" s="4">
        <v>1068.2</v>
      </c>
      <c r="AC115" s="256">
        <v>14444</v>
      </c>
      <c r="AD115" s="254">
        <v>1961.9778791318502</v>
      </c>
      <c r="AE115" s="254">
        <v>0</v>
      </c>
      <c r="AF115" s="256">
        <v>19</v>
      </c>
      <c r="AG115" s="254">
        <v>237292.92804864782</v>
      </c>
      <c r="AH115" s="4">
        <v>259</v>
      </c>
      <c r="AI115" s="28">
        <f>Economic!H117</f>
        <v>878414.56419999991</v>
      </c>
      <c r="AJ115" s="28">
        <f>Economic!I117</f>
        <v>688913.47149999999</v>
      </c>
      <c r="AK115" s="28">
        <f>Economic!J117</f>
        <v>75612.206749999998</v>
      </c>
      <c r="AL115" s="28">
        <f>Economic!K117</f>
        <v>877135</v>
      </c>
      <c r="AM115" s="28">
        <f>Economic!L117</f>
        <v>695499</v>
      </c>
      <c r="AN115" s="28">
        <f>Economic!M117</f>
        <v>34058</v>
      </c>
      <c r="AO115" s="28">
        <f>Economic!D117</f>
        <v>8031.8</v>
      </c>
      <c r="AP115" s="28">
        <f>Economic!E117</f>
        <v>8092.5</v>
      </c>
      <c r="AQ115" s="28">
        <f>Economic!F117</f>
        <v>230.6</v>
      </c>
      <c r="AR115" s="28">
        <f>Economic!G117</f>
        <v>232</v>
      </c>
      <c r="AS115" s="28">
        <f>Economic!N117</f>
        <v>115.69999999999982</v>
      </c>
      <c r="AT115" s="28">
        <f>Economic!O117</f>
        <v>121.30000000000018</v>
      </c>
      <c r="AU115" s="28">
        <f>Economic!P117</f>
        <v>10.199999999999989</v>
      </c>
      <c r="AV115" s="28">
        <f>Economic!Q117</f>
        <v>9</v>
      </c>
      <c r="AW115" s="28">
        <f>Economic!R117</f>
        <v>12554.964199999929</v>
      </c>
      <c r="AX115" s="28">
        <f>Economic!S117</f>
        <v>2733</v>
      </c>
      <c r="AY115" s="7">
        <f>Weather!D115</f>
        <v>18.805138888888891</v>
      </c>
      <c r="AZ115" s="7">
        <f>Weather!E115</f>
        <v>60.86249999999999</v>
      </c>
      <c r="BA115" s="7">
        <f>Weather!F115</f>
        <v>25.01666666666668</v>
      </c>
      <c r="BB115" s="7">
        <f>Weather!G115</f>
        <v>31.570833333333319</v>
      </c>
      <c r="BC115" s="7">
        <f>Weather!H115</f>
        <v>55.725000000000009</v>
      </c>
      <c r="BD115" s="7">
        <f>Weather!I115</f>
        <v>10.312499999999995</v>
      </c>
      <c r="BE115" s="7">
        <f>Weather!J115</f>
        <v>94.466666666666669</v>
      </c>
      <c r="BF115" s="7">
        <f>Weather!K115</f>
        <v>2.4583333333333321</v>
      </c>
      <c r="BG115" s="7">
        <f>Weather!L115</f>
        <v>146.61250000000007</v>
      </c>
      <c r="BH115" s="7">
        <f>Weather!M115</f>
        <v>0</v>
      </c>
      <c r="BI115" s="7">
        <f>Weather!N115</f>
        <v>204.15416666666667</v>
      </c>
      <c r="BJ115" s="7">
        <f>Weather!O115</f>
        <v>0</v>
      </c>
      <c r="BK115" s="7">
        <f>Weather!P115</f>
        <v>264.15416666666664</v>
      </c>
      <c r="BL115" s="7">
        <f>Weather!Q115</f>
        <v>0</v>
      </c>
      <c r="BM115" s="7">
        <f>Weather!R115</f>
        <v>324.1541666666667</v>
      </c>
      <c r="BN115" s="1">
        <f t="shared" si="42"/>
        <v>0</v>
      </c>
      <c r="BO115" s="1">
        <f t="shared" si="42"/>
        <v>0</v>
      </c>
      <c r="BP115" s="1">
        <f t="shared" si="42"/>
        <v>0</v>
      </c>
      <c r="BQ115" s="1">
        <f t="shared" si="42"/>
        <v>0</v>
      </c>
      <c r="BR115" s="1">
        <f t="shared" si="42"/>
        <v>0</v>
      </c>
      <c r="BS115" s="1">
        <f t="shared" si="42"/>
        <v>1</v>
      </c>
      <c r="BT115" s="1">
        <f t="shared" si="42"/>
        <v>0</v>
      </c>
      <c r="BU115" s="1">
        <f t="shared" si="42"/>
        <v>0</v>
      </c>
      <c r="BV115" s="1">
        <f t="shared" si="42"/>
        <v>0</v>
      </c>
      <c r="BW115" s="1">
        <f t="shared" si="42"/>
        <v>0</v>
      </c>
      <c r="BX115" s="1">
        <f t="shared" si="42"/>
        <v>0</v>
      </c>
      <c r="BY115" s="1">
        <f t="shared" si="42"/>
        <v>0</v>
      </c>
      <c r="BZ115" s="1">
        <f t="shared" si="42"/>
        <v>0</v>
      </c>
      <c r="CA115" s="1">
        <f t="shared" si="42"/>
        <v>0</v>
      </c>
      <c r="CB115" s="1">
        <f t="shared" si="42"/>
        <v>0</v>
      </c>
      <c r="CC115" s="1">
        <f t="shared" si="23"/>
        <v>114</v>
      </c>
      <c r="CD115" s="1">
        <f t="shared" ref="CD115:CD121" si="43">CD67</f>
        <v>30</v>
      </c>
      <c r="CE115" s="1">
        <v>20</v>
      </c>
      <c r="CF115" s="1">
        <v>0</v>
      </c>
      <c r="CG115" s="1">
        <v>0</v>
      </c>
      <c r="CH115" s="1">
        <v>0.25</v>
      </c>
      <c r="CI115" s="1">
        <v>0</v>
      </c>
      <c r="CJ115" s="1">
        <f t="shared" si="40"/>
        <v>0</v>
      </c>
      <c r="CK115" s="1">
        <f t="shared" si="40"/>
        <v>0</v>
      </c>
      <c r="CL115" s="1">
        <f t="shared" si="40"/>
        <v>0</v>
      </c>
      <c r="CM115" s="1">
        <f t="shared" si="38"/>
        <v>0</v>
      </c>
      <c r="CN115" s="1">
        <f t="shared" si="38"/>
        <v>0</v>
      </c>
      <c r="CO115" s="1">
        <f t="shared" si="38"/>
        <v>0</v>
      </c>
      <c r="CP115" s="1">
        <f t="shared" si="28"/>
        <v>0</v>
      </c>
      <c r="CQ115" s="1">
        <f t="shared" si="28"/>
        <v>0</v>
      </c>
      <c r="CR115" s="1">
        <f t="shared" si="28"/>
        <v>0</v>
      </c>
      <c r="CS115" s="1">
        <f t="shared" si="28"/>
        <v>0</v>
      </c>
      <c r="CT115" s="1">
        <f t="shared" si="28"/>
        <v>0</v>
      </c>
      <c r="CU115" s="1">
        <f t="shared" si="36"/>
        <v>0</v>
      </c>
      <c r="CV115" s="1">
        <f t="shared" si="36"/>
        <v>0</v>
      </c>
      <c r="CW115" s="1">
        <f t="shared" si="36"/>
        <v>0</v>
      </c>
      <c r="CX115" s="1">
        <f t="shared" si="41"/>
        <v>15.215624999999998</v>
      </c>
      <c r="CY115" s="1">
        <f t="shared" si="41"/>
        <v>6.25416666666667</v>
      </c>
      <c r="CZ115" s="1">
        <f t="shared" si="41"/>
        <v>7.8927083333333297</v>
      </c>
      <c r="DA115" s="1">
        <f t="shared" si="39"/>
        <v>13.931250000000002</v>
      </c>
      <c r="DB115" s="1">
        <f t="shared" si="39"/>
        <v>2.5781249999999987</v>
      </c>
      <c r="DC115" s="1">
        <f t="shared" si="39"/>
        <v>23.616666666666667</v>
      </c>
      <c r="DD115" s="1">
        <f t="shared" si="29"/>
        <v>0.61458333333333304</v>
      </c>
      <c r="DE115" s="1">
        <f t="shared" si="29"/>
        <v>36.653125000000017</v>
      </c>
      <c r="DF115" s="1">
        <f t="shared" si="29"/>
        <v>0</v>
      </c>
      <c r="DG115" s="1">
        <f t="shared" si="29"/>
        <v>51.038541666666667</v>
      </c>
      <c r="DH115" s="1">
        <f t="shared" si="29"/>
        <v>0</v>
      </c>
      <c r="DI115" s="1">
        <f t="shared" si="37"/>
        <v>66.03854166666666</v>
      </c>
      <c r="DJ115" s="1">
        <f t="shared" si="37"/>
        <v>0</v>
      </c>
      <c r="DK115" s="1">
        <f t="shared" si="37"/>
        <v>81.038541666666674</v>
      </c>
      <c r="DL115" s="24">
        <v>540045.71</v>
      </c>
      <c r="DM115" s="25">
        <v>1123.44</v>
      </c>
      <c r="DN115" s="24"/>
      <c r="DO115" s="25"/>
      <c r="DP115" s="25"/>
      <c r="DQ115" s="25"/>
      <c r="DR115" s="25"/>
      <c r="DS115" s="25"/>
      <c r="DT115" s="25"/>
      <c r="DU115" s="25"/>
      <c r="DV115" s="25"/>
    </row>
    <row r="116" spans="1:126" x14ac:dyDescent="0.25">
      <c r="A116" s="252">
        <v>45474</v>
      </c>
      <c r="B116" s="253">
        <f t="shared" ref="B116:B121" si="44">YEAR(A116)</f>
        <v>2024</v>
      </c>
      <c r="C116" s="253">
        <f t="shared" ref="C116:C121" si="45">MONTH(A116)</f>
        <v>7</v>
      </c>
      <c r="D116" s="254">
        <v>53076129.813140079</v>
      </c>
      <c r="E116" s="254">
        <f ca="1">IFERROR(VLOOKUP($B116-1,CDM!$L$7:$T$18,2,FALSE)/12,0)+IFERROR(VLOOKUP($B116,CDM!$L$36:$T$46,2,FALSE)/24,0)+IFERROR(VLOOKUP($B116,CDM!$L$36:$T$46,2,FALSE)/2*$C116/78,0)</f>
        <v>2567504.7711325465</v>
      </c>
      <c r="F116" s="254">
        <f ca="1">D116+E116</f>
        <v>55643634.584272623</v>
      </c>
      <c r="G116" s="255">
        <v>58077</v>
      </c>
      <c r="H116" s="254">
        <v>12352280.207317321</v>
      </c>
      <c r="I116" s="254">
        <f ca="1">IFERROR(VLOOKUP($B116-1,CDM!$L$7:$T$18,3,FALSE)/12,0)+IFERROR(VLOOKUP($B116,CDM!$L$36:$T$46,3,FALSE)/24,0)+IFERROR(VLOOKUP($B116,CDM!$L$36:$T$46,3,FALSE)/2*$C116/78,0)</f>
        <v>834873.10605229088</v>
      </c>
      <c r="J116" s="254">
        <f ca="1">H116+I116</f>
        <v>13187153.313369611</v>
      </c>
      <c r="K116" s="256">
        <v>4438</v>
      </c>
      <c r="L116" s="254">
        <v>28403205.384369198</v>
      </c>
      <c r="M116" s="257">
        <f ca="1">IFERROR(VLOOKUP($B116-1,CDM!$L$7:$T$18,4,FALSE)/12,0)+IFERROR(VLOOKUP($B116,CDM!$L$36:$T$46,4,FALSE)/24,0)+IFERROR(VLOOKUP($B116,CDM!$L$36:$T$46,4,FALSE)/2*$C116/78,0)</f>
        <v>1188448.8019353324</v>
      </c>
      <c r="N116" s="254">
        <f ca="1">L116+M116</f>
        <v>29591654.186304532</v>
      </c>
      <c r="O116" s="254">
        <v>76992.74932387314</v>
      </c>
      <c r="P116" s="256">
        <v>518</v>
      </c>
      <c r="Q116" s="254">
        <v>8473528</v>
      </c>
      <c r="R116" s="256">
        <f ca="1">IFERROR(VLOOKUP($B116-1,CDM!$L$7:$T$18,5,FALSE)/12,0)+IFERROR(VLOOKUP($B116,CDM!$L$36:$T$46,5,FALSE)/24,0)+IFERROR(VLOOKUP($B116,CDM!$L$36:$T$46,5,FALSE)/2*$C116/78,0)</f>
        <v>1058114.8634949538</v>
      </c>
      <c r="S116" s="256">
        <f ca="1">Q116+R116</f>
        <v>9531642.8634949531</v>
      </c>
      <c r="T116" s="254">
        <v>18317.869998982624</v>
      </c>
      <c r="U116" s="256">
        <v>17</v>
      </c>
      <c r="V116" s="254">
        <v>3353404.915570036</v>
      </c>
      <c r="W116" s="256">
        <f ca="1">IFERROR(VLOOKUP($B116-1,CDM!$L$7:$T$18,6,FALSE)/12,0)+IFERROR(VLOOKUP($B116,CDM!$L$36:$T$46,6,FALSE)/24,0)+IFERROR(VLOOKUP($B116,CDM!$L$36:$T$46,6,FALSE)/2*$C116/78,0)</f>
        <v>55593.491072043078</v>
      </c>
      <c r="X116" s="256">
        <f ca="1">V116+W116</f>
        <v>3408998.4066420794</v>
      </c>
      <c r="Y116" s="254">
        <v>6903.3350913466275</v>
      </c>
      <c r="Z116" s="256">
        <v>1</v>
      </c>
      <c r="AA116" s="254">
        <v>297354.34044658777</v>
      </c>
      <c r="AB116" s="4">
        <v>1068.2</v>
      </c>
      <c r="AC116" s="256">
        <v>14448</v>
      </c>
      <c r="AD116" s="254">
        <v>1961.9778791318502</v>
      </c>
      <c r="AE116" s="254">
        <v>0</v>
      </c>
      <c r="AF116" s="256">
        <v>19</v>
      </c>
      <c r="AG116" s="254">
        <v>237292.92804864782</v>
      </c>
      <c r="AH116" s="4">
        <v>259</v>
      </c>
      <c r="AI116" s="28">
        <f>Economic!H118</f>
        <v>878414.56419999991</v>
      </c>
      <c r="AJ116" s="28">
        <f>Economic!I118</f>
        <v>688913.47149999999</v>
      </c>
      <c r="AK116" s="28">
        <f>Economic!J118</f>
        <v>75612.206749999998</v>
      </c>
      <c r="AL116" s="28">
        <f>Economic!K118</f>
        <v>877865</v>
      </c>
      <c r="AM116" s="28">
        <f>Economic!L118</f>
        <v>698343</v>
      </c>
      <c r="AN116" s="28">
        <f>Economic!M118</f>
        <v>33895</v>
      </c>
      <c r="AO116" s="28">
        <f>Economic!D118</f>
        <v>8059</v>
      </c>
      <c r="AP116" s="28">
        <f>Economic!E118</f>
        <v>8149.4</v>
      </c>
      <c r="AQ116" s="28">
        <f>Economic!F118</f>
        <v>227.5</v>
      </c>
      <c r="AR116" s="28">
        <f>Economic!G118</f>
        <v>229.4</v>
      </c>
      <c r="AS116" s="28">
        <f>Economic!N118</f>
        <v>132.89999999999964</v>
      </c>
      <c r="AT116" s="28">
        <f>Economic!O118</f>
        <v>132.5</v>
      </c>
      <c r="AU116" s="28">
        <f>Economic!P118</f>
        <v>6.6999999999999886</v>
      </c>
      <c r="AV116" s="28">
        <f>Economic!Q118</f>
        <v>6.9000000000000057</v>
      </c>
      <c r="AW116" s="28">
        <f>Economic!R118</f>
        <v>12554.964199999929</v>
      </c>
      <c r="AX116" s="28">
        <f>Economic!S118</f>
        <v>730</v>
      </c>
      <c r="AY116" s="7">
        <f>Weather!D116</f>
        <v>21.778763440860214</v>
      </c>
      <c r="AZ116" s="7">
        <f>Weather!E116</f>
        <v>5.5666666666666629</v>
      </c>
      <c r="BA116" s="7">
        <f>Weather!F116</f>
        <v>60.708333333333343</v>
      </c>
      <c r="BB116" s="7">
        <f>Weather!G116</f>
        <v>0.32916666666666927</v>
      </c>
      <c r="BC116" s="7">
        <f>Weather!H116</f>
        <v>117.47083333333335</v>
      </c>
      <c r="BD116" s="7">
        <f>Weather!I116</f>
        <v>0</v>
      </c>
      <c r="BE116" s="7">
        <f>Weather!J116</f>
        <v>179.14166666666668</v>
      </c>
      <c r="BF116" s="7">
        <f>Weather!K116</f>
        <v>0</v>
      </c>
      <c r="BG116" s="7">
        <f>Weather!L116</f>
        <v>241.14166666666668</v>
      </c>
      <c r="BH116" s="7">
        <f>Weather!M116</f>
        <v>0</v>
      </c>
      <c r="BI116" s="7">
        <f>Weather!N116</f>
        <v>303.14166666666665</v>
      </c>
      <c r="BJ116" s="7">
        <f>Weather!O116</f>
        <v>0</v>
      </c>
      <c r="BK116" s="7">
        <f>Weather!P116</f>
        <v>365.14166666666671</v>
      </c>
      <c r="BL116" s="7">
        <f>Weather!Q116</f>
        <v>0</v>
      </c>
      <c r="BM116" s="7">
        <f>Weather!R116</f>
        <v>427.14166666666677</v>
      </c>
      <c r="BN116" s="1">
        <f t="shared" ref="BN116:CB116" si="46">BN104</f>
        <v>0</v>
      </c>
      <c r="BO116" s="1">
        <f t="shared" si="46"/>
        <v>0</v>
      </c>
      <c r="BP116" s="1">
        <f t="shared" si="46"/>
        <v>0</v>
      </c>
      <c r="BQ116" s="1">
        <f t="shared" si="46"/>
        <v>0</v>
      </c>
      <c r="BR116" s="1">
        <f t="shared" si="46"/>
        <v>0</v>
      </c>
      <c r="BS116" s="1">
        <f t="shared" si="46"/>
        <v>0</v>
      </c>
      <c r="BT116" s="1">
        <f t="shared" si="46"/>
        <v>1</v>
      </c>
      <c r="BU116" s="1">
        <f t="shared" si="46"/>
        <v>0</v>
      </c>
      <c r="BV116" s="1">
        <f t="shared" si="46"/>
        <v>0</v>
      </c>
      <c r="BW116" s="1">
        <f t="shared" si="46"/>
        <v>0</v>
      </c>
      <c r="BX116" s="1">
        <f t="shared" si="46"/>
        <v>0</v>
      </c>
      <c r="BY116" s="1">
        <f t="shared" si="46"/>
        <v>0</v>
      </c>
      <c r="BZ116" s="1">
        <f t="shared" si="46"/>
        <v>0</v>
      </c>
      <c r="CA116" s="1">
        <f t="shared" si="46"/>
        <v>0</v>
      </c>
      <c r="CB116" s="1">
        <f t="shared" si="46"/>
        <v>0</v>
      </c>
      <c r="CC116" s="1">
        <f t="shared" si="23"/>
        <v>115</v>
      </c>
      <c r="CD116" s="1">
        <f t="shared" si="43"/>
        <v>31</v>
      </c>
      <c r="CE116" s="1">
        <v>22</v>
      </c>
      <c r="CF116" s="1">
        <v>0</v>
      </c>
      <c r="CG116" s="1">
        <v>0</v>
      </c>
      <c r="CH116" s="1">
        <v>0.25</v>
      </c>
      <c r="CI116" s="1">
        <v>0</v>
      </c>
      <c r="CJ116" s="1">
        <f t="shared" ref="CJ116:CJ121" si="47">$CG116*AZ116</f>
        <v>0</v>
      </c>
      <c r="CK116" s="1">
        <f t="shared" ref="CK116:CK121" si="48">$CG116*BA116</f>
        <v>0</v>
      </c>
      <c r="CL116" s="1">
        <f t="shared" ref="CL116:CL121" si="49">$CG116*BB116</f>
        <v>0</v>
      </c>
      <c r="CM116" s="1">
        <f t="shared" ref="CM116:CM121" si="50">$CG116*BC116</f>
        <v>0</v>
      </c>
      <c r="CN116" s="1">
        <f t="shared" ref="CN116:CN121" si="51">$CG116*BD116</f>
        <v>0</v>
      </c>
      <c r="CO116" s="1">
        <f t="shared" ref="CO116:CO121" si="52">$CG116*BE116</f>
        <v>0</v>
      </c>
      <c r="CP116" s="1">
        <f t="shared" ref="CP116:CP121" si="53">$CG116*BF116</f>
        <v>0</v>
      </c>
      <c r="CQ116" s="1">
        <f t="shared" ref="CQ116:CQ121" si="54">$CG116*BG116</f>
        <v>0</v>
      </c>
      <c r="CR116" s="1">
        <f t="shared" ref="CR116:CR121" si="55">$CG116*BH116</f>
        <v>0</v>
      </c>
      <c r="CS116" s="1">
        <f t="shared" ref="CS116:CS121" si="56">$CG116*BI116</f>
        <v>0</v>
      </c>
      <c r="CT116" s="1">
        <f t="shared" ref="CT116:CT121" si="57">$CG116*BJ116</f>
        <v>0</v>
      </c>
      <c r="CU116" s="1">
        <f t="shared" ref="CU116:CU121" si="58">$CG116*BK116</f>
        <v>0</v>
      </c>
      <c r="CV116" s="1">
        <f t="shared" ref="CV116:CV121" si="59">$CG116*BL116</f>
        <v>0</v>
      </c>
      <c r="CW116" s="1">
        <f t="shared" ref="CW116:CW121" si="60">$CG116*BM116</f>
        <v>0</v>
      </c>
      <c r="CX116" s="1">
        <f t="shared" ref="CX116:CX121" si="61">$CH116*AZ116</f>
        <v>1.3916666666666657</v>
      </c>
      <c r="CY116" s="1">
        <f t="shared" ref="CY116:CY121" si="62">$CH116*BA116</f>
        <v>15.177083333333336</v>
      </c>
      <c r="CZ116" s="1">
        <f t="shared" ref="CZ116:CZ121" si="63">$CH116*BB116</f>
        <v>8.2291666666667318E-2</v>
      </c>
      <c r="DA116" s="1">
        <f t="shared" ref="DA116:DA121" si="64">$CH116*BC116</f>
        <v>29.367708333333336</v>
      </c>
      <c r="DB116" s="1">
        <f t="shared" ref="DB116:DB121" si="65">$CH116*BD116</f>
        <v>0</v>
      </c>
      <c r="DC116" s="1">
        <f t="shared" ref="DC116:DC121" si="66">$CH116*BE116</f>
        <v>44.78541666666667</v>
      </c>
      <c r="DD116" s="1">
        <f t="shared" ref="DD116:DD121" si="67">$CH116*BF116</f>
        <v>0</v>
      </c>
      <c r="DE116" s="1">
        <f t="shared" ref="DE116:DE121" si="68">$CH116*BG116</f>
        <v>60.28541666666667</v>
      </c>
      <c r="DF116" s="1">
        <f t="shared" ref="DF116:DF121" si="69">$CH116*BH116</f>
        <v>0</v>
      </c>
      <c r="DG116" s="1">
        <f t="shared" ref="DG116:DG121" si="70">$CH116*BI116</f>
        <v>75.785416666666663</v>
      </c>
      <c r="DH116" s="1">
        <f t="shared" ref="DH116:DH121" si="71">$CH116*BJ116</f>
        <v>0</v>
      </c>
      <c r="DI116" s="1">
        <f t="shared" ref="DI116:DI121" si="72">$CH116*BK116</f>
        <v>91.285416666666677</v>
      </c>
      <c r="DJ116" s="1">
        <f t="shared" ref="DJ116:DJ121" si="73">$CH116*BL116</f>
        <v>0</v>
      </c>
      <c r="DK116" s="1">
        <f t="shared" ref="DK116:DK121" si="74">$CH116*BM116</f>
        <v>106.78541666666669</v>
      </c>
      <c r="DL116" s="24">
        <v>580916.24</v>
      </c>
      <c r="DM116" s="25">
        <v>1161.04</v>
      </c>
      <c r="DN116" s="24"/>
      <c r="DO116" s="25"/>
      <c r="DP116" s="25"/>
      <c r="DQ116" s="25"/>
      <c r="DR116" s="25"/>
      <c r="DS116" s="25"/>
      <c r="DT116" s="25"/>
      <c r="DU116" s="25"/>
      <c r="DV116" s="25"/>
    </row>
    <row r="117" spans="1:126" x14ac:dyDescent="0.25">
      <c r="A117" s="252">
        <v>45505</v>
      </c>
      <c r="B117" s="253">
        <f t="shared" si="44"/>
        <v>2024</v>
      </c>
      <c r="C117" s="253">
        <f t="shared" si="45"/>
        <v>8</v>
      </c>
      <c r="D117" s="254">
        <v>52840633.213745594</v>
      </c>
      <c r="E117" s="254">
        <f ca="1">IFERROR(VLOOKUP($B117-1,CDM!$L$7:$T$18,2,FALSE)/12,0)+IFERROR(VLOOKUP($B117,CDM!$L$36:$T$46,2,FALSE)/24,0)+IFERROR(VLOOKUP($B117,CDM!$L$36:$T$46,2,FALSE)/2*$C117/78,0)</f>
        <v>2574642.3077051053</v>
      </c>
      <c r="F117" s="254">
        <f ca="1">D117+E117</f>
        <v>55415275.521450698</v>
      </c>
      <c r="G117" s="255">
        <v>58228</v>
      </c>
      <c r="H117" s="254">
        <v>11679555.388697714</v>
      </c>
      <c r="I117" s="254">
        <f ca="1">IFERROR(VLOOKUP($B117-1,CDM!$L$7:$T$18,3,FALSE)/12,0)+IFERROR(VLOOKUP($B117,CDM!$L$36:$T$46,3,FALSE)/24,0)+IFERROR(VLOOKUP($B117,CDM!$L$36:$T$46,3,FALSE)/2*$C117/78,0)</f>
        <v>841514.86376436928</v>
      </c>
      <c r="J117" s="254">
        <f ca="1">H117+I117</f>
        <v>12521070.252462083</v>
      </c>
      <c r="K117" s="256">
        <v>4440</v>
      </c>
      <c r="L117" s="254">
        <v>23309708.375874825</v>
      </c>
      <c r="M117" s="257">
        <f ca="1">IFERROR(VLOOKUP($B117-1,CDM!$L$7:$T$18,4,FALSE)/12,0)+IFERROR(VLOOKUP($B117,CDM!$L$36:$T$46,4,FALSE)/24,0)+IFERROR(VLOOKUP($B117,CDM!$L$36:$T$46,4,FALSE)/2*$C117/78,0)</f>
        <v>1199460.399472883</v>
      </c>
      <c r="N117" s="254">
        <f ca="1">L117+M117</f>
        <v>24509168.77534771</v>
      </c>
      <c r="O117" s="254">
        <v>69124.743367658361</v>
      </c>
      <c r="P117" s="256">
        <v>519</v>
      </c>
      <c r="Q117" s="254">
        <v>8209188</v>
      </c>
      <c r="R117" s="256">
        <f ca="1">IFERROR(VLOOKUP($B117-1,CDM!$L$7:$T$18,5,FALSE)/12,0)+IFERROR(VLOOKUP($B117,CDM!$L$36:$T$46,5,FALSE)/24,0)+IFERROR(VLOOKUP($B117,CDM!$L$36:$T$46,5,FALSE)/2*$C117/78,0)</f>
        <v>1066643.2017256534</v>
      </c>
      <c r="S117" s="256">
        <f ca="1">Q117+R117</f>
        <v>9275831.2017256543</v>
      </c>
      <c r="T117" s="254">
        <v>18164.05637135524</v>
      </c>
      <c r="U117" s="256">
        <v>17</v>
      </c>
      <c r="V117" s="254">
        <v>3316006.9165116199</v>
      </c>
      <c r="W117" s="256">
        <f ca="1">IFERROR(VLOOKUP($B117-1,CDM!$L$7:$T$18,6,FALSE)/12,0)+IFERROR(VLOOKUP($B117,CDM!$L$36:$T$46,6,FALSE)/24,0)+IFERROR(VLOOKUP($B117,CDM!$L$36:$T$46,6,FALSE)/2*$C117/78,0)</f>
        <v>56518.943955874303</v>
      </c>
      <c r="X117" s="256">
        <f ca="1">V117+W117</f>
        <v>3372525.8604674945</v>
      </c>
      <c r="Y117" s="254">
        <v>6574.0848959691029</v>
      </c>
      <c r="Z117" s="256">
        <v>1</v>
      </c>
      <c r="AA117" s="254">
        <v>305409.24904935464</v>
      </c>
      <c r="AB117" s="4">
        <v>1068.2</v>
      </c>
      <c r="AC117" s="256">
        <v>14448</v>
      </c>
      <c r="AD117" s="254">
        <v>1898.6882701275968</v>
      </c>
      <c r="AE117" s="254">
        <v>0</v>
      </c>
      <c r="AF117" s="256">
        <v>19</v>
      </c>
      <c r="AG117" s="254">
        <v>237292.92804864782</v>
      </c>
      <c r="AH117" s="4">
        <v>258</v>
      </c>
      <c r="AI117" s="28">
        <f>Economic!H119</f>
        <v>878414.56419999991</v>
      </c>
      <c r="AJ117" s="28">
        <f>Economic!I119</f>
        <v>688913.47149999999</v>
      </c>
      <c r="AK117" s="28">
        <f>Economic!J119</f>
        <v>75612.206749999998</v>
      </c>
      <c r="AL117" s="28">
        <f>Economic!K119</f>
        <v>877865</v>
      </c>
      <c r="AM117" s="28">
        <f>Economic!L119</f>
        <v>698343</v>
      </c>
      <c r="AN117" s="28">
        <f>Economic!M119</f>
        <v>33895</v>
      </c>
      <c r="AO117" s="28">
        <f>Economic!D119</f>
        <v>8066.9</v>
      </c>
      <c r="AP117" s="28">
        <f>Economic!E119</f>
        <v>8147.2</v>
      </c>
      <c r="AQ117" s="28">
        <f>Economic!F119</f>
        <v>225.1</v>
      </c>
      <c r="AR117" s="28">
        <f>Economic!G119</f>
        <v>225.5</v>
      </c>
      <c r="AS117" s="28">
        <f>Economic!N119</f>
        <v>126.39999999999964</v>
      </c>
      <c r="AT117" s="28">
        <f>Economic!O119</f>
        <v>126.89999999999964</v>
      </c>
      <c r="AU117" s="28">
        <f>Economic!P119</f>
        <v>1.5999999999999943</v>
      </c>
      <c r="AV117" s="28">
        <f>Economic!Q119</f>
        <v>1.6999999999999886</v>
      </c>
      <c r="AW117" s="28">
        <f>Economic!R119</f>
        <v>12554.964199999929</v>
      </c>
      <c r="AX117" s="28">
        <f>Economic!S119</f>
        <v>730</v>
      </c>
      <c r="AY117" s="7">
        <f>Weather!D117</f>
        <v>20.479569892473116</v>
      </c>
      <c r="AZ117" s="7">
        <f>Weather!E117</f>
        <v>26.975000000000016</v>
      </c>
      <c r="BA117" s="7">
        <f>Weather!F117</f>
        <v>41.841666666666654</v>
      </c>
      <c r="BB117" s="7">
        <f>Weather!G117</f>
        <v>8.2333333333333432</v>
      </c>
      <c r="BC117" s="7">
        <f>Weather!H117</f>
        <v>85.09999999999998</v>
      </c>
      <c r="BD117" s="7">
        <f>Weather!I117</f>
        <v>1.7583333333333346</v>
      </c>
      <c r="BE117" s="7">
        <f>Weather!J117</f>
        <v>140.625</v>
      </c>
      <c r="BF117" s="7">
        <f>Weather!K117</f>
        <v>0</v>
      </c>
      <c r="BG117" s="7">
        <f>Weather!L117</f>
        <v>200.86666666666665</v>
      </c>
      <c r="BH117" s="7">
        <f>Weather!M117</f>
        <v>0</v>
      </c>
      <c r="BI117" s="7">
        <f>Weather!N117</f>
        <v>262.86666666666667</v>
      </c>
      <c r="BJ117" s="7">
        <f>Weather!O117</f>
        <v>0</v>
      </c>
      <c r="BK117" s="7">
        <f>Weather!P117</f>
        <v>324.86666666666667</v>
      </c>
      <c r="BL117" s="7">
        <f>Weather!Q117</f>
        <v>0</v>
      </c>
      <c r="BM117" s="7">
        <f>Weather!R117</f>
        <v>386.86666666666656</v>
      </c>
      <c r="BN117" s="1">
        <f t="shared" ref="BN117:CB117" si="75">BN105</f>
        <v>0</v>
      </c>
      <c r="BO117" s="1">
        <f t="shared" si="75"/>
        <v>0</v>
      </c>
      <c r="BP117" s="1">
        <f t="shared" si="75"/>
        <v>0</v>
      </c>
      <c r="BQ117" s="1">
        <f t="shared" si="75"/>
        <v>0</v>
      </c>
      <c r="BR117" s="1">
        <f t="shared" si="75"/>
        <v>0</v>
      </c>
      <c r="BS117" s="1">
        <f t="shared" si="75"/>
        <v>0</v>
      </c>
      <c r="BT117" s="1">
        <f t="shared" si="75"/>
        <v>0</v>
      </c>
      <c r="BU117" s="1">
        <f t="shared" si="75"/>
        <v>1</v>
      </c>
      <c r="BV117" s="1">
        <f t="shared" si="75"/>
        <v>0</v>
      </c>
      <c r="BW117" s="1">
        <f t="shared" si="75"/>
        <v>0</v>
      </c>
      <c r="BX117" s="1">
        <f t="shared" si="75"/>
        <v>0</v>
      </c>
      <c r="BY117" s="1">
        <f t="shared" si="75"/>
        <v>0</v>
      </c>
      <c r="BZ117" s="1">
        <f t="shared" si="75"/>
        <v>0</v>
      </c>
      <c r="CA117" s="1">
        <f t="shared" si="75"/>
        <v>0</v>
      </c>
      <c r="CB117" s="1">
        <f t="shared" si="75"/>
        <v>0</v>
      </c>
      <c r="CC117" s="1">
        <f t="shared" si="23"/>
        <v>116</v>
      </c>
      <c r="CD117" s="1">
        <f t="shared" si="43"/>
        <v>31</v>
      </c>
      <c r="CE117" s="1">
        <v>22</v>
      </c>
      <c r="CF117" s="1">
        <v>0</v>
      </c>
      <c r="CG117" s="1">
        <v>0</v>
      </c>
      <c r="CH117" s="1">
        <v>0.25</v>
      </c>
      <c r="CI117" s="1">
        <v>0</v>
      </c>
      <c r="CJ117" s="1">
        <f t="shared" si="47"/>
        <v>0</v>
      </c>
      <c r="CK117" s="1">
        <f t="shared" si="48"/>
        <v>0</v>
      </c>
      <c r="CL117" s="1">
        <f t="shared" si="49"/>
        <v>0</v>
      </c>
      <c r="CM117" s="1">
        <f t="shared" si="50"/>
        <v>0</v>
      </c>
      <c r="CN117" s="1">
        <f t="shared" si="51"/>
        <v>0</v>
      </c>
      <c r="CO117" s="1">
        <f t="shared" si="52"/>
        <v>0</v>
      </c>
      <c r="CP117" s="1">
        <f t="shared" si="53"/>
        <v>0</v>
      </c>
      <c r="CQ117" s="1">
        <f t="shared" si="54"/>
        <v>0</v>
      </c>
      <c r="CR117" s="1">
        <f t="shared" si="55"/>
        <v>0</v>
      </c>
      <c r="CS117" s="1">
        <f t="shared" si="56"/>
        <v>0</v>
      </c>
      <c r="CT117" s="1">
        <f t="shared" si="57"/>
        <v>0</v>
      </c>
      <c r="CU117" s="1">
        <f t="shared" si="58"/>
        <v>0</v>
      </c>
      <c r="CV117" s="1">
        <f t="shared" si="59"/>
        <v>0</v>
      </c>
      <c r="CW117" s="1">
        <f t="shared" si="60"/>
        <v>0</v>
      </c>
      <c r="CX117" s="1">
        <f t="shared" si="61"/>
        <v>6.7437500000000039</v>
      </c>
      <c r="CY117" s="1">
        <f t="shared" si="62"/>
        <v>10.460416666666664</v>
      </c>
      <c r="CZ117" s="1">
        <f t="shared" si="63"/>
        <v>2.0583333333333358</v>
      </c>
      <c r="DA117" s="1">
        <f t="shared" si="64"/>
        <v>21.274999999999995</v>
      </c>
      <c r="DB117" s="1">
        <f t="shared" si="65"/>
        <v>0.43958333333333366</v>
      </c>
      <c r="DC117" s="1">
        <f t="shared" si="66"/>
        <v>35.15625</v>
      </c>
      <c r="DD117" s="1">
        <f t="shared" si="67"/>
        <v>0</v>
      </c>
      <c r="DE117" s="1">
        <f t="shared" si="68"/>
        <v>50.216666666666661</v>
      </c>
      <c r="DF117" s="1">
        <f t="shared" si="69"/>
        <v>0</v>
      </c>
      <c r="DG117" s="1">
        <f t="shared" si="70"/>
        <v>65.716666666666669</v>
      </c>
      <c r="DH117" s="1">
        <f t="shared" si="71"/>
        <v>0</v>
      </c>
      <c r="DI117" s="1">
        <f t="shared" si="72"/>
        <v>81.216666666666669</v>
      </c>
      <c r="DJ117" s="1">
        <f t="shared" si="73"/>
        <v>0</v>
      </c>
      <c r="DK117" s="1">
        <f t="shared" si="74"/>
        <v>96.71666666666664</v>
      </c>
      <c r="DL117" s="24">
        <v>579779.56000000006</v>
      </c>
      <c r="DM117" s="25">
        <v>1105.08</v>
      </c>
      <c r="DN117" s="24"/>
      <c r="DO117" s="25"/>
      <c r="DP117" s="25"/>
      <c r="DQ117" s="25"/>
      <c r="DR117" s="25"/>
      <c r="DS117" s="25"/>
      <c r="DT117" s="25"/>
      <c r="DU117" s="25"/>
      <c r="DV117" s="25"/>
    </row>
    <row r="118" spans="1:126" x14ac:dyDescent="0.25">
      <c r="A118" s="252">
        <v>45536</v>
      </c>
      <c r="B118" s="253">
        <f t="shared" si="44"/>
        <v>2024</v>
      </c>
      <c r="C118" s="253">
        <f t="shared" si="45"/>
        <v>9</v>
      </c>
      <c r="D118" s="254">
        <v>44736937.938814506</v>
      </c>
      <c r="E118" s="254">
        <f ca="1">IFERROR(VLOOKUP($B118-1,CDM!$L$7:$T$18,2,FALSE)/12,0)+IFERROR(VLOOKUP($B118,CDM!$L$36:$T$46,2,FALSE)/24,0)+IFERROR(VLOOKUP($B118,CDM!$L$36:$T$46,2,FALSE)/2*$C118/78,0)</f>
        <v>2581779.8442776641</v>
      </c>
      <c r="F118" s="254">
        <f ca="1">D118+E118</f>
        <v>47318717.783092171</v>
      </c>
      <c r="G118" s="255">
        <v>58188</v>
      </c>
      <c r="H118" s="254">
        <v>10307109.043923948</v>
      </c>
      <c r="I118" s="254">
        <f ca="1">IFERROR(VLOOKUP($B118-1,CDM!$L$7:$T$18,3,FALSE)/12,0)+IFERROR(VLOOKUP($B118,CDM!$L$36:$T$46,3,FALSE)/24,0)+IFERROR(VLOOKUP($B118,CDM!$L$36:$T$46,3,FALSE)/2*$C118/78,0)</f>
        <v>848156.62147644756</v>
      </c>
      <c r="J118" s="254">
        <f ca="1">H118+I118</f>
        <v>11155265.665400395</v>
      </c>
      <c r="K118" s="256">
        <v>4445</v>
      </c>
      <c r="L118" s="254">
        <v>22695072.424319964</v>
      </c>
      <c r="M118" s="257">
        <f ca="1">IFERROR(VLOOKUP($B118-1,CDM!$L$7:$T$18,4,FALSE)/12,0)+IFERROR(VLOOKUP($B118,CDM!$L$36:$T$46,4,FALSE)/24,0)+IFERROR(VLOOKUP($B118,CDM!$L$36:$T$46,4,FALSE)/2*$C118/78,0)</f>
        <v>1210471.9970104333</v>
      </c>
      <c r="N118" s="254">
        <f ca="1">L118+M118</f>
        <v>23905544.421330396</v>
      </c>
      <c r="O118" s="254">
        <v>68419.875310557924</v>
      </c>
      <c r="P118" s="256">
        <v>520</v>
      </c>
      <c r="Q118" s="254">
        <v>7024729</v>
      </c>
      <c r="R118" s="256">
        <f ca="1">IFERROR(VLOOKUP($B118-1,CDM!$L$7:$T$18,5,FALSE)/12,0)+IFERROR(VLOOKUP($B118,CDM!$L$36:$T$46,5,FALSE)/24,0)+IFERROR(VLOOKUP($B118,CDM!$L$36:$T$46,5,FALSE)/2*$C118/78,0)</f>
        <v>1075171.5399563529</v>
      </c>
      <c r="S118" s="256">
        <f ca="1">Q118+R118</f>
        <v>8099900.5399563527</v>
      </c>
      <c r="T118" s="254">
        <v>16147.252085904909</v>
      </c>
      <c r="U118" s="256">
        <v>17</v>
      </c>
      <c r="V118" s="254">
        <v>3312866.9165906771</v>
      </c>
      <c r="W118" s="256">
        <f ca="1">IFERROR(VLOOKUP($B118-1,CDM!$L$7:$T$18,6,FALSE)/12,0)+IFERROR(VLOOKUP($B118,CDM!$L$36:$T$46,6,FALSE)/24,0)+IFERROR(VLOOKUP($B118,CDM!$L$36:$T$46,6,FALSE)/2*$C118/78,0)</f>
        <v>57444.396839705529</v>
      </c>
      <c r="X118" s="256">
        <f ca="1">V118+W118</f>
        <v>3370311.3134303829</v>
      </c>
      <c r="Y118" s="254">
        <v>6460.6951603161278</v>
      </c>
      <c r="Z118" s="256">
        <v>1</v>
      </c>
      <c r="AA118" s="254">
        <v>310014.15123356093</v>
      </c>
      <c r="AB118" s="4">
        <v>1068.2</v>
      </c>
      <c r="AC118" s="256">
        <v>14448</v>
      </c>
      <c r="AD118" s="254">
        <v>1961.9778791318502</v>
      </c>
      <c r="AE118" s="254">
        <v>0</v>
      </c>
      <c r="AF118" s="256">
        <v>19</v>
      </c>
      <c r="AG118" s="254">
        <v>240019.66037959626</v>
      </c>
      <c r="AH118" s="4">
        <v>260</v>
      </c>
      <c r="AI118" s="28">
        <f>Economic!H120</f>
        <v>878414.56419999991</v>
      </c>
      <c r="AJ118" s="28">
        <f>Economic!I120</f>
        <v>688913.47149999999</v>
      </c>
      <c r="AK118" s="28">
        <f>Economic!J120</f>
        <v>75612.206749999998</v>
      </c>
      <c r="AL118" s="28">
        <f>Economic!K120</f>
        <v>877865</v>
      </c>
      <c r="AM118" s="28">
        <f>Economic!L120</f>
        <v>698343</v>
      </c>
      <c r="AN118" s="28">
        <f>Economic!M120</f>
        <v>33895</v>
      </c>
      <c r="AO118" s="28">
        <f>Economic!D120</f>
        <v>8086</v>
      </c>
      <c r="AP118" s="28">
        <f>Economic!E120</f>
        <v>8123.6</v>
      </c>
      <c r="AQ118" s="28">
        <f>Economic!F120</f>
        <v>226.9</v>
      </c>
      <c r="AR118" s="28">
        <f>Economic!G120</f>
        <v>225.9</v>
      </c>
      <c r="AS118" s="28">
        <f>Economic!N120</f>
        <v>141</v>
      </c>
      <c r="AT118" s="28">
        <f>Economic!O120</f>
        <v>155.20000000000073</v>
      </c>
      <c r="AU118" s="28">
        <f>Economic!P120</f>
        <v>3</v>
      </c>
      <c r="AV118" s="28">
        <f>Economic!Q120</f>
        <v>3.8000000000000114</v>
      </c>
      <c r="AW118" s="28">
        <f>Economic!R120</f>
        <v>12554.964199999929</v>
      </c>
      <c r="AX118" s="28">
        <f>Economic!S120</f>
        <v>730</v>
      </c>
      <c r="AY118" s="7">
        <f>Weather!D118</f>
        <v>17.709999999999997</v>
      </c>
      <c r="AZ118" s="7">
        <f>Weather!E118</f>
        <v>69.33750000000002</v>
      </c>
      <c r="BA118" s="7">
        <f>Weather!F118</f>
        <v>0.63750000000000284</v>
      </c>
      <c r="BB118" s="7">
        <f>Weather!G118</f>
        <v>29.36666666666666</v>
      </c>
      <c r="BC118" s="7">
        <f>Weather!H118</f>
        <v>20.666666666666679</v>
      </c>
      <c r="BD118" s="7">
        <f>Weather!I118</f>
        <v>10.920833333333333</v>
      </c>
      <c r="BE118" s="7">
        <f>Weather!J118</f>
        <v>62.220833333333331</v>
      </c>
      <c r="BF118" s="7">
        <f>Weather!K118</f>
        <v>2.5625000000000036</v>
      </c>
      <c r="BG118" s="7">
        <f>Weather!L118</f>
        <v>113.86250000000001</v>
      </c>
      <c r="BH118" s="7">
        <f>Weather!M118</f>
        <v>0</v>
      </c>
      <c r="BI118" s="7">
        <f>Weather!N118</f>
        <v>171.29999999999998</v>
      </c>
      <c r="BJ118" s="7">
        <f>Weather!O118</f>
        <v>0</v>
      </c>
      <c r="BK118" s="7">
        <f>Weather!P118</f>
        <v>231.3</v>
      </c>
      <c r="BL118" s="7">
        <f>Weather!Q118</f>
        <v>0</v>
      </c>
      <c r="BM118" s="7">
        <f>Weather!R118</f>
        <v>291.30000000000007</v>
      </c>
      <c r="BN118" s="1">
        <f t="shared" ref="BN118:CB118" si="76">BN106</f>
        <v>0</v>
      </c>
      <c r="BO118" s="1">
        <f t="shared" si="76"/>
        <v>0</v>
      </c>
      <c r="BP118" s="1">
        <f t="shared" si="76"/>
        <v>0</v>
      </c>
      <c r="BQ118" s="1">
        <f t="shared" si="76"/>
        <v>0</v>
      </c>
      <c r="BR118" s="1">
        <f t="shared" si="76"/>
        <v>0</v>
      </c>
      <c r="BS118" s="1">
        <f t="shared" si="76"/>
        <v>0</v>
      </c>
      <c r="BT118" s="1">
        <f t="shared" si="76"/>
        <v>0</v>
      </c>
      <c r="BU118" s="1">
        <f t="shared" si="76"/>
        <v>0</v>
      </c>
      <c r="BV118" s="1">
        <f t="shared" si="76"/>
        <v>1</v>
      </c>
      <c r="BW118" s="1">
        <f t="shared" si="76"/>
        <v>0</v>
      </c>
      <c r="BX118" s="1">
        <f t="shared" si="76"/>
        <v>0</v>
      </c>
      <c r="BY118" s="1">
        <f t="shared" si="76"/>
        <v>0</v>
      </c>
      <c r="BZ118" s="1">
        <f t="shared" si="76"/>
        <v>0</v>
      </c>
      <c r="CA118" s="1">
        <f t="shared" si="76"/>
        <v>1</v>
      </c>
      <c r="CB118" s="1">
        <f t="shared" si="76"/>
        <v>1</v>
      </c>
      <c r="CC118" s="1">
        <f>1+CC117</f>
        <v>117</v>
      </c>
      <c r="CD118" s="1">
        <f t="shared" si="43"/>
        <v>30</v>
      </c>
      <c r="CE118" s="1">
        <v>20</v>
      </c>
      <c r="CF118" s="1">
        <v>0</v>
      </c>
      <c r="CG118" s="1">
        <v>0</v>
      </c>
      <c r="CH118" s="1">
        <v>0.25</v>
      </c>
      <c r="CI118" s="1">
        <v>0</v>
      </c>
      <c r="CJ118" s="1">
        <f t="shared" si="47"/>
        <v>0</v>
      </c>
      <c r="CK118" s="1">
        <f t="shared" si="48"/>
        <v>0</v>
      </c>
      <c r="CL118" s="1">
        <f t="shared" si="49"/>
        <v>0</v>
      </c>
      <c r="CM118" s="1">
        <f t="shared" si="50"/>
        <v>0</v>
      </c>
      <c r="CN118" s="1">
        <f t="shared" si="51"/>
        <v>0</v>
      </c>
      <c r="CO118" s="1">
        <f t="shared" si="52"/>
        <v>0</v>
      </c>
      <c r="CP118" s="1">
        <f t="shared" si="53"/>
        <v>0</v>
      </c>
      <c r="CQ118" s="1">
        <f t="shared" si="54"/>
        <v>0</v>
      </c>
      <c r="CR118" s="1">
        <f t="shared" si="55"/>
        <v>0</v>
      </c>
      <c r="CS118" s="1">
        <f t="shared" si="56"/>
        <v>0</v>
      </c>
      <c r="CT118" s="1">
        <f t="shared" si="57"/>
        <v>0</v>
      </c>
      <c r="CU118" s="1">
        <f t="shared" si="58"/>
        <v>0</v>
      </c>
      <c r="CV118" s="1">
        <f t="shared" si="59"/>
        <v>0</v>
      </c>
      <c r="CW118" s="1">
        <f t="shared" si="60"/>
        <v>0</v>
      </c>
      <c r="CX118" s="1">
        <f t="shared" si="61"/>
        <v>17.334375000000005</v>
      </c>
      <c r="CY118" s="1">
        <f t="shared" si="62"/>
        <v>0.15937500000000071</v>
      </c>
      <c r="CZ118" s="1">
        <f t="shared" si="63"/>
        <v>7.341666666666665</v>
      </c>
      <c r="DA118" s="1">
        <f t="shared" si="64"/>
        <v>5.1666666666666696</v>
      </c>
      <c r="DB118" s="1">
        <f t="shared" si="65"/>
        <v>2.7302083333333331</v>
      </c>
      <c r="DC118" s="1">
        <f t="shared" si="66"/>
        <v>15.555208333333333</v>
      </c>
      <c r="DD118" s="1">
        <f t="shared" si="67"/>
        <v>0.64062500000000089</v>
      </c>
      <c r="DE118" s="1">
        <f t="shared" si="68"/>
        <v>28.465625000000003</v>
      </c>
      <c r="DF118" s="1">
        <f t="shared" si="69"/>
        <v>0</v>
      </c>
      <c r="DG118" s="1">
        <f t="shared" si="70"/>
        <v>42.824999999999996</v>
      </c>
      <c r="DH118" s="1">
        <f t="shared" si="71"/>
        <v>0</v>
      </c>
      <c r="DI118" s="1">
        <f t="shared" si="72"/>
        <v>57.825000000000003</v>
      </c>
      <c r="DJ118" s="1">
        <f t="shared" si="73"/>
        <v>0</v>
      </c>
      <c r="DK118" s="1">
        <f t="shared" si="74"/>
        <v>72.825000000000017</v>
      </c>
      <c r="DL118" s="24">
        <v>553751.56000000006</v>
      </c>
      <c r="DM118" s="25">
        <v>1095.8</v>
      </c>
      <c r="DN118" s="24"/>
      <c r="DO118" s="25"/>
      <c r="DP118" s="25"/>
      <c r="DQ118" s="25"/>
      <c r="DR118" s="25"/>
      <c r="DS118" s="25"/>
      <c r="DT118" s="25"/>
      <c r="DU118" s="25"/>
      <c r="DV118" s="25"/>
    </row>
    <row r="119" spans="1:126" x14ac:dyDescent="0.25">
      <c r="A119" s="252">
        <v>45566</v>
      </c>
      <c r="B119" s="253">
        <f t="shared" si="44"/>
        <v>2024</v>
      </c>
      <c r="C119" s="253">
        <f t="shared" si="45"/>
        <v>10</v>
      </c>
      <c r="D119" s="254">
        <v>37288576.955145448</v>
      </c>
      <c r="E119" s="254">
        <f ca="1">IFERROR(VLOOKUP($B119-1,CDM!$L$7:$T$18,2,FALSE)/12,0)+IFERROR(VLOOKUP($B119,CDM!$L$36:$T$46,2,FALSE)/24,0)+IFERROR(VLOOKUP($B119,CDM!$L$36:$T$46,2,FALSE)/2*$C119/78,0)</f>
        <v>2588917.3808502234</v>
      </c>
      <c r="F119" s="254">
        <f ca="1">D119+E119</f>
        <v>39877494.335995674</v>
      </c>
      <c r="G119" s="255">
        <v>58092</v>
      </c>
      <c r="H119" s="254">
        <v>9667416.326619219</v>
      </c>
      <c r="I119" s="254">
        <f ca="1">IFERROR(VLOOKUP($B119-1,CDM!$L$7:$T$18,3,FALSE)/12,0)+IFERROR(VLOOKUP($B119,CDM!$L$36:$T$46,3,FALSE)/24,0)+IFERROR(VLOOKUP($B119,CDM!$L$36:$T$46,3,FALSE)/2*$C119/78,0)</f>
        <v>854798.37918852584</v>
      </c>
      <c r="J119" s="254">
        <f ca="1">H119+I119</f>
        <v>10522214.705807745</v>
      </c>
      <c r="K119" s="256">
        <v>4447</v>
      </c>
      <c r="L119" s="254">
        <v>23911830.302156769</v>
      </c>
      <c r="M119" s="257">
        <f ca="1">IFERROR(VLOOKUP($B119-1,CDM!$L$7:$T$18,4,FALSE)/12,0)+IFERROR(VLOOKUP($B119,CDM!$L$36:$T$46,4,FALSE)/24,0)+IFERROR(VLOOKUP($B119,CDM!$L$36:$T$46,4,FALSE)/2*$C119/78,0)</f>
        <v>1221483.594547984</v>
      </c>
      <c r="N119" s="254">
        <f ca="1">L119+M119</f>
        <v>25133313.896704752</v>
      </c>
      <c r="O119" s="254">
        <v>70112.389599957853</v>
      </c>
      <c r="P119" s="256">
        <v>520</v>
      </c>
      <c r="Q119" s="254">
        <v>6364849</v>
      </c>
      <c r="R119" s="256">
        <f ca="1">IFERROR(VLOOKUP($B119-1,CDM!$L$7:$T$18,5,FALSE)/12,0)+IFERROR(VLOOKUP($B119,CDM!$L$36:$T$46,5,FALSE)/24,0)+IFERROR(VLOOKUP($B119,CDM!$L$36:$T$46,5,FALSE)/2*$C119/78,0)</f>
        <v>1083699.8781870524</v>
      </c>
      <c r="S119" s="256">
        <f ca="1">Q119+R119</f>
        <v>7448548.8781870529</v>
      </c>
      <c r="T119" s="254">
        <v>15717.906979987658</v>
      </c>
      <c r="U119" s="256">
        <v>17</v>
      </c>
      <c r="V119" s="254">
        <v>3279055.9174419497</v>
      </c>
      <c r="W119" s="256">
        <f ca="1">IFERROR(VLOOKUP($B119-1,CDM!$L$7:$T$18,6,FALSE)/12,0)+IFERROR(VLOOKUP($B119,CDM!$L$36:$T$46,6,FALSE)/24,0)+IFERROR(VLOOKUP($B119,CDM!$L$36:$T$46,6,FALSE)/2*$C119/78,0)</f>
        <v>58369.849723536761</v>
      </c>
      <c r="X119" s="256">
        <f ca="1">V119+W119</f>
        <v>3337425.7671654867</v>
      </c>
      <c r="Y119" s="254">
        <v>7414.0088637689114</v>
      </c>
      <c r="Z119" s="256">
        <v>1</v>
      </c>
      <c r="AA119" s="254">
        <v>429149.4792617255</v>
      </c>
      <c r="AB119" s="4">
        <v>1068.2</v>
      </c>
      <c r="AC119" s="256">
        <v>14448</v>
      </c>
      <c r="AD119" s="254">
        <v>1898.6882701275968</v>
      </c>
      <c r="AE119" s="254">
        <v>0</v>
      </c>
      <c r="AF119" s="256">
        <v>19</v>
      </c>
      <c r="AG119" s="254">
        <v>239795.94393007399</v>
      </c>
      <c r="AH119" s="4">
        <v>260</v>
      </c>
      <c r="AI119" s="28">
        <f>Economic!H121</f>
        <v>878414.56419999991</v>
      </c>
      <c r="AJ119" s="28">
        <f>Economic!I121</f>
        <v>688913.47149999999</v>
      </c>
      <c r="AK119" s="28">
        <f>Economic!J121</f>
        <v>75612.206749999998</v>
      </c>
      <c r="AL119" s="28">
        <f>Economic!K121</f>
        <v>882184.85199999996</v>
      </c>
      <c r="AM119" s="28">
        <f>Economic!L121</f>
        <v>696368.01749999996</v>
      </c>
      <c r="AN119" s="28">
        <f>Economic!M121</f>
        <v>33982.7065</v>
      </c>
      <c r="AO119" s="28">
        <f>Economic!D121</f>
        <v>8094</v>
      </c>
      <c r="AP119" s="28">
        <f>Economic!E121</f>
        <v>8109.5</v>
      </c>
      <c r="AQ119" s="28">
        <f>Economic!F121</f>
        <v>228.7</v>
      </c>
      <c r="AR119" s="28">
        <f>Economic!G121</f>
        <v>225.9</v>
      </c>
      <c r="AS119" s="28">
        <f>Economic!N121</f>
        <v>144.19999999999982</v>
      </c>
      <c r="AT119" s="28">
        <f>Economic!O121</f>
        <v>162.30000000000018</v>
      </c>
      <c r="AU119" s="28">
        <f>Economic!P121</f>
        <v>5.5999999999999943</v>
      </c>
      <c r="AV119" s="28">
        <f>Economic!Q121</f>
        <v>5.2000000000000171</v>
      </c>
      <c r="AW119" s="28">
        <f>Economic!R121</f>
        <v>12554.964199999929</v>
      </c>
      <c r="AX119" s="28">
        <f>Economic!S121</f>
        <v>4319.8519999999553</v>
      </c>
      <c r="AY119" s="7">
        <f>Weather!D119</f>
        <v>10.453494623655915</v>
      </c>
      <c r="AZ119" s="7">
        <f>Weather!E119</f>
        <v>295.94166666666661</v>
      </c>
      <c r="BA119" s="7">
        <f>Weather!F119</f>
        <v>0</v>
      </c>
      <c r="BB119" s="7">
        <f>Weather!G119</f>
        <v>233.94166666666658</v>
      </c>
      <c r="BC119" s="7">
        <f>Weather!H119</f>
        <v>0</v>
      </c>
      <c r="BD119" s="7">
        <f>Weather!I119</f>
        <v>174.98749999999998</v>
      </c>
      <c r="BE119" s="7">
        <f>Weather!J119</f>
        <v>3.0458333333333378</v>
      </c>
      <c r="BF119" s="7">
        <f>Weather!K119</f>
        <v>122.06250000000001</v>
      </c>
      <c r="BG119" s="7">
        <f>Weather!L119</f>
        <v>12.120833333333337</v>
      </c>
      <c r="BH119" s="7">
        <f>Weather!M119</f>
        <v>79.04583333333332</v>
      </c>
      <c r="BI119" s="7">
        <f>Weather!N119</f>
        <v>31.104166666666679</v>
      </c>
      <c r="BJ119" s="7">
        <f>Weather!O119</f>
        <v>46.029166666666669</v>
      </c>
      <c r="BK119" s="7">
        <f>Weather!P119</f>
        <v>60.087500000000006</v>
      </c>
      <c r="BL119" s="7">
        <f>Weather!Q119</f>
        <v>18.616666666666671</v>
      </c>
      <c r="BM119" s="7">
        <f>Weather!R119</f>
        <v>94.675000000000011</v>
      </c>
      <c r="BN119" s="1">
        <f t="shared" ref="BN119:CB119" si="77">BN107</f>
        <v>0</v>
      </c>
      <c r="BO119" s="1">
        <f t="shared" si="77"/>
        <v>0</v>
      </c>
      <c r="BP119" s="1">
        <f t="shared" si="77"/>
        <v>0</v>
      </c>
      <c r="BQ119" s="1">
        <f t="shared" si="77"/>
        <v>0</v>
      </c>
      <c r="BR119" s="1">
        <f t="shared" si="77"/>
        <v>0</v>
      </c>
      <c r="BS119" s="1">
        <f t="shared" si="77"/>
        <v>0</v>
      </c>
      <c r="BT119" s="1">
        <f t="shared" si="77"/>
        <v>0</v>
      </c>
      <c r="BU119" s="1">
        <f t="shared" si="77"/>
        <v>0</v>
      </c>
      <c r="BV119" s="1">
        <f t="shared" si="77"/>
        <v>0</v>
      </c>
      <c r="BW119" s="1">
        <f t="shared" si="77"/>
        <v>1</v>
      </c>
      <c r="BX119" s="1">
        <f t="shared" si="77"/>
        <v>0</v>
      </c>
      <c r="BY119" s="1">
        <f t="shared" si="77"/>
        <v>0</v>
      </c>
      <c r="BZ119" s="1">
        <f t="shared" si="77"/>
        <v>0</v>
      </c>
      <c r="CA119" s="1">
        <f t="shared" si="77"/>
        <v>1</v>
      </c>
      <c r="CB119" s="1">
        <f t="shared" si="77"/>
        <v>1</v>
      </c>
      <c r="CC119" s="1">
        <f>1+CC118</f>
        <v>118</v>
      </c>
      <c r="CD119" s="1">
        <f t="shared" si="43"/>
        <v>31</v>
      </c>
      <c r="CE119" s="1">
        <v>22</v>
      </c>
      <c r="CF119" s="1">
        <v>0</v>
      </c>
      <c r="CG119" s="1">
        <v>0</v>
      </c>
      <c r="CH119" s="1">
        <v>0.25</v>
      </c>
      <c r="CI119" s="1">
        <v>0</v>
      </c>
      <c r="CJ119" s="1">
        <f t="shared" si="47"/>
        <v>0</v>
      </c>
      <c r="CK119" s="1">
        <f t="shared" si="48"/>
        <v>0</v>
      </c>
      <c r="CL119" s="1">
        <f t="shared" si="49"/>
        <v>0</v>
      </c>
      <c r="CM119" s="1">
        <f t="shared" si="50"/>
        <v>0</v>
      </c>
      <c r="CN119" s="1">
        <f t="shared" si="51"/>
        <v>0</v>
      </c>
      <c r="CO119" s="1">
        <f t="shared" si="52"/>
        <v>0</v>
      </c>
      <c r="CP119" s="1">
        <f t="shared" si="53"/>
        <v>0</v>
      </c>
      <c r="CQ119" s="1">
        <f t="shared" si="54"/>
        <v>0</v>
      </c>
      <c r="CR119" s="1">
        <f t="shared" si="55"/>
        <v>0</v>
      </c>
      <c r="CS119" s="1">
        <f t="shared" si="56"/>
        <v>0</v>
      </c>
      <c r="CT119" s="1">
        <f t="shared" si="57"/>
        <v>0</v>
      </c>
      <c r="CU119" s="1">
        <f t="shared" si="58"/>
        <v>0</v>
      </c>
      <c r="CV119" s="1">
        <f t="shared" si="59"/>
        <v>0</v>
      </c>
      <c r="CW119" s="1">
        <f t="shared" si="60"/>
        <v>0</v>
      </c>
      <c r="CX119" s="1">
        <f t="shared" si="61"/>
        <v>73.985416666666652</v>
      </c>
      <c r="CY119" s="1">
        <f t="shared" si="62"/>
        <v>0</v>
      </c>
      <c r="CZ119" s="1">
        <f t="shared" si="63"/>
        <v>58.485416666666644</v>
      </c>
      <c r="DA119" s="1">
        <f t="shared" si="64"/>
        <v>0</v>
      </c>
      <c r="DB119" s="1">
        <f t="shared" si="65"/>
        <v>43.746874999999996</v>
      </c>
      <c r="DC119" s="1">
        <f t="shared" si="66"/>
        <v>0.76145833333333446</v>
      </c>
      <c r="DD119" s="1">
        <f t="shared" si="67"/>
        <v>30.515625000000004</v>
      </c>
      <c r="DE119" s="1">
        <f t="shared" si="68"/>
        <v>3.0302083333333343</v>
      </c>
      <c r="DF119" s="1">
        <f t="shared" si="69"/>
        <v>19.76145833333333</v>
      </c>
      <c r="DG119" s="1">
        <f t="shared" si="70"/>
        <v>7.7760416666666696</v>
      </c>
      <c r="DH119" s="1">
        <f t="shared" si="71"/>
        <v>11.507291666666667</v>
      </c>
      <c r="DI119" s="1">
        <f t="shared" si="72"/>
        <v>15.021875000000001</v>
      </c>
      <c r="DJ119" s="1">
        <f t="shared" si="73"/>
        <v>4.6541666666666677</v>
      </c>
      <c r="DK119" s="1">
        <f t="shared" si="74"/>
        <v>23.668750000000003</v>
      </c>
      <c r="DL119" s="24">
        <v>507796.62</v>
      </c>
      <c r="DM119" s="25">
        <v>958.75</v>
      </c>
      <c r="DN119" s="24"/>
      <c r="DO119" s="25"/>
      <c r="DP119" s="25"/>
      <c r="DQ119" s="25"/>
      <c r="DR119" s="25"/>
      <c r="DS119" s="25"/>
      <c r="DT119" s="25"/>
      <c r="DU119" s="25"/>
      <c r="DV119" s="25"/>
    </row>
    <row r="120" spans="1:126" x14ac:dyDescent="0.25">
      <c r="A120" s="252">
        <v>45597</v>
      </c>
      <c r="B120" s="253">
        <f t="shared" si="44"/>
        <v>2024</v>
      </c>
      <c r="C120" s="253">
        <f t="shared" si="45"/>
        <v>11</v>
      </c>
      <c r="D120" s="254">
        <v>38330942.515100919</v>
      </c>
      <c r="E120" s="254">
        <f ca="1">IFERROR(VLOOKUP($B120-1,CDM!$L$7:$T$18,2,FALSE)/12,0)+IFERROR(VLOOKUP($B120,CDM!$L$36:$T$46,2,FALSE)/24,0)+IFERROR(VLOOKUP($B120,CDM!$L$36:$T$46,2,FALSE)/2*$C120/78,0)</f>
        <v>2596054.9174227822</v>
      </c>
      <c r="F120" s="254">
        <f ca="1">D120+E120</f>
        <v>40926997.432523698</v>
      </c>
      <c r="G120" s="255">
        <v>58153</v>
      </c>
      <c r="H120" s="254">
        <v>10257648.426669974</v>
      </c>
      <c r="I120" s="254">
        <f ca="1">IFERROR(VLOOKUP($B120-1,CDM!$L$7:$T$18,3,FALSE)/12,0)+IFERROR(VLOOKUP($B120,CDM!$L$36:$T$46,3,FALSE)/24,0)+IFERROR(VLOOKUP($B120,CDM!$L$36:$T$46,3,FALSE)/2*$C120/78,0)</f>
        <v>861440.13690060412</v>
      </c>
      <c r="J120" s="254">
        <f ca="1">H120+I120</f>
        <v>11119088.563570578</v>
      </c>
      <c r="K120" s="256">
        <v>4465</v>
      </c>
      <c r="L120" s="254">
        <v>26872170.606379732</v>
      </c>
      <c r="M120" s="257">
        <f ca="1">IFERROR(VLOOKUP($B120-1,CDM!$L$7:$T$18,4,FALSE)/12,0)+IFERROR(VLOOKUP($B120,CDM!$L$36:$T$46,4,FALSE)/24,0)+IFERROR(VLOOKUP($B120,CDM!$L$36:$T$46,4,FALSE)/2*$C120/78,0)</f>
        <v>1232495.1920855346</v>
      </c>
      <c r="N120" s="254">
        <f ca="1">L120+M120</f>
        <v>28104665.798465267</v>
      </c>
      <c r="O120" s="254">
        <v>78350.629856116502</v>
      </c>
      <c r="P120" s="256">
        <v>520</v>
      </c>
      <c r="Q120" s="254">
        <v>5936890</v>
      </c>
      <c r="R120" s="256">
        <f ca="1">IFERROR(VLOOKUP($B120-1,CDM!$L$7:$T$18,5,FALSE)/12,0)+IFERROR(VLOOKUP($B120,CDM!$L$36:$T$46,5,FALSE)/24,0)+IFERROR(VLOOKUP($B120,CDM!$L$36:$T$46,5,FALSE)/2*$C120/78,0)</f>
        <v>1092228.216417752</v>
      </c>
      <c r="S120" s="256">
        <f ca="1">Q120+R120</f>
        <v>7029118.2164177522</v>
      </c>
      <c r="T120" s="254">
        <v>14312.358050728573</v>
      </c>
      <c r="U120" s="256">
        <v>17</v>
      </c>
      <c r="V120" s="254">
        <v>3208593.9192159981</v>
      </c>
      <c r="W120" s="256">
        <f ca="1">IFERROR(VLOOKUP($B120-1,CDM!$L$7:$T$18,6,FALSE)/12,0)+IFERROR(VLOOKUP($B120,CDM!$L$36:$T$46,6,FALSE)/24,0)+IFERROR(VLOOKUP($B120,CDM!$L$36:$T$46,6,FALSE)/2*$C120/78,0)</f>
        <v>59295.302607367994</v>
      </c>
      <c r="X120" s="256">
        <f ca="1">V120+W120</f>
        <v>3267889.2218233664</v>
      </c>
      <c r="Y120" s="254">
        <v>6380.5516311261927</v>
      </c>
      <c r="Z120" s="256">
        <v>1</v>
      </c>
      <c r="AA120" s="254">
        <v>452488.34949830169</v>
      </c>
      <c r="AB120" s="4">
        <v>1068.2</v>
      </c>
      <c r="AC120" s="256">
        <v>14448</v>
      </c>
      <c r="AD120" s="254">
        <v>1676.4794313535101</v>
      </c>
      <c r="AE120" s="254">
        <v>0</v>
      </c>
      <c r="AF120" s="256">
        <v>19</v>
      </c>
      <c r="AG120" s="254">
        <v>240387.83946916874</v>
      </c>
      <c r="AH120" s="4">
        <v>261</v>
      </c>
      <c r="AI120" s="28">
        <f>Economic!H122</f>
        <v>878414.56419999991</v>
      </c>
      <c r="AJ120" s="28">
        <f>Economic!I122</f>
        <v>688913.47149999999</v>
      </c>
      <c r="AK120" s="28">
        <f>Economic!J122</f>
        <v>75612.206749999998</v>
      </c>
      <c r="AL120" s="28">
        <f>Economic!K122</f>
        <v>882184.85199999996</v>
      </c>
      <c r="AM120" s="28">
        <f>Economic!L122</f>
        <v>696368.01749999996</v>
      </c>
      <c r="AN120" s="28">
        <f>Economic!M122</f>
        <v>33982.7065</v>
      </c>
      <c r="AO120" s="28">
        <f>Economic!D122</f>
        <v>8102.8</v>
      </c>
      <c r="AP120" s="28">
        <f>Economic!E122</f>
        <v>8101.2</v>
      </c>
      <c r="AQ120" s="28">
        <f>Economic!F122</f>
        <v>228.7</v>
      </c>
      <c r="AR120" s="28">
        <f>Economic!G122</f>
        <v>225.9</v>
      </c>
      <c r="AS120" s="28">
        <f>Economic!N122</f>
        <v>149.40000000000055</v>
      </c>
      <c r="AT120" s="28">
        <f>Economic!O122</f>
        <v>161.89999999999964</v>
      </c>
      <c r="AU120" s="28">
        <f>Economic!P122</f>
        <v>3.7999999999999829</v>
      </c>
      <c r="AV120" s="28">
        <f>Economic!Q122</f>
        <v>2.8000000000000114</v>
      </c>
      <c r="AW120" s="28">
        <f>Economic!R122</f>
        <v>12554.964199999929</v>
      </c>
      <c r="AX120" s="28">
        <f>Economic!S122</f>
        <v>4319.8519999999553</v>
      </c>
      <c r="AY120" s="7">
        <f>Weather!D120</f>
        <v>5.790277777777777</v>
      </c>
      <c r="AZ120" s="7">
        <f>Weather!E120</f>
        <v>426.29166666666663</v>
      </c>
      <c r="BA120" s="7">
        <f>Weather!F120</f>
        <v>0</v>
      </c>
      <c r="BB120" s="7">
        <f>Weather!G120</f>
        <v>366.29166666666663</v>
      </c>
      <c r="BC120" s="7">
        <f>Weather!H120</f>
        <v>0</v>
      </c>
      <c r="BD120" s="7">
        <f>Weather!I120</f>
        <v>307.79583333333329</v>
      </c>
      <c r="BE120" s="7">
        <f>Weather!J120</f>
        <v>1.5041666666666629</v>
      </c>
      <c r="BF120" s="7">
        <f>Weather!K120</f>
        <v>251.79583333333335</v>
      </c>
      <c r="BG120" s="7">
        <f>Weather!L120</f>
        <v>5.5041666666666629</v>
      </c>
      <c r="BH120" s="7">
        <f>Weather!M120</f>
        <v>195.79583333333335</v>
      </c>
      <c r="BI120" s="7">
        <f>Weather!N120</f>
        <v>9.5041666666666629</v>
      </c>
      <c r="BJ120" s="7">
        <f>Weather!O120</f>
        <v>141.32083333333335</v>
      </c>
      <c r="BK120" s="7">
        <f>Weather!P120</f>
        <v>15.029166666666661</v>
      </c>
      <c r="BL120" s="7">
        <f>Weather!Q120</f>
        <v>93.433333333333351</v>
      </c>
      <c r="BM120" s="7">
        <f>Weather!R120</f>
        <v>27.141666666666666</v>
      </c>
      <c r="BN120" s="1">
        <f t="shared" ref="BN120:CB120" si="78">BN108</f>
        <v>0</v>
      </c>
      <c r="BO120" s="1">
        <f t="shared" si="78"/>
        <v>0</v>
      </c>
      <c r="BP120" s="1">
        <f t="shared" si="78"/>
        <v>0</v>
      </c>
      <c r="BQ120" s="1">
        <f t="shared" si="78"/>
        <v>0</v>
      </c>
      <c r="BR120" s="1">
        <f t="shared" si="78"/>
        <v>0</v>
      </c>
      <c r="BS120" s="1">
        <f t="shared" si="78"/>
        <v>0</v>
      </c>
      <c r="BT120" s="1">
        <f t="shared" si="78"/>
        <v>0</v>
      </c>
      <c r="BU120" s="1">
        <f t="shared" si="78"/>
        <v>0</v>
      </c>
      <c r="BV120" s="1">
        <f t="shared" si="78"/>
        <v>0</v>
      </c>
      <c r="BW120" s="1">
        <f t="shared" si="78"/>
        <v>0</v>
      </c>
      <c r="BX120" s="1">
        <f t="shared" si="78"/>
        <v>1</v>
      </c>
      <c r="BY120" s="1">
        <f t="shared" si="78"/>
        <v>0</v>
      </c>
      <c r="BZ120" s="1">
        <f t="shared" si="78"/>
        <v>0</v>
      </c>
      <c r="CA120" s="1">
        <f t="shared" si="78"/>
        <v>1</v>
      </c>
      <c r="CB120" s="1">
        <f t="shared" si="78"/>
        <v>1</v>
      </c>
      <c r="CC120" s="1">
        <f>1+CC119</f>
        <v>119</v>
      </c>
      <c r="CD120" s="1">
        <f t="shared" si="43"/>
        <v>30</v>
      </c>
      <c r="CE120" s="1">
        <v>21</v>
      </c>
      <c r="CF120" s="1">
        <v>0</v>
      </c>
      <c r="CG120" s="1">
        <v>0</v>
      </c>
      <c r="CH120" s="1">
        <v>0.25</v>
      </c>
      <c r="CI120" s="1">
        <v>0</v>
      </c>
      <c r="CJ120" s="1">
        <f t="shared" si="47"/>
        <v>0</v>
      </c>
      <c r="CK120" s="1">
        <f t="shared" si="48"/>
        <v>0</v>
      </c>
      <c r="CL120" s="1">
        <f t="shared" si="49"/>
        <v>0</v>
      </c>
      <c r="CM120" s="1">
        <f t="shared" si="50"/>
        <v>0</v>
      </c>
      <c r="CN120" s="1">
        <f t="shared" si="51"/>
        <v>0</v>
      </c>
      <c r="CO120" s="1">
        <f t="shared" si="52"/>
        <v>0</v>
      </c>
      <c r="CP120" s="1">
        <f t="shared" si="53"/>
        <v>0</v>
      </c>
      <c r="CQ120" s="1">
        <f t="shared" si="54"/>
        <v>0</v>
      </c>
      <c r="CR120" s="1">
        <f t="shared" si="55"/>
        <v>0</v>
      </c>
      <c r="CS120" s="1">
        <f t="shared" si="56"/>
        <v>0</v>
      </c>
      <c r="CT120" s="1">
        <f t="shared" si="57"/>
        <v>0</v>
      </c>
      <c r="CU120" s="1">
        <f t="shared" si="58"/>
        <v>0</v>
      </c>
      <c r="CV120" s="1">
        <f t="shared" si="59"/>
        <v>0</v>
      </c>
      <c r="CW120" s="1">
        <f t="shared" si="60"/>
        <v>0</v>
      </c>
      <c r="CX120" s="1">
        <f t="shared" si="61"/>
        <v>106.57291666666666</v>
      </c>
      <c r="CY120" s="1">
        <f t="shared" si="62"/>
        <v>0</v>
      </c>
      <c r="CZ120" s="1">
        <f t="shared" si="63"/>
        <v>91.572916666666657</v>
      </c>
      <c r="DA120" s="1">
        <f t="shared" si="64"/>
        <v>0</v>
      </c>
      <c r="DB120" s="1">
        <f t="shared" si="65"/>
        <v>76.948958333333323</v>
      </c>
      <c r="DC120" s="1">
        <f t="shared" si="66"/>
        <v>0.37604166666666572</v>
      </c>
      <c r="DD120" s="1">
        <f t="shared" si="67"/>
        <v>62.948958333333337</v>
      </c>
      <c r="DE120" s="1">
        <f t="shared" si="68"/>
        <v>1.3760416666666657</v>
      </c>
      <c r="DF120" s="1">
        <f t="shared" si="69"/>
        <v>48.948958333333337</v>
      </c>
      <c r="DG120" s="1">
        <f t="shared" si="70"/>
        <v>2.3760416666666657</v>
      </c>
      <c r="DH120" s="1">
        <f t="shared" si="71"/>
        <v>35.330208333333339</v>
      </c>
      <c r="DI120" s="1">
        <f t="shared" si="72"/>
        <v>3.7572916666666654</v>
      </c>
      <c r="DJ120" s="1">
        <f t="shared" si="73"/>
        <v>23.358333333333338</v>
      </c>
      <c r="DK120" s="1">
        <f t="shared" si="74"/>
        <v>6.7854166666666664</v>
      </c>
      <c r="DL120" s="24">
        <v>467636.17000000004</v>
      </c>
      <c r="DM120" s="25">
        <v>888.96</v>
      </c>
      <c r="DN120" s="24"/>
      <c r="DO120" s="25"/>
      <c r="DP120" s="25"/>
      <c r="DQ120" s="25"/>
      <c r="DR120" s="25"/>
      <c r="DS120" s="25"/>
      <c r="DT120" s="25"/>
      <c r="DU120" s="25"/>
      <c r="DV120" s="25"/>
    </row>
    <row r="121" spans="1:126" x14ac:dyDescent="0.25">
      <c r="A121" s="252">
        <v>45627</v>
      </c>
      <c r="B121" s="253">
        <f t="shared" si="44"/>
        <v>2024</v>
      </c>
      <c r="C121" s="253">
        <f t="shared" si="45"/>
        <v>12</v>
      </c>
      <c r="D121" s="254">
        <v>45370044.421225294</v>
      </c>
      <c r="E121" s="254">
        <f ca="1">IFERROR(VLOOKUP($B121-1,CDM!$L$7:$T$18,2,FALSE)/12,0)+IFERROR(VLOOKUP($B121,CDM!$L$36:$T$46,2,FALSE)/24,0)+IFERROR(VLOOKUP($B121,CDM!$L$36:$T$46,2,FALSE)/2*$C121/78,0)</f>
        <v>2603192.453995341</v>
      </c>
      <c r="F121" s="254">
        <f ca="1">D121+E121</f>
        <v>47973236.875220634</v>
      </c>
      <c r="G121" s="255">
        <v>58046</v>
      </c>
      <c r="H121" s="254">
        <v>12105563.353561178</v>
      </c>
      <c r="I121" s="254">
        <f ca="1">IFERROR(VLOOKUP($B121-1,CDM!$L$7:$T$18,3,FALSE)/12,0)+IFERROR(VLOOKUP($B121,CDM!$L$36:$T$46,3,FALSE)/24,0)+IFERROR(VLOOKUP($B121,CDM!$L$36:$T$46,3,FALSE)/2*$C121/78,0)</f>
        <v>868081.89461268252</v>
      </c>
      <c r="J121" s="254">
        <f ca="1">H121+I121</f>
        <v>12973645.248173861</v>
      </c>
      <c r="K121" s="256">
        <v>4297</v>
      </c>
      <c r="L121" s="254">
        <v>32528680.406571653</v>
      </c>
      <c r="M121" s="257">
        <f ca="1">IFERROR(VLOOKUP($B121-1,CDM!$L$7:$T$18,4,FALSE)/12,0)+IFERROR(VLOOKUP($B121,CDM!$L$36:$T$46,4,FALSE)/24,0)+IFERROR(VLOOKUP($B121,CDM!$L$36:$T$46,4,FALSE)/2*$C121/78,0)</f>
        <v>1243506.7896230849</v>
      </c>
      <c r="N121" s="254">
        <f ca="1">L121+M121</f>
        <v>33772187.196194738</v>
      </c>
      <c r="O121" s="254">
        <v>96428.469675849818</v>
      </c>
      <c r="P121" s="256">
        <v>519</v>
      </c>
      <c r="Q121" s="254">
        <v>6347631</v>
      </c>
      <c r="R121" s="256">
        <f ca="1">IFERROR(VLOOKUP($B121-1,CDM!$L$7:$T$18,5,FALSE)/12,0)+IFERROR(VLOOKUP($B121,CDM!$L$36:$T$46,5,FALSE)/24,0)+IFERROR(VLOOKUP($B121,CDM!$L$36:$T$46,5,FALSE)/2*$C121/78,0)</f>
        <v>1100756.5546484515</v>
      </c>
      <c r="S121" s="256">
        <f ca="1">Q121+R121</f>
        <v>7448387.5546484515</v>
      </c>
      <c r="T121" s="254">
        <v>14252.329718986524</v>
      </c>
      <c r="U121" s="256">
        <v>17</v>
      </c>
      <c r="V121" s="254">
        <v>3132939.9211207679</v>
      </c>
      <c r="W121" s="256">
        <f ca="1">IFERROR(VLOOKUP($B121-1,CDM!$L$7:$T$18,6,FALSE)/12,0)+IFERROR(VLOOKUP($B121,CDM!$L$36:$T$46,6,FALSE)/24,0)+IFERROR(VLOOKUP($B121,CDM!$L$36:$T$46,6,FALSE)/2*$C121/78,0)</f>
        <v>60220.755491199219</v>
      </c>
      <c r="X121" s="256">
        <f ca="1">V121+W121</f>
        <v>3193160.6766119674</v>
      </c>
      <c r="Y121" s="254">
        <v>6808.4236829852489</v>
      </c>
      <c r="Z121" s="256">
        <v>1</v>
      </c>
      <c r="AA121" s="254">
        <v>490875.03596112435</v>
      </c>
      <c r="AB121" s="4">
        <v>1068</v>
      </c>
      <c r="AC121" s="256">
        <v>14448</v>
      </c>
      <c r="AD121" s="254">
        <v>1676.4794313535101</v>
      </c>
      <c r="AE121" s="254">
        <v>75</v>
      </c>
      <c r="AF121" s="256">
        <v>19</v>
      </c>
      <c r="AG121" s="254">
        <v>240783.10530375069</v>
      </c>
      <c r="AH121" s="4">
        <v>262</v>
      </c>
      <c r="AI121" s="28">
        <f>Economic!H123</f>
        <v>878414.56419999991</v>
      </c>
      <c r="AJ121" s="28">
        <f>Economic!I123</f>
        <v>688913.47149999999</v>
      </c>
      <c r="AK121" s="28">
        <f>Economic!J123</f>
        <v>75612.206749999998</v>
      </c>
      <c r="AL121" s="28">
        <f>Economic!K123</f>
        <v>882184.85199999996</v>
      </c>
      <c r="AM121" s="28">
        <f>Economic!L123</f>
        <v>696368.01749999996</v>
      </c>
      <c r="AN121" s="28">
        <f>Economic!M123</f>
        <v>33982.7065</v>
      </c>
      <c r="AO121" s="28">
        <f>Economic!D123</f>
        <v>8105.1</v>
      </c>
      <c r="AP121" s="28">
        <f>Economic!E123</f>
        <v>8097.3</v>
      </c>
      <c r="AQ121" s="28">
        <f>Economic!F123</f>
        <v>227</v>
      </c>
      <c r="AR121" s="28">
        <f>Economic!G123</f>
        <v>225.8</v>
      </c>
      <c r="AS121" s="28">
        <f>Economic!N123</f>
        <v>167.10000000000036</v>
      </c>
      <c r="AT121" s="28">
        <f>Economic!O123</f>
        <v>159.10000000000036</v>
      </c>
      <c r="AU121" s="28">
        <f>Economic!P123</f>
        <v>0.69999999999998863</v>
      </c>
      <c r="AV121" s="28">
        <f>Economic!Q123</f>
        <v>-0.5</v>
      </c>
      <c r="AW121" s="28">
        <f>Economic!R123</f>
        <v>12554.964199999929</v>
      </c>
      <c r="AX121" s="28">
        <f>Economic!S123</f>
        <v>4319.8519999999553</v>
      </c>
      <c r="AY121" s="7">
        <f>Weather!D121</f>
        <v>-1.3088709677419357</v>
      </c>
      <c r="AZ121" s="7">
        <f>Weather!E121</f>
        <v>660.57500000000016</v>
      </c>
      <c r="BA121" s="7">
        <f>Weather!F121</f>
        <v>0</v>
      </c>
      <c r="BB121" s="7">
        <f>Weather!G121</f>
        <v>598.57499999999993</v>
      </c>
      <c r="BC121" s="7">
        <f>Weather!H121</f>
        <v>0</v>
      </c>
      <c r="BD121" s="7">
        <f>Weather!I121</f>
        <v>536.57500000000005</v>
      </c>
      <c r="BE121" s="7">
        <f>Weather!J121</f>
        <v>0</v>
      </c>
      <c r="BF121" s="7">
        <f>Weather!K121</f>
        <v>474.57499999999999</v>
      </c>
      <c r="BG121" s="7">
        <f>Weather!L121</f>
        <v>0</v>
      </c>
      <c r="BH121" s="7">
        <f>Weather!M121</f>
        <v>412.57499999999999</v>
      </c>
      <c r="BI121" s="7">
        <f>Weather!N121</f>
        <v>0</v>
      </c>
      <c r="BJ121" s="7">
        <f>Weather!O121</f>
        <v>350.57499999999993</v>
      </c>
      <c r="BK121" s="7">
        <f>Weather!P121</f>
        <v>0</v>
      </c>
      <c r="BL121" s="7">
        <f>Weather!Q121</f>
        <v>288.57499999999993</v>
      </c>
      <c r="BM121" s="7">
        <f>Weather!R121</f>
        <v>0</v>
      </c>
      <c r="BN121" s="1">
        <f t="shared" ref="BN121:CB121" si="79">BN109</f>
        <v>0</v>
      </c>
      <c r="BO121" s="1">
        <f t="shared" si="79"/>
        <v>0</v>
      </c>
      <c r="BP121" s="1">
        <f t="shared" si="79"/>
        <v>0</v>
      </c>
      <c r="BQ121" s="1">
        <f t="shared" si="79"/>
        <v>0</v>
      </c>
      <c r="BR121" s="1">
        <f t="shared" si="79"/>
        <v>0</v>
      </c>
      <c r="BS121" s="1">
        <f t="shared" si="79"/>
        <v>0</v>
      </c>
      <c r="BT121" s="1">
        <f t="shared" si="79"/>
        <v>0</v>
      </c>
      <c r="BU121" s="1">
        <f t="shared" si="79"/>
        <v>0</v>
      </c>
      <c r="BV121" s="1">
        <f t="shared" si="79"/>
        <v>0</v>
      </c>
      <c r="BW121" s="1">
        <f t="shared" si="79"/>
        <v>0</v>
      </c>
      <c r="BX121" s="1">
        <f t="shared" si="79"/>
        <v>0</v>
      </c>
      <c r="BY121" s="1">
        <f t="shared" si="79"/>
        <v>1</v>
      </c>
      <c r="BZ121" s="1">
        <f t="shared" si="79"/>
        <v>0</v>
      </c>
      <c r="CA121" s="1">
        <f t="shared" si="79"/>
        <v>0</v>
      </c>
      <c r="CB121" s="1">
        <f t="shared" si="79"/>
        <v>0</v>
      </c>
      <c r="CC121" s="1">
        <f>1+CC120</f>
        <v>120</v>
      </c>
      <c r="CD121" s="1">
        <f t="shared" si="43"/>
        <v>31</v>
      </c>
      <c r="CE121" s="1">
        <v>20</v>
      </c>
      <c r="CF121" s="1">
        <v>0</v>
      </c>
      <c r="CG121" s="1">
        <v>0</v>
      </c>
      <c r="CH121" s="1">
        <v>0.25</v>
      </c>
      <c r="CI121" s="1">
        <v>0</v>
      </c>
      <c r="CJ121" s="1">
        <f t="shared" si="47"/>
        <v>0</v>
      </c>
      <c r="CK121" s="1">
        <f t="shared" si="48"/>
        <v>0</v>
      </c>
      <c r="CL121" s="1">
        <f t="shared" si="49"/>
        <v>0</v>
      </c>
      <c r="CM121" s="1">
        <f t="shared" si="50"/>
        <v>0</v>
      </c>
      <c r="CN121" s="1">
        <f t="shared" si="51"/>
        <v>0</v>
      </c>
      <c r="CO121" s="1">
        <f t="shared" si="52"/>
        <v>0</v>
      </c>
      <c r="CP121" s="1">
        <f t="shared" si="53"/>
        <v>0</v>
      </c>
      <c r="CQ121" s="1">
        <f t="shared" si="54"/>
        <v>0</v>
      </c>
      <c r="CR121" s="1">
        <f t="shared" si="55"/>
        <v>0</v>
      </c>
      <c r="CS121" s="1">
        <f t="shared" si="56"/>
        <v>0</v>
      </c>
      <c r="CT121" s="1">
        <f t="shared" si="57"/>
        <v>0</v>
      </c>
      <c r="CU121" s="1">
        <f t="shared" si="58"/>
        <v>0</v>
      </c>
      <c r="CV121" s="1">
        <f t="shared" si="59"/>
        <v>0</v>
      </c>
      <c r="CW121" s="1">
        <f t="shared" si="60"/>
        <v>0</v>
      </c>
      <c r="CX121" s="1">
        <f t="shared" si="61"/>
        <v>165.14375000000004</v>
      </c>
      <c r="CY121" s="1">
        <f t="shared" si="62"/>
        <v>0</v>
      </c>
      <c r="CZ121" s="1">
        <f t="shared" si="63"/>
        <v>149.64374999999998</v>
      </c>
      <c r="DA121" s="1">
        <f t="shared" si="64"/>
        <v>0</v>
      </c>
      <c r="DB121" s="1">
        <f t="shared" si="65"/>
        <v>134.14375000000001</v>
      </c>
      <c r="DC121" s="1">
        <f t="shared" si="66"/>
        <v>0</v>
      </c>
      <c r="DD121" s="1">
        <f t="shared" si="67"/>
        <v>118.64375</v>
      </c>
      <c r="DE121" s="1">
        <f t="shared" si="68"/>
        <v>0</v>
      </c>
      <c r="DF121" s="1">
        <f t="shared" si="69"/>
        <v>103.14375</v>
      </c>
      <c r="DG121" s="1">
        <f t="shared" si="70"/>
        <v>0</v>
      </c>
      <c r="DH121" s="1">
        <f t="shared" si="71"/>
        <v>87.643749999999983</v>
      </c>
      <c r="DI121" s="1">
        <f t="shared" si="72"/>
        <v>0</v>
      </c>
      <c r="DJ121" s="1">
        <f t="shared" si="73"/>
        <v>72.143749999999983</v>
      </c>
      <c r="DK121" s="1">
        <f t="shared" si="74"/>
        <v>0</v>
      </c>
      <c r="DL121" s="24">
        <v>485399.18999999994</v>
      </c>
      <c r="DM121" s="25">
        <v>872.57999999999993</v>
      </c>
      <c r="DN121" s="24"/>
      <c r="DO121" s="25"/>
      <c r="DP121" s="25"/>
      <c r="DQ121" s="25"/>
      <c r="DR121" s="25"/>
      <c r="DS121" s="25"/>
      <c r="DT121" s="25"/>
      <c r="DU121" s="25"/>
      <c r="DV121" s="25"/>
    </row>
    <row r="122" spans="1:126" x14ac:dyDescent="0.25">
      <c r="A122" s="252"/>
      <c r="B122" s="253"/>
      <c r="C122" s="253"/>
      <c r="G122" s="254">
        <v>58088</v>
      </c>
      <c r="K122" s="254">
        <v>4301</v>
      </c>
      <c r="P122" s="254">
        <v>519</v>
      </c>
      <c r="U122" s="254">
        <v>17</v>
      </c>
      <c r="Z122" s="254">
        <v>1</v>
      </c>
      <c r="AC122" s="254">
        <v>14448</v>
      </c>
      <c r="AF122" s="254">
        <v>19</v>
      </c>
      <c r="AH122" s="254">
        <v>262</v>
      </c>
    </row>
    <row r="123" spans="1:126" x14ac:dyDescent="0.25">
      <c r="G123" s="18">
        <v>58095</v>
      </c>
      <c r="I123" s="4"/>
      <c r="J123" s="4"/>
      <c r="K123" s="18">
        <v>4306</v>
      </c>
      <c r="P123" s="18">
        <v>523</v>
      </c>
      <c r="U123" s="18">
        <v>17</v>
      </c>
      <c r="Z123" s="18">
        <v>1</v>
      </c>
      <c r="AC123" s="18">
        <v>14448</v>
      </c>
      <c r="AF123" s="18">
        <v>19</v>
      </c>
      <c r="AH123" s="18">
        <v>263</v>
      </c>
    </row>
    <row r="124" spans="1:126" x14ac:dyDescent="0.25">
      <c r="G124" s="254">
        <v>58260</v>
      </c>
      <c r="I124" s="4"/>
      <c r="J124" s="4"/>
      <c r="K124" s="254">
        <v>4319</v>
      </c>
      <c r="P124" s="254">
        <v>520</v>
      </c>
      <c r="U124" s="254">
        <v>17</v>
      </c>
      <c r="Z124" s="254">
        <v>1</v>
      </c>
      <c r="AC124" s="254">
        <v>14448</v>
      </c>
      <c r="AF124" s="254">
        <v>19</v>
      </c>
      <c r="AH124" s="254">
        <v>263</v>
      </c>
    </row>
    <row r="125" spans="1:126" x14ac:dyDescent="0.25">
      <c r="G125" s="18">
        <v>58313</v>
      </c>
      <c r="K125" s="18">
        <v>4321</v>
      </c>
      <c r="P125" s="18">
        <v>521</v>
      </c>
      <c r="U125" s="18">
        <v>17</v>
      </c>
      <c r="Z125" s="18">
        <v>1</v>
      </c>
      <c r="AC125" s="18">
        <v>14448</v>
      </c>
      <c r="AF125" s="18">
        <v>19</v>
      </c>
      <c r="AH125" s="18">
        <v>263</v>
      </c>
    </row>
    <row r="126" spans="1:126" x14ac:dyDescent="0.25">
      <c r="G126" s="18">
        <v>58314</v>
      </c>
      <c r="K126" s="18">
        <v>4311</v>
      </c>
      <c r="P126" s="18">
        <v>514</v>
      </c>
      <c r="U126" s="18">
        <v>17</v>
      </c>
      <c r="Z126" s="18">
        <v>1</v>
      </c>
      <c r="AC126" s="18">
        <v>14526</v>
      </c>
      <c r="AF126" s="18">
        <v>19</v>
      </c>
      <c r="AH126" s="18">
        <v>264</v>
      </c>
    </row>
    <row r="127" spans="1:126" x14ac:dyDescent="0.25">
      <c r="G127" s="18">
        <v>58315</v>
      </c>
      <c r="K127" s="18">
        <v>4323</v>
      </c>
      <c r="P127" s="18">
        <v>511</v>
      </c>
      <c r="U127" s="18">
        <v>17</v>
      </c>
      <c r="Z127" s="18">
        <v>1</v>
      </c>
      <c r="AC127" s="18">
        <v>14526</v>
      </c>
      <c r="AF127" s="18">
        <v>19</v>
      </c>
      <c r="AH127" s="18">
        <v>264</v>
      </c>
    </row>
    <row r="128" spans="1:126" x14ac:dyDescent="0.25">
      <c r="I128" s="4"/>
      <c r="J128" s="4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X204"/>
  <sheetViews>
    <sheetView topLeftCell="N1" workbookViewId="0">
      <selection activeCell="G45" sqref="G45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11" width="9.44140625" style="1" bestFit="1" customWidth="1"/>
    <col min="12" max="12" width="9.33203125" style="1"/>
    <col min="13" max="13" width="14.77734375" style="1" bestFit="1" customWidth="1"/>
    <col min="14" max="14" width="12.88671875" style="1" bestFit="1" customWidth="1"/>
    <col min="15" max="15" width="13.88671875" style="1" bestFit="1" customWidth="1"/>
    <col min="16" max="20" width="13.77734375" style="1" customWidth="1"/>
    <col min="21" max="21" width="19.6640625" style="1" customWidth="1"/>
    <col min="22" max="22" width="13.77734375" style="1" bestFit="1" customWidth="1"/>
    <col min="23" max="23" width="12.44140625" style="1" bestFit="1" customWidth="1"/>
    <col min="24" max="16384" width="9.33203125" style="1"/>
  </cols>
  <sheetData>
    <row r="1" spans="1:21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152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409</v>
      </c>
    </row>
    <row r="2" spans="1:21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1050929.47761405</v>
      </c>
      <c r="N2" s="18">
        <f ca="1">E2*'Large Use Predicted Monthly'!$Z$11</f>
        <v>159735.61483240328</v>
      </c>
      <c r="O2" s="18">
        <f ca="1">F2*'Large Use Predicted Monthly'!$Z$12</f>
        <v>0</v>
      </c>
      <c r="P2" s="18">
        <f>G2*'Large Use Predicted Monthly'!$Z$13</f>
        <v>-2896.1396061893302</v>
      </c>
      <c r="Q2" s="18">
        <f>H2*'Large Use Predicted Monthly'!$Z$14</f>
        <v>2172165.2722322186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 ca="1">SUM(M2:T2)</f>
        <v>3379934.2250724826</v>
      </c>
    </row>
    <row r="3" spans="1:21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1050929.47761405</v>
      </c>
      <c r="N3" s="18">
        <f ca="1">E3*'Large Use Predicted Monthly'!$Z$11</f>
        <v>140791.45244851906</v>
      </c>
      <c r="O3" s="18">
        <f ca="1">F3*'Large Use Predicted Monthly'!$Z$12</f>
        <v>0</v>
      </c>
      <c r="P3" s="18">
        <f>G3*'Large Use Predicted Monthly'!$Z$13</f>
        <v>-5792.2792123786603</v>
      </c>
      <c r="Q3" s="18">
        <f>H3*'Large Use Predicted Monthly'!$Z$14</f>
        <v>1961955.7297581332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ca="1" si="3">SUM(M3:T3)</f>
        <v>3147884.380608324</v>
      </c>
    </row>
    <row r="4" spans="1:21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1050929.47761405</v>
      </c>
      <c r="N4" s="18">
        <f ca="1">E4*'Large Use Predicted Monthly'!$Z$11</f>
        <v>98389.116770376349</v>
      </c>
      <c r="O4" s="18">
        <f ca="1">F4*'Large Use Predicted Monthly'!$Z$12</f>
        <v>0</v>
      </c>
      <c r="P4" s="18">
        <f>G4*'Large Use Predicted Monthly'!$Z$13</f>
        <v>-8688.4188185679905</v>
      </c>
      <c r="Q4" s="18">
        <f>H4*'Large Use Predicted Monthly'!$Z$14</f>
        <v>2172165.2722322186</v>
      </c>
      <c r="R4" s="18">
        <f>I4*'Large Use Predicted Monthly'!$Z$15</f>
        <v>0</v>
      </c>
      <c r="S4" s="18">
        <f>J4*'Large Use Predicted Monthly'!$Z$16</f>
        <v>177044.57271687401</v>
      </c>
      <c r="T4" s="18">
        <f>K4*'Large Use Predicted Monthly'!$Z$17</f>
        <v>0</v>
      </c>
      <c r="U4" s="18">
        <f t="shared" ca="1" si="3"/>
        <v>3489840.0205149511</v>
      </c>
    </row>
    <row r="5" spans="1:21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5139</v>
      </c>
      <c r="M5" s="18">
        <f>'Large Use Predicted Monthly'!$Z$10</f>
        <v>1050929.47761405</v>
      </c>
      <c r="N5" s="18">
        <f ca="1">E5*'Large Use Predicted Monthly'!$Z$11</f>
        <v>32985.364757754884</v>
      </c>
      <c r="O5" s="18">
        <f ca="1">F5*'Large Use Predicted Monthly'!$Z$12</f>
        <v>3952.4898480923639</v>
      </c>
      <c r="P5" s="18">
        <f>G5*'Large Use Predicted Monthly'!$Z$13</f>
        <v>-11584.558424757321</v>
      </c>
      <c r="Q5" s="18">
        <f>H5*'Large Use Predicted Monthly'!$Z$14</f>
        <v>2102095.424740857</v>
      </c>
      <c r="R5" s="18">
        <f>I5*'Large Use Predicted Monthly'!$Z$15</f>
        <v>0</v>
      </c>
      <c r="S5" s="18">
        <f>J5*'Large Use Predicted Monthly'!$Z$16</f>
        <v>177044.57271687401</v>
      </c>
      <c r="T5" s="18">
        <f>K5*'Large Use Predicted Monthly'!$Z$17</f>
        <v>10791.140291496613</v>
      </c>
      <c r="U5" s="18">
        <f t="shared" ca="1" si="3"/>
        <v>3366213.9115443677</v>
      </c>
    </row>
    <row r="6" spans="1:21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5139</v>
      </c>
      <c r="M6" s="18">
        <f>'Large Use Predicted Monthly'!$Z$10</f>
        <v>1050929.47761405</v>
      </c>
      <c r="N6" s="18">
        <f ca="1">E6*'Large Use Predicted Monthly'!$Z$11</f>
        <v>2970.0174180756921</v>
      </c>
      <c r="O6" s="18">
        <f ca="1">F6*'Large Use Predicted Monthly'!$Z$12</f>
        <v>94692.759640880729</v>
      </c>
      <c r="P6" s="18">
        <f>G6*'Large Use Predicted Monthly'!$Z$13</f>
        <v>-14480.698030946651</v>
      </c>
      <c r="Q6" s="18">
        <f>H6*'Large Use Predicted Monthly'!$Z$14</f>
        <v>2172165.2722322186</v>
      </c>
      <c r="R6" s="18">
        <f>I6*'Large Use Predicted Monthly'!$Z$15</f>
        <v>0</v>
      </c>
      <c r="S6" s="18">
        <f>J6*'Large Use Predicted Monthly'!$Z$16</f>
        <v>177044.57271687401</v>
      </c>
      <c r="T6" s="18">
        <f>K6*'Large Use Predicted Monthly'!$Z$17</f>
        <v>10791.140291496613</v>
      </c>
      <c r="U6" s="18">
        <f t="shared" ca="1" si="3"/>
        <v>3494112.5418826491</v>
      </c>
    </row>
    <row r="7" spans="1:21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5139</v>
      </c>
      <c r="M7" s="18">
        <f>'Large Use Predicted Monthly'!$Z$10</f>
        <v>1050929.47761405</v>
      </c>
      <c r="N7" s="18">
        <f ca="1">E7*'Large Use Predicted Monthly'!$Z$11</f>
        <v>0</v>
      </c>
      <c r="O7" s="18">
        <f ca="1">F7*'Large Use Predicted Monthly'!$Z$12</f>
        <v>248342.9820328232</v>
      </c>
      <c r="P7" s="18">
        <f>G7*'Large Use Predicted Monthly'!$Z$13</f>
        <v>-17376.837637135981</v>
      </c>
      <c r="Q7" s="18">
        <f>H7*'Large Use Predicted Monthly'!$Z$14</f>
        <v>2102095.424740857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10791.140291496613</v>
      </c>
      <c r="U7" s="18">
        <f t="shared" ca="1" si="3"/>
        <v>3394782.1870420906</v>
      </c>
    </row>
    <row r="8" spans="1:21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6615</v>
      </c>
      <c r="M8" s="18">
        <f>'Large Use Predicted Monthly'!$Z$10</f>
        <v>1050929.47761405</v>
      </c>
      <c r="N8" s="18">
        <f ca="1">E8*'Large Use Predicted Monthly'!$Z$11</f>
        <v>0</v>
      </c>
      <c r="O8" s="18">
        <f ca="1">F8*'Large Use Predicted Monthly'!$Z$12</f>
        <v>425673.46605563629</v>
      </c>
      <c r="P8" s="18">
        <f>G8*'Large Use Predicted Monthly'!$Z$13</f>
        <v>-20272.977243325309</v>
      </c>
      <c r="Q8" s="18">
        <f>H8*'Large Use Predicted Monthly'!$Z$14</f>
        <v>2172165.2722322186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13890.522091506147</v>
      </c>
      <c r="U8" s="18">
        <f t="shared" ca="1" si="3"/>
        <v>3642385.760750086</v>
      </c>
    </row>
    <row r="9" spans="1:21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6615</v>
      </c>
      <c r="M9" s="18">
        <f>'Large Use Predicted Monthly'!$Z$10</f>
        <v>1050929.47761405</v>
      </c>
      <c r="N9" s="18">
        <f ca="1">E9*'Large Use Predicted Monthly'!$Z$11</f>
        <v>0</v>
      </c>
      <c r="O9" s="18">
        <f ca="1">F9*'Large Use Predicted Monthly'!$Z$12</f>
        <v>380603.73281770444</v>
      </c>
      <c r="P9" s="18">
        <f>G9*'Large Use Predicted Monthly'!$Z$13</f>
        <v>-23169.116849514641</v>
      </c>
      <c r="Q9" s="18">
        <f>H9*'Large Use Predicted Monthly'!$Z$14</f>
        <v>2172165.2722322186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13890.522091506147</v>
      </c>
      <c r="U9" s="18">
        <f t="shared" ca="1" si="3"/>
        <v>3594419.8879059646</v>
      </c>
    </row>
    <row r="10" spans="1:21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6615</v>
      </c>
      <c r="M10" s="18">
        <f>'Large Use Predicted Monthly'!$Z$10</f>
        <v>1050929.47761405</v>
      </c>
      <c r="N10" s="18">
        <f ca="1">E10*'Large Use Predicted Monthly'!$Z$11</f>
        <v>0</v>
      </c>
      <c r="O10" s="18">
        <f ca="1">F10*'Large Use Predicted Monthly'!$Z$12</f>
        <v>191985.4880462749</v>
      </c>
      <c r="P10" s="18">
        <f>G10*'Large Use Predicted Monthly'!$Z$13</f>
        <v>-26065.256455703973</v>
      </c>
      <c r="Q10" s="18">
        <f>H10*'Large Use Predicted Monthly'!$Z$14</f>
        <v>2102095.424740857</v>
      </c>
      <c r="R10" s="18">
        <f>I10*'Large Use Predicted Monthly'!$Z$15</f>
        <v>0</v>
      </c>
      <c r="S10" s="18">
        <f>J10*'Large Use Predicted Monthly'!$Z$16</f>
        <v>177044.57271687401</v>
      </c>
      <c r="T10" s="18">
        <f>K10*'Large Use Predicted Monthly'!$Z$17</f>
        <v>13890.522091506147</v>
      </c>
      <c r="U10" s="18">
        <f t="shared" ca="1" si="3"/>
        <v>3509880.2287538582</v>
      </c>
    </row>
    <row r="11" spans="1:21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7443</v>
      </c>
      <c r="M11" s="18">
        <f>'Large Use Predicted Monthly'!$Z$10</f>
        <v>1050929.47761405</v>
      </c>
      <c r="N11" s="18">
        <f ca="1">E11*'Large Use Predicted Monthly'!$Z$11</f>
        <v>10211.535150396941</v>
      </c>
      <c r="O11" s="18">
        <f ca="1">F11*'Large Use Predicted Monthly'!$Z$12</f>
        <v>32450.558054830573</v>
      </c>
      <c r="P11" s="18">
        <f>G11*'Large Use Predicted Monthly'!$Z$13</f>
        <v>-28961.396061893302</v>
      </c>
      <c r="Q11" s="18">
        <f>H11*'Large Use Predicted Monthly'!$Z$14</f>
        <v>2172165.2722322186</v>
      </c>
      <c r="R11" s="18">
        <f>I11*'Large Use Predicted Monthly'!$Z$15</f>
        <v>0</v>
      </c>
      <c r="S11" s="18">
        <f>J11*'Large Use Predicted Monthly'!$Z$16</f>
        <v>177044.57271687401</v>
      </c>
      <c r="T11" s="18">
        <f>K11*'Large Use Predicted Monthly'!$Z$17</f>
        <v>15629.199686633447</v>
      </c>
      <c r="U11" s="18">
        <f t="shared" ca="1" si="3"/>
        <v>3429469.2193931104</v>
      </c>
    </row>
    <row r="12" spans="1:21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7443</v>
      </c>
      <c r="M12" s="18">
        <f>'Large Use Predicted Monthly'!$Z$10</f>
        <v>1050929.47761405</v>
      </c>
      <c r="N12" s="18">
        <f ca="1">E12*'Large Use Predicted Monthly'!$Z$11</f>
        <v>57745.396407965767</v>
      </c>
      <c r="O12" s="18">
        <f ca="1">F12*'Large Use Predicted Monthly'!$Z$12</f>
        <v>1458.3169085772493</v>
      </c>
      <c r="P12" s="18">
        <f>G12*'Large Use Predicted Monthly'!$Z$13</f>
        <v>-31857.53566808263</v>
      </c>
      <c r="Q12" s="18">
        <f>H12*'Large Use Predicted Monthly'!$Z$14</f>
        <v>2102095.424740857</v>
      </c>
      <c r="R12" s="18">
        <f>I12*'Large Use Predicted Monthly'!$Z$15</f>
        <v>0</v>
      </c>
      <c r="S12" s="18">
        <f>J12*'Large Use Predicted Monthly'!$Z$16</f>
        <v>177044.57271687401</v>
      </c>
      <c r="T12" s="18">
        <f>K12*'Large Use Predicted Monthly'!$Z$17</f>
        <v>15629.199686633447</v>
      </c>
      <c r="U12" s="18">
        <f t="shared" ca="1" si="3"/>
        <v>3373044.8524068752</v>
      </c>
    </row>
    <row r="13" spans="1:21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7443</v>
      </c>
      <c r="M13" s="18">
        <f>'Large Use Predicted Monthly'!$Z$10</f>
        <v>1050929.47761405</v>
      </c>
      <c r="N13" s="18">
        <f ca="1">E13*'Large Use Predicted Monthly'!$Z$11</f>
        <v>110902.11336856257</v>
      </c>
      <c r="O13" s="18">
        <f ca="1">F13*'Large Use Predicted Monthly'!$Z$12</f>
        <v>0</v>
      </c>
      <c r="P13" s="18">
        <f>G13*'Large Use Predicted Monthly'!$Z$13</f>
        <v>-34753.675274271962</v>
      </c>
      <c r="Q13" s="18">
        <f>H13*'Large Use Predicted Monthly'!$Z$14</f>
        <v>2172165.2722322186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15629.199686633447</v>
      </c>
      <c r="U13" s="18">
        <f t="shared" ca="1" si="3"/>
        <v>3314872.3876271928</v>
      </c>
    </row>
    <row r="14" spans="1:21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ca="1">E2</f>
        <v>387.33418478260865</v>
      </c>
      <c r="F14" s="269">
        <f ca="1">F2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5503</v>
      </c>
      <c r="M14" s="18">
        <f>'Large Use Predicted Monthly'!$Z$10</f>
        <v>1050929.47761405</v>
      </c>
      <c r="N14" s="18">
        <f ca="1">E14*'Large Use Predicted Monthly'!$Z$11</f>
        <v>159735.61483240328</v>
      </c>
      <c r="O14" s="18">
        <f ca="1">F14*'Large Use Predicted Monthly'!$Z$12</f>
        <v>0</v>
      </c>
      <c r="P14" s="18">
        <f>G14*'Large Use Predicted Monthly'!$Z$13</f>
        <v>-37649.814880461294</v>
      </c>
      <c r="Q14" s="18">
        <f>H14*'Large Use Predicted Monthly'!$Z$14</f>
        <v>2172165.2722322186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11555.486480658856</v>
      </c>
      <c r="U14" s="18">
        <f t="shared" ca="1" si="3"/>
        <v>3356736.03627887</v>
      </c>
    </row>
    <row r="15" spans="1:21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ref="E15:F30" ca="1" si="4">E3</f>
        <v>341.39751811594203</v>
      </c>
      <c r="F15" s="269">
        <f t="shared" ca="1" si="4"/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5503</v>
      </c>
      <c r="M15" s="18">
        <f>'Large Use Predicted Monthly'!$Z$10</f>
        <v>1050929.47761405</v>
      </c>
      <c r="N15" s="18">
        <f ca="1">E15*'Large Use Predicted Monthly'!$Z$11</f>
        <v>140791.45244851906</v>
      </c>
      <c r="O15" s="18">
        <f ca="1">F15*'Large Use Predicted Monthly'!$Z$12</f>
        <v>0</v>
      </c>
      <c r="P15" s="18">
        <f>G15*'Large Use Predicted Monthly'!$Z$13</f>
        <v>-40545.954486650618</v>
      </c>
      <c r="Q15" s="18">
        <f>H15*'Large Use Predicted Monthly'!$Z$14</f>
        <v>2032025.5772494951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11555.486480658856</v>
      </c>
      <c r="U15" s="18">
        <f t="shared" ca="1" si="3"/>
        <v>3194756.0393060725</v>
      </c>
    </row>
    <row r="16" spans="1:21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5503</v>
      </c>
      <c r="M16" s="18">
        <f>'Large Use Predicted Monthly'!$Z$10</f>
        <v>1050929.47761405</v>
      </c>
      <c r="N16" s="18">
        <f ca="1">E16*'Large Use Predicted Monthly'!$Z$11</f>
        <v>98389.116770376349</v>
      </c>
      <c r="O16" s="18">
        <f ca="1">F16*'Large Use Predicted Monthly'!$Z$12</f>
        <v>0</v>
      </c>
      <c r="P16" s="18">
        <f>G16*'Large Use Predicted Monthly'!$Z$13</f>
        <v>-43442.09409283995</v>
      </c>
      <c r="Q16" s="18">
        <f>H16*'Large Use Predicted Monthly'!$Z$14</f>
        <v>2172165.2722322186</v>
      </c>
      <c r="R16" s="18">
        <f>I16*'Large Use Predicted Monthly'!$Z$15</f>
        <v>0</v>
      </c>
      <c r="S16" s="18">
        <f>J16*'Large Use Predicted Monthly'!$Z$16</f>
        <v>177044.57271687401</v>
      </c>
      <c r="T16" s="18">
        <f>K16*'Large Use Predicted Monthly'!$Z$17</f>
        <v>11555.486480658856</v>
      </c>
      <c r="U16" s="18">
        <f t="shared" ca="1" si="3"/>
        <v>3466641.8317213384</v>
      </c>
    </row>
    <row r="17" spans="1:22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-2655</v>
      </c>
      <c r="M17" s="18">
        <f>'Large Use Predicted Monthly'!$Z$10</f>
        <v>1050929.47761405</v>
      </c>
      <c r="N17" s="18">
        <f ca="1">E17*'Large Use Predicted Monthly'!$Z$11</f>
        <v>32985.364757754884</v>
      </c>
      <c r="O17" s="18">
        <f ca="1">F17*'Large Use Predicted Monthly'!$Z$12</f>
        <v>3952.4898480923639</v>
      </c>
      <c r="P17" s="18">
        <f>G17*'Large Use Predicted Monthly'!$Z$13</f>
        <v>-46338.233699029282</v>
      </c>
      <c r="Q17" s="18">
        <f>H17*'Large Use Predicted Monthly'!$Z$14</f>
        <v>2102095.424740857</v>
      </c>
      <c r="R17" s="18">
        <f>I17*'Large Use Predicted Monthly'!$Z$15</f>
        <v>0</v>
      </c>
      <c r="S17" s="18">
        <f>J17*'Large Use Predicted Monthly'!$Z$16</f>
        <v>177044.57271687401</v>
      </c>
      <c r="T17" s="18">
        <f>K17*'Large Use Predicted Monthly'!$Z$17</f>
        <v>-5575.1075061147121</v>
      </c>
      <c r="U17" s="18">
        <f t="shared" ca="1" si="3"/>
        <v>3315093.9884724845</v>
      </c>
    </row>
    <row r="18" spans="1:22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-2655</v>
      </c>
      <c r="M18" s="18">
        <f>'Large Use Predicted Monthly'!$Z$10</f>
        <v>1050929.47761405</v>
      </c>
      <c r="N18" s="18">
        <f ca="1">E18*'Large Use Predicted Monthly'!$Z$11</f>
        <v>2970.0174180756921</v>
      </c>
      <c r="O18" s="18">
        <f ca="1">F18*'Large Use Predicted Monthly'!$Z$12</f>
        <v>94692.759640880729</v>
      </c>
      <c r="P18" s="18">
        <f>G18*'Large Use Predicted Monthly'!$Z$13</f>
        <v>-49234.373305218614</v>
      </c>
      <c r="Q18" s="18">
        <f>H18*'Large Use Predicted Monthly'!$Z$14</f>
        <v>2172165.2722322186</v>
      </c>
      <c r="R18" s="18">
        <f>I18*'Large Use Predicted Monthly'!$Z$15</f>
        <v>0</v>
      </c>
      <c r="S18" s="18">
        <f>J18*'Large Use Predicted Monthly'!$Z$16</f>
        <v>177044.57271687401</v>
      </c>
      <c r="T18" s="18">
        <f>K18*'Large Use Predicted Monthly'!$Z$17</f>
        <v>-5575.1075061147121</v>
      </c>
      <c r="U18" s="18">
        <f t="shared" ca="1" si="3"/>
        <v>3442992.6188107659</v>
      </c>
    </row>
    <row r="19" spans="1:22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-2655</v>
      </c>
      <c r="M19" s="18">
        <f>'Large Use Predicted Monthly'!$Z$10</f>
        <v>1050929.47761405</v>
      </c>
      <c r="N19" s="18">
        <f ca="1">E19*'Large Use Predicted Monthly'!$Z$11</f>
        <v>0</v>
      </c>
      <c r="O19" s="18">
        <f ca="1">F19*'Large Use Predicted Monthly'!$Z$12</f>
        <v>248342.9820328232</v>
      </c>
      <c r="P19" s="18">
        <f>G19*'Large Use Predicted Monthly'!$Z$13</f>
        <v>-52130.512911407946</v>
      </c>
      <c r="Q19" s="18">
        <f>H19*'Large Use Predicted Monthly'!$Z$14</f>
        <v>2102095.424740857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-5575.1075061147121</v>
      </c>
      <c r="U19" s="18">
        <f t="shared" ca="1" si="3"/>
        <v>3343662.2639702079</v>
      </c>
      <c r="V19" s="279"/>
    </row>
    <row r="20" spans="1:22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1050929.47761405</v>
      </c>
      <c r="N20" s="18">
        <f ca="1">E20*'Large Use Predicted Monthly'!$Z$11</f>
        <v>0</v>
      </c>
      <c r="O20" s="18">
        <f ca="1">F20*'Large Use Predicted Monthly'!$Z$12</f>
        <v>425673.46605563629</v>
      </c>
      <c r="P20" s="18">
        <f>G20*'Large Use Predicted Monthly'!$Z$13</f>
        <v>-55026.652517597271</v>
      </c>
      <c r="Q20" s="18">
        <f>H20*'Large Use Predicted Monthly'!$Z$14</f>
        <v>2172165.2722322186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12544.516851800108</v>
      </c>
      <c r="U20" s="18">
        <f t="shared" ca="1" si="3"/>
        <v>3606286.0802361076</v>
      </c>
    </row>
    <row r="21" spans="1:22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1050929.47761405</v>
      </c>
      <c r="N21" s="18">
        <f ca="1">E21*'Large Use Predicted Monthly'!$Z$11</f>
        <v>0</v>
      </c>
      <c r="O21" s="18">
        <f ca="1">F21*'Large Use Predicted Monthly'!$Z$12</f>
        <v>380603.73281770444</v>
      </c>
      <c r="P21" s="18">
        <f>G21*'Large Use Predicted Monthly'!$Z$13</f>
        <v>-57922.792123786603</v>
      </c>
      <c r="Q21" s="18">
        <f>H21*'Large Use Predicted Monthly'!$Z$14</f>
        <v>2172165.2722322186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12544.516851800108</v>
      </c>
      <c r="U21" s="18">
        <f t="shared" ca="1" si="3"/>
        <v>3558320.2073919866</v>
      </c>
    </row>
    <row r="22" spans="1:22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1050929.47761405</v>
      </c>
      <c r="N22" s="18">
        <f ca="1">E22*'Large Use Predicted Monthly'!$Z$11</f>
        <v>0</v>
      </c>
      <c r="O22" s="18">
        <f ca="1">F22*'Large Use Predicted Monthly'!$Z$12</f>
        <v>191985.4880462749</v>
      </c>
      <c r="P22" s="18">
        <f>G22*'Large Use Predicted Monthly'!$Z$13</f>
        <v>-60818.931729975935</v>
      </c>
      <c r="Q22" s="18">
        <f>H22*'Large Use Predicted Monthly'!$Z$14</f>
        <v>2102095.424740857</v>
      </c>
      <c r="R22" s="18">
        <f>I22*'Large Use Predicted Monthly'!$Z$15</f>
        <v>0</v>
      </c>
      <c r="S22" s="18">
        <f>J22*'Large Use Predicted Monthly'!$Z$16</f>
        <v>177044.57271687401</v>
      </c>
      <c r="T22" s="18">
        <f>K22*'Large Use Predicted Monthly'!$Z$17</f>
        <v>12544.516851800108</v>
      </c>
      <c r="U22" s="18">
        <f t="shared" ca="1" si="3"/>
        <v>3473780.5482398802</v>
      </c>
    </row>
    <row r="23" spans="1:22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-1226</v>
      </c>
      <c r="M23" s="18">
        <f>'Large Use Predicted Monthly'!$Z$10</f>
        <v>1050929.47761405</v>
      </c>
      <c r="N23" s="18">
        <f ca="1">E23*'Large Use Predicted Monthly'!$Z$11</f>
        <v>10211.535150396941</v>
      </c>
      <c r="O23" s="18">
        <f ca="1">F23*'Large Use Predicted Monthly'!$Z$12</f>
        <v>32450.558054830573</v>
      </c>
      <c r="P23" s="18">
        <f>G23*'Large Use Predicted Monthly'!$Z$13</f>
        <v>-63715.07133616526</v>
      </c>
      <c r="Q23" s="18">
        <f>H23*'Large Use Predicted Monthly'!$Z$14</f>
        <v>2172165.2722322186</v>
      </c>
      <c r="R23" s="18">
        <f>I23*'Large Use Predicted Monthly'!$Z$15</f>
        <v>0</v>
      </c>
      <c r="S23" s="18">
        <f>J23*'Large Use Predicted Monthly'!$Z$16</f>
        <v>177044.57271687401</v>
      </c>
      <c r="T23" s="18">
        <f>K23*'Large Use Predicted Monthly'!$Z$17</f>
        <v>-2574.4187580025</v>
      </c>
      <c r="U23" s="18">
        <f t="shared" ca="1" si="3"/>
        <v>3376511.9256742024</v>
      </c>
    </row>
    <row r="24" spans="1:22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-1226</v>
      </c>
      <c r="M24" s="18">
        <f>'Large Use Predicted Monthly'!$Z$10</f>
        <v>1050929.47761405</v>
      </c>
      <c r="N24" s="18">
        <f ca="1">E24*'Large Use Predicted Monthly'!$Z$11</f>
        <v>57745.396407965767</v>
      </c>
      <c r="O24" s="18">
        <f ca="1">F24*'Large Use Predicted Monthly'!$Z$12</f>
        <v>1458.3169085772493</v>
      </c>
      <c r="P24" s="18">
        <f>G24*'Large Use Predicted Monthly'!$Z$13</f>
        <v>-66611.210942354592</v>
      </c>
      <c r="Q24" s="18">
        <f>H24*'Large Use Predicted Monthly'!$Z$14</f>
        <v>2102095.424740857</v>
      </c>
      <c r="R24" s="18">
        <f>I24*'Large Use Predicted Monthly'!$Z$15</f>
        <v>0</v>
      </c>
      <c r="S24" s="18">
        <f>J24*'Large Use Predicted Monthly'!$Z$16</f>
        <v>177044.57271687401</v>
      </c>
      <c r="T24" s="18">
        <f>K24*'Large Use Predicted Monthly'!$Z$17</f>
        <v>-2574.4187580025</v>
      </c>
      <c r="U24" s="18">
        <f t="shared" ca="1" si="3"/>
        <v>3320087.5586879668</v>
      </c>
    </row>
    <row r="25" spans="1:22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-1226</v>
      </c>
      <c r="M25" s="18">
        <f>'Large Use Predicted Monthly'!$Z$10</f>
        <v>1050929.47761405</v>
      </c>
      <c r="N25" s="18">
        <f ca="1">E25*'Large Use Predicted Monthly'!$Z$11</f>
        <v>110902.11336856257</v>
      </c>
      <c r="O25" s="18">
        <f ca="1">F25*'Large Use Predicted Monthly'!$Z$12</f>
        <v>0</v>
      </c>
      <c r="P25" s="18">
        <f>G25*'Large Use Predicted Monthly'!$Z$13</f>
        <v>-69507.350548543924</v>
      </c>
      <c r="Q25" s="18">
        <f>H25*'Large Use Predicted Monthly'!$Z$14</f>
        <v>2172165.2722322186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-2574.4187580025</v>
      </c>
      <c r="U25" s="18">
        <f t="shared" ca="1" si="3"/>
        <v>3261915.0939082848</v>
      </c>
    </row>
    <row r="26" spans="1:22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1050929.47761405</v>
      </c>
      <c r="N26" s="18">
        <f ca="1">E26*'Large Use Predicted Monthly'!$Z$11</f>
        <v>159735.61483240328</v>
      </c>
      <c r="O26" s="18">
        <f ca="1">F26*'Large Use Predicted Monthly'!$Z$12</f>
        <v>0</v>
      </c>
      <c r="P26" s="18">
        <f>G26*'Large Use Predicted Monthly'!$Z$13</f>
        <v>-72403.490154733256</v>
      </c>
      <c r="Q26" s="18">
        <f>H26*'Large Use Predicted Monthly'!$Z$14</f>
        <v>2172165.2722322186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23774.526246414604</v>
      </c>
      <c r="U26" s="18">
        <f t="shared" ca="1" si="3"/>
        <v>3334201.4007703532</v>
      </c>
    </row>
    <row r="27" spans="1:22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1050929.47761405</v>
      </c>
      <c r="N27" s="18">
        <f ca="1">E27*'Large Use Predicted Monthly'!$Z$11</f>
        <v>140791.45244851906</v>
      </c>
      <c r="O27" s="18">
        <f ca="1">F27*'Large Use Predicted Monthly'!$Z$12</f>
        <v>0</v>
      </c>
      <c r="P27" s="18">
        <f>G27*'Large Use Predicted Monthly'!$Z$13</f>
        <v>-75299.629760922588</v>
      </c>
      <c r="Q27" s="18">
        <f>H27*'Large Use Predicted Monthly'!$Z$14</f>
        <v>1961955.7297581332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23774.526246414604</v>
      </c>
      <c r="U27" s="18">
        <f t="shared" ca="1" si="3"/>
        <v>3102151.5563061945</v>
      </c>
    </row>
    <row r="28" spans="1:22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1050929.47761405</v>
      </c>
      <c r="N28" s="18">
        <f ca="1">E28*'Large Use Predicted Monthly'!$Z$11</f>
        <v>98389.116770376349</v>
      </c>
      <c r="O28" s="18">
        <f ca="1">F28*'Large Use Predicted Monthly'!$Z$12</f>
        <v>0</v>
      </c>
      <c r="P28" s="18">
        <f>G28*'Large Use Predicted Monthly'!$Z$13</f>
        <v>-78195.76936711192</v>
      </c>
      <c r="Q28" s="18">
        <f>H28*'Large Use Predicted Monthly'!$Z$14</f>
        <v>2172165.2722322186</v>
      </c>
      <c r="R28" s="18">
        <f>I28*'Large Use Predicted Monthly'!$Z$15</f>
        <v>0</v>
      </c>
      <c r="S28" s="18">
        <f>J28*'Large Use Predicted Monthly'!$Z$16</f>
        <v>177044.57271687401</v>
      </c>
      <c r="T28" s="18">
        <f>K28*'Large Use Predicted Monthly'!$Z$17</f>
        <v>23774.526246414604</v>
      </c>
      <c r="U28" s="18">
        <f t="shared" ca="1" si="3"/>
        <v>3444107.1962128216</v>
      </c>
    </row>
    <row r="29" spans="1:22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1050929.47761405</v>
      </c>
      <c r="N29" s="18">
        <f ca="1">E29*'Large Use Predicted Monthly'!$Z$11</f>
        <v>32985.364757754884</v>
      </c>
      <c r="O29" s="18">
        <f ca="1">F29*'Large Use Predicted Monthly'!$Z$12</f>
        <v>3952.4898480923639</v>
      </c>
      <c r="P29" s="18">
        <f>G29*'Large Use Predicted Monthly'!$Z$13</f>
        <v>-81091.908973301237</v>
      </c>
      <c r="Q29" s="18">
        <f>H29*'Large Use Predicted Monthly'!$Z$14</f>
        <v>2102095.424740857</v>
      </c>
      <c r="R29" s="18">
        <f>I29*'Large Use Predicted Monthly'!$Z$15</f>
        <v>0</v>
      </c>
      <c r="S29" s="18">
        <f>J29*'Large Use Predicted Monthly'!$Z$16</f>
        <v>177044.57271687401</v>
      </c>
      <c r="T29" s="18">
        <f>K29*'Large Use Predicted Monthly'!$Z$17</f>
        <v>16677.025918479489</v>
      </c>
      <c r="U29" s="18">
        <f t="shared" ca="1" si="3"/>
        <v>3302592.4466228066</v>
      </c>
    </row>
    <row r="30" spans="1:22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1050929.47761405</v>
      </c>
      <c r="N30" s="18">
        <f ca="1">E30*'Large Use Predicted Monthly'!$Z$11</f>
        <v>2970.0174180756921</v>
      </c>
      <c r="O30" s="18">
        <f ca="1">F30*'Large Use Predicted Monthly'!$Z$12</f>
        <v>94692.759640880729</v>
      </c>
      <c r="P30" s="18">
        <f>G30*'Large Use Predicted Monthly'!$Z$13</f>
        <v>-83988.048579490569</v>
      </c>
      <c r="Q30" s="18">
        <f>H30*'Large Use Predicted Monthly'!$Z$14</f>
        <v>2172165.2722322186</v>
      </c>
      <c r="R30" s="18">
        <f>I30*'Large Use Predicted Monthly'!$Z$15</f>
        <v>0</v>
      </c>
      <c r="S30" s="18">
        <f>J30*'Large Use Predicted Monthly'!$Z$16</f>
        <v>177044.57271687401</v>
      </c>
      <c r="T30" s="18">
        <f>K30*'Large Use Predicted Monthly'!$Z$17</f>
        <v>16677.025918479489</v>
      </c>
      <c r="U30" s="18">
        <f t="shared" ca="1" si="3"/>
        <v>3430491.076961088</v>
      </c>
    </row>
    <row r="31" spans="1:22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ref="E31:F46" ca="1" si="5">E19</f>
        <v>0</v>
      </c>
      <c r="F31" s="269">
        <f t="shared" ca="1" si="5"/>
        <v>137.65451754405018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1050929.47761405</v>
      </c>
      <c r="N31" s="18">
        <f ca="1">E31*'Large Use Predicted Monthly'!$Z$11</f>
        <v>0</v>
      </c>
      <c r="O31" s="18">
        <f ca="1">F31*'Large Use Predicted Monthly'!$Z$12</f>
        <v>248342.9820328232</v>
      </c>
      <c r="P31" s="18">
        <f>G31*'Large Use Predicted Monthly'!$Z$13</f>
        <v>-86884.188185679901</v>
      </c>
      <c r="Q31" s="18">
        <f>H31*'Large Use Predicted Monthly'!$Z$14</f>
        <v>2102095.424740857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16677.025918479489</v>
      </c>
      <c r="U31" s="18">
        <f t="shared" ca="1" si="3"/>
        <v>3331160.7221205295</v>
      </c>
    </row>
    <row r="32" spans="1:22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5"/>
        <v>0</v>
      </c>
      <c r="F32" s="269">
        <f t="shared" ca="1" si="5"/>
        <v>235.94737858727848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416</v>
      </c>
      <c r="M32" s="18">
        <f>'Large Use Predicted Monthly'!$Z$10</f>
        <v>1050929.47761405</v>
      </c>
      <c r="N32" s="18">
        <f ca="1">E32*'Large Use Predicted Monthly'!$Z$11</f>
        <v>0</v>
      </c>
      <c r="O32" s="18">
        <f ca="1">F32*'Large Use Predicted Monthly'!$Z$12</f>
        <v>425673.46605563629</v>
      </c>
      <c r="P32" s="18">
        <f>G32*'Large Use Predicted Monthly'!$Z$13</f>
        <v>-89780.327791869233</v>
      </c>
      <c r="Q32" s="18">
        <f>H32*'Large Use Predicted Monthly'!$Z$14</f>
        <v>2172165.2722322186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873.53850189970626</v>
      </c>
      <c r="U32" s="18">
        <f t="shared" ca="1" si="3"/>
        <v>3559861.4266119357</v>
      </c>
    </row>
    <row r="33" spans="1:21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5"/>
        <v>0</v>
      </c>
      <c r="F33" s="269">
        <f t="shared" ca="1" si="5"/>
        <v>210.96558794466404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416</v>
      </c>
      <c r="M33" s="18">
        <f>'Large Use Predicted Monthly'!$Z$10</f>
        <v>1050929.47761405</v>
      </c>
      <c r="N33" s="18">
        <f ca="1">E33*'Large Use Predicted Monthly'!$Z$11</f>
        <v>0</v>
      </c>
      <c r="O33" s="18">
        <f ca="1">F33*'Large Use Predicted Monthly'!$Z$12</f>
        <v>380603.73281770444</v>
      </c>
      <c r="P33" s="18">
        <f>G33*'Large Use Predicted Monthly'!$Z$13</f>
        <v>-92676.467398058565</v>
      </c>
      <c r="Q33" s="18">
        <f>H33*'Large Use Predicted Monthly'!$Z$14</f>
        <v>2172165.2722322186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873.53850189970626</v>
      </c>
      <c r="U33" s="18">
        <f t="shared" ca="1" si="3"/>
        <v>3511895.5537678143</v>
      </c>
    </row>
    <row r="34" spans="1:21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ca="1" si="5"/>
        <v>0</v>
      </c>
      <c r="F34" s="269">
        <f t="shared" ca="1" si="5"/>
        <v>106.4160119047619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416</v>
      </c>
      <c r="M34" s="18">
        <f>'Large Use Predicted Monthly'!$Z$10</f>
        <v>1050929.47761405</v>
      </c>
      <c r="N34" s="18">
        <f ca="1">E34*'Large Use Predicted Monthly'!$Z$11</f>
        <v>0</v>
      </c>
      <c r="O34" s="18">
        <f ca="1">F34*'Large Use Predicted Monthly'!$Z$12</f>
        <v>191985.4880462749</v>
      </c>
      <c r="P34" s="18">
        <f>G34*'Large Use Predicted Monthly'!$Z$13</f>
        <v>-95572.607004247897</v>
      </c>
      <c r="Q34" s="18">
        <f>H34*'Large Use Predicted Monthly'!$Z$14</f>
        <v>2102095.424740857</v>
      </c>
      <c r="R34" s="18">
        <f>I34*'Large Use Predicted Monthly'!$Z$15</f>
        <v>0</v>
      </c>
      <c r="S34" s="18">
        <f>J34*'Large Use Predicted Monthly'!$Z$16</f>
        <v>177044.57271687401</v>
      </c>
      <c r="T34" s="18">
        <f>K34*'Large Use Predicted Monthly'!$Z$17</f>
        <v>873.53850189970626</v>
      </c>
      <c r="U34" s="18">
        <f t="shared" ca="1" si="3"/>
        <v>3427355.8946157079</v>
      </c>
    </row>
    <row r="35" spans="1:21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5"/>
        <v>24.76139492753623</v>
      </c>
      <c r="F35" s="269">
        <f t="shared" ca="1" si="5"/>
        <v>17.987083333333334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6393</v>
      </c>
      <c r="M35" s="18">
        <f>'Large Use Predicted Monthly'!$Z$10</f>
        <v>1050929.47761405</v>
      </c>
      <c r="N35" s="18">
        <f ca="1">E35*'Large Use Predicted Monthly'!$Z$11</f>
        <v>10211.535150396941</v>
      </c>
      <c r="O35" s="18">
        <f ca="1">F35*'Large Use Predicted Monthly'!$Z$12</f>
        <v>32450.558054830573</v>
      </c>
      <c r="P35" s="18">
        <f>G35*'Large Use Predicted Monthly'!$Z$13</f>
        <v>-98468.746610437229</v>
      </c>
      <c r="Q35" s="18">
        <f>H35*'Large Use Predicted Monthly'!$Z$14</f>
        <v>2172165.2722322186</v>
      </c>
      <c r="R35" s="18">
        <f>I35*'Large Use Predicted Monthly'!$Z$15</f>
        <v>0</v>
      </c>
      <c r="S35" s="18">
        <f>J35*'Large Use Predicted Monthly'!$Z$16</f>
        <v>177044.57271687401</v>
      </c>
      <c r="T35" s="18">
        <f>K35*'Large Use Predicted Monthly'!$Z$17</f>
        <v>13424.3549102039</v>
      </c>
      <c r="U35" s="18">
        <f t="shared" ca="1" si="3"/>
        <v>3357757.0240681367</v>
      </c>
    </row>
    <row r="36" spans="1:21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5"/>
        <v>140.02366389045739</v>
      </c>
      <c r="F36" s="269">
        <f t="shared" ca="1" si="5"/>
        <v>0.8083333333333329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6393</v>
      </c>
      <c r="M36" s="18">
        <f>'Large Use Predicted Monthly'!$Z$10</f>
        <v>1050929.47761405</v>
      </c>
      <c r="N36" s="18">
        <f ca="1">E36*'Large Use Predicted Monthly'!$Z$11</f>
        <v>57745.396407965767</v>
      </c>
      <c r="O36" s="18">
        <f ca="1">F36*'Large Use Predicted Monthly'!$Z$12</f>
        <v>1458.3169085772493</v>
      </c>
      <c r="P36" s="18">
        <f>G36*'Large Use Predicted Monthly'!$Z$13</f>
        <v>-101364.88621662656</v>
      </c>
      <c r="Q36" s="18">
        <f>H36*'Large Use Predicted Monthly'!$Z$14</f>
        <v>2102095.424740857</v>
      </c>
      <c r="R36" s="18">
        <f>I36*'Large Use Predicted Monthly'!$Z$15</f>
        <v>0</v>
      </c>
      <c r="S36" s="18">
        <f>J36*'Large Use Predicted Monthly'!$Z$16</f>
        <v>177044.57271687401</v>
      </c>
      <c r="T36" s="18">
        <f>K36*'Large Use Predicted Monthly'!$Z$17</f>
        <v>13424.3549102039</v>
      </c>
      <c r="U36" s="18">
        <f t="shared" ca="1" si="3"/>
        <v>3301332.6570819016</v>
      </c>
    </row>
    <row r="37" spans="1:21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5"/>
        <v>268.92048913043476</v>
      </c>
      <c r="F37" s="269">
        <f t="shared" ca="1" si="5"/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6393</v>
      </c>
      <c r="M37" s="18">
        <f>'Large Use Predicted Monthly'!$Z$10</f>
        <v>1050929.47761405</v>
      </c>
      <c r="N37" s="18">
        <f ca="1">E37*'Large Use Predicted Monthly'!$Z$11</f>
        <v>110902.11336856257</v>
      </c>
      <c r="O37" s="18">
        <f ca="1">F37*'Large Use Predicted Monthly'!$Z$12</f>
        <v>0</v>
      </c>
      <c r="P37" s="18">
        <f>G37*'Large Use Predicted Monthly'!$Z$13</f>
        <v>-104261.02582281589</v>
      </c>
      <c r="Q37" s="18">
        <f>H37*'Large Use Predicted Monthly'!$Z$14</f>
        <v>2172165.2722322186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13424.3549102039</v>
      </c>
      <c r="U37" s="18">
        <f t="shared" ca="1" si="3"/>
        <v>3243160.1923022191</v>
      </c>
    </row>
    <row r="38" spans="1:21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5"/>
        <v>387.33418478260865</v>
      </c>
      <c r="F38" s="269">
        <f t="shared" ca="1" si="5"/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8006</v>
      </c>
      <c r="M38" s="18">
        <f>'Large Use Predicted Monthly'!$Z$10</f>
        <v>1050929.47761405</v>
      </c>
      <c r="N38" s="18">
        <f ca="1">E38*'Large Use Predicted Monthly'!$Z$11</f>
        <v>159735.61483240328</v>
      </c>
      <c r="O38" s="18">
        <f ca="1">F38*'Large Use Predicted Monthly'!$Z$12</f>
        <v>0</v>
      </c>
      <c r="P38" s="18">
        <f>G38*'Large Use Predicted Monthly'!$Z$13</f>
        <v>-107157.16542900521</v>
      </c>
      <c r="Q38" s="18">
        <f>H38*'Large Use Predicted Monthly'!$Z$14</f>
        <v>2172165.2722322186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16811.416457233288</v>
      </c>
      <c r="U38" s="18">
        <f t="shared" ca="1" si="3"/>
        <v>3292484.6157069006</v>
      </c>
    </row>
    <row r="39" spans="1:21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5"/>
        <v>341.39751811594203</v>
      </c>
      <c r="F39" s="269">
        <f t="shared" ca="1" si="5"/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8006</v>
      </c>
      <c r="M39" s="18">
        <f>'Large Use Predicted Monthly'!$Z$10</f>
        <v>1050929.47761405</v>
      </c>
      <c r="N39" s="18">
        <f ca="1">E39*'Large Use Predicted Monthly'!$Z$11</f>
        <v>140791.45244851906</v>
      </c>
      <c r="O39" s="18">
        <f ca="1">F39*'Large Use Predicted Monthly'!$Z$12</f>
        <v>0</v>
      </c>
      <c r="P39" s="18">
        <f>G39*'Large Use Predicted Monthly'!$Z$13</f>
        <v>-110053.30503519454</v>
      </c>
      <c r="Q39" s="18">
        <f>H39*'Large Use Predicted Monthly'!$Z$14</f>
        <v>1961955.7297581332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16811.416457233288</v>
      </c>
      <c r="U39" s="18">
        <f t="shared" ca="1" si="3"/>
        <v>3060434.771242741</v>
      </c>
    </row>
    <row r="40" spans="1:21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5"/>
        <v>238.57840579710145</v>
      </c>
      <c r="F40" s="269">
        <f t="shared" ca="1" si="5"/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8006</v>
      </c>
      <c r="M40" s="18">
        <f>'Large Use Predicted Monthly'!$Z$10</f>
        <v>1050929.47761405</v>
      </c>
      <c r="N40" s="18">
        <f ca="1">E40*'Large Use Predicted Monthly'!$Z$11</f>
        <v>98389.116770376349</v>
      </c>
      <c r="O40" s="18">
        <f ca="1">F40*'Large Use Predicted Monthly'!$Z$12</f>
        <v>0</v>
      </c>
      <c r="P40" s="18">
        <f>G40*'Large Use Predicted Monthly'!$Z$13</f>
        <v>-112949.44464138387</v>
      </c>
      <c r="Q40" s="18">
        <f>H40*'Large Use Predicted Monthly'!$Z$14</f>
        <v>2172165.2722322186</v>
      </c>
      <c r="R40" s="18">
        <f>I40*'Large Use Predicted Monthly'!$Z$15</f>
        <v>0</v>
      </c>
      <c r="S40" s="18">
        <f>J40*'Large Use Predicted Monthly'!$Z$16</f>
        <v>177044.57271687401</v>
      </c>
      <c r="T40" s="18">
        <f>K40*'Large Use Predicted Monthly'!$Z$17</f>
        <v>16811.416457233288</v>
      </c>
      <c r="U40" s="18">
        <f t="shared" ca="1" si="3"/>
        <v>3402390.4111493691</v>
      </c>
    </row>
    <row r="41" spans="1:21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5"/>
        <v>79.984412878787879</v>
      </c>
      <c r="F41" s="269">
        <f t="shared" ca="1" si="5"/>
        <v>2.1908333333333347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1050929.47761405</v>
      </c>
      <c r="N41" s="18">
        <f ca="1">E41*'Large Use Predicted Monthly'!$Z$11</f>
        <v>32985.364757754884</v>
      </c>
      <c r="O41" s="18">
        <f ca="1">F41*'Large Use Predicted Monthly'!$Z$12</f>
        <v>3952.4898480923639</v>
      </c>
      <c r="P41" s="18">
        <f>G41*'Large Use Predicted Monthly'!$Z$13</f>
        <v>-115845.58424757321</v>
      </c>
      <c r="Q41" s="18">
        <f>H41*'Large Use Predicted Monthly'!$Z$14</f>
        <v>2102095.424740857</v>
      </c>
      <c r="R41" s="18">
        <f>I41*'Large Use Predicted Monthly'!$Z$15</f>
        <v>0</v>
      </c>
      <c r="S41" s="18">
        <f>J41*'Large Use Predicted Monthly'!$Z$16</f>
        <v>177044.57271687401</v>
      </c>
      <c r="T41" s="18">
        <f>K41*'Large Use Predicted Monthly'!$Z$17</f>
        <v>11416.896237568997</v>
      </c>
      <c r="U41" s="18">
        <f t="shared" ca="1" si="3"/>
        <v>3262578.641667624</v>
      </c>
    </row>
    <row r="42" spans="1:21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5"/>
        <v>7.2018333333333331</v>
      </c>
      <c r="F42" s="269">
        <f t="shared" ca="1" si="5"/>
        <v>52.487435064935063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1050929.47761405</v>
      </c>
      <c r="N42" s="18">
        <f ca="1">E42*'Large Use Predicted Monthly'!$Z$11</f>
        <v>2970.0174180756921</v>
      </c>
      <c r="O42" s="18">
        <f ca="1">F42*'Large Use Predicted Monthly'!$Z$12</f>
        <v>94692.759640880729</v>
      </c>
      <c r="P42" s="18">
        <f>G42*'Large Use Predicted Monthly'!$Z$13</f>
        <v>-118741.72385376254</v>
      </c>
      <c r="Q42" s="18">
        <f>H42*'Large Use Predicted Monthly'!$Z$14</f>
        <v>2172165.2722322186</v>
      </c>
      <c r="R42" s="18">
        <f>I42*'Large Use Predicted Monthly'!$Z$15</f>
        <v>0</v>
      </c>
      <c r="S42" s="18">
        <f>J42*'Large Use Predicted Monthly'!$Z$16</f>
        <v>177044.57271687401</v>
      </c>
      <c r="T42" s="18">
        <f>K42*'Large Use Predicted Monthly'!$Z$17</f>
        <v>11416.896237568997</v>
      </c>
      <c r="U42" s="18">
        <f t="shared" ca="1" si="3"/>
        <v>3390477.2720059054</v>
      </c>
    </row>
    <row r="43" spans="1:21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5"/>
        <v>0</v>
      </c>
      <c r="F43" s="269">
        <f t="shared" ca="1" si="5"/>
        <v>137.65451754405018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1050929.47761405</v>
      </c>
      <c r="N43" s="18">
        <f ca="1">E43*'Large Use Predicted Monthly'!$Z$11</f>
        <v>0</v>
      </c>
      <c r="O43" s="18">
        <f ca="1">F43*'Large Use Predicted Monthly'!$Z$12</f>
        <v>248342.9820328232</v>
      </c>
      <c r="P43" s="18">
        <f>G43*'Large Use Predicted Monthly'!$Z$13</f>
        <v>-121637.86345995187</v>
      </c>
      <c r="Q43" s="18">
        <f>H43*'Large Use Predicted Monthly'!$Z$14</f>
        <v>2102095.424740857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11416.896237568997</v>
      </c>
      <c r="U43" s="18">
        <f t="shared" ca="1" si="3"/>
        <v>3291146.9171653474</v>
      </c>
    </row>
    <row r="44" spans="1:21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5"/>
        <v>0</v>
      </c>
      <c r="F44" s="269">
        <f t="shared" ca="1" si="5"/>
        <v>235.94737858727848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1050929.47761405</v>
      </c>
      <c r="N44" s="18">
        <f ca="1">E44*'Large Use Predicted Monthly'!$Z$11</f>
        <v>0</v>
      </c>
      <c r="O44" s="18">
        <f ca="1">F44*'Large Use Predicted Monthly'!$Z$12</f>
        <v>425673.46605563629</v>
      </c>
      <c r="P44" s="18">
        <f>G44*'Large Use Predicted Monthly'!$Z$13</f>
        <v>-124534.0030661412</v>
      </c>
      <c r="Q44" s="18">
        <f>H44*'Large Use Predicted Monthly'!$Z$14</f>
        <v>2172165.2722322186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19411.033441252126</v>
      </c>
      <c r="U44" s="18">
        <f t="shared" ca="1" si="3"/>
        <v>3543645.2462770157</v>
      </c>
    </row>
    <row r="45" spans="1:21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5"/>
        <v>0</v>
      </c>
      <c r="F45" s="269">
        <f t="shared" ca="1" si="5"/>
        <v>210.96558794466404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1050929.47761405</v>
      </c>
      <c r="N45" s="18">
        <f ca="1">E45*'Large Use Predicted Monthly'!$Z$11</f>
        <v>0</v>
      </c>
      <c r="O45" s="18">
        <f ca="1">F45*'Large Use Predicted Monthly'!$Z$12</f>
        <v>380603.73281770444</v>
      </c>
      <c r="P45" s="18">
        <f>G45*'Large Use Predicted Monthly'!$Z$13</f>
        <v>-127430.14267233052</v>
      </c>
      <c r="Q45" s="18">
        <f>H45*'Large Use Predicted Monthly'!$Z$14</f>
        <v>2172165.2722322186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19411.033441252126</v>
      </c>
      <c r="U45" s="18">
        <f t="shared" ca="1" si="3"/>
        <v>3495679.3734328947</v>
      </c>
    </row>
    <row r="46" spans="1:21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5"/>
        <v>0</v>
      </c>
      <c r="F46" s="269">
        <f t="shared" ca="1" si="5"/>
        <v>106.4160119047619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1050929.47761405</v>
      </c>
      <c r="N46" s="18">
        <f ca="1">E46*'Large Use Predicted Monthly'!$Z$11</f>
        <v>0</v>
      </c>
      <c r="O46" s="18">
        <f ca="1">F46*'Large Use Predicted Monthly'!$Z$12</f>
        <v>191985.4880462749</v>
      </c>
      <c r="P46" s="18">
        <f>G46*'Large Use Predicted Monthly'!$Z$13</f>
        <v>-130326.28227851985</v>
      </c>
      <c r="Q46" s="18">
        <f>H46*'Large Use Predicted Monthly'!$Z$14</f>
        <v>2102095.424740857</v>
      </c>
      <c r="R46" s="18">
        <f>I46*'Large Use Predicted Monthly'!$Z$15</f>
        <v>0</v>
      </c>
      <c r="S46" s="18">
        <f>J46*'Large Use Predicted Monthly'!$Z$16</f>
        <v>177044.57271687401</v>
      </c>
      <c r="T46" s="18">
        <f>K46*'Large Use Predicted Monthly'!$Z$17</f>
        <v>19411.033441252126</v>
      </c>
      <c r="U46" s="18">
        <f t="shared" ca="1" si="3"/>
        <v>3411139.7142807883</v>
      </c>
    </row>
    <row r="47" spans="1:21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ref="E47:F62" ca="1" si="6">E35</f>
        <v>24.76139492753623</v>
      </c>
      <c r="F47" s="269">
        <f t="shared" ca="1" si="6"/>
        <v>17.987083333333334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1050929.47761405</v>
      </c>
      <c r="N47" s="18">
        <f ca="1">E47*'Large Use Predicted Monthly'!$Z$11</f>
        <v>10211.535150396941</v>
      </c>
      <c r="O47" s="18">
        <f ca="1">F47*'Large Use Predicted Monthly'!$Z$12</f>
        <v>32450.558054830573</v>
      </c>
      <c r="P47" s="18">
        <f>G47*'Large Use Predicted Monthly'!$Z$13</f>
        <v>-133222.42188470918</v>
      </c>
      <c r="Q47" s="18">
        <f>H47*'Large Use Predicted Monthly'!$Z$14</f>
        <v>2172165.2722322186</v>
      </c>
      <c r="R47" s="18">
        <f>I47*'Large Use Predicted Monthly'!$Z$15</f>
        <v>0</v>
      </c>
      <c r="S47" s="18">
        <f>J47*'Large Use Predicted Monthly'!$Z$16</f>
        <v>177044.57271687401</v>
      </c>
      <c r="T47" s="18">
        <f>K47*'Large Use Predicted Monthly'!$Z$17</f>
        <v>11532.388106810546</v>
      </c>
      <c r="U47" s="18">
        <f t="shared" ca="1" si="3"/>
        <v>3321111.3819904714</v>
      </c>
    </row>
    <row r="48" spans="1:21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1050929.47761405</v>
      </c>
      <c r="N48" s="18">
        <f ca="1">E48*'Large Use Predicted Monthly'!$Z$11</f>
        <v>57745.396407965767</v>
      </c>
      <c r="O48" s="18">
        <f ca="1">F48*'Large Use Predicted Monthly'!$Z$12</f>
        <v>1458.3169085772493</v>
      </c>
      <c r="P48" s="18">
        <f>G48*'Large Use Predicted Monthly'!$Z$13</f>
        <v>-136118.56149089852</v>
      </c>
      <c r="Q48" s="18">
        <f>H48*'Large Use Predicted Monthly'!$Z$14</f>
        <v>2102095.424740857</v>
      </c>
      <c r="R48" s="18">
        <f>I48*'Large Use Predicted Monthly'!$Z$15</f>
        <v>0</v>
      </c>
      <c r="S48" s="18">
        <f>J48*'Large Use Predicted Monthly'!$Z$16</f>
        <v>177044.57271687401</v>
      </c>
      <c r="T48" s="18">
        <f>K48*'Large Use Predicted Monthly'!$Z$17</f>
        <v>11532.388106810546</v>
      </c>
      <c r="U48" s="18">
        <f t="shared" ca="1" si="3"/>
        <v>3264687.0150042358</v>
      </c>
    </row>
    <row r="49" spans="1:21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1050929.47761405</v>
      </c>
      <c r="N49" s="18">
        <f ca="1">E49*'Large Use Predicted Monthly'!$Z$11</f>
        <v>110902.11336856257</v>
      </c>
      <c r="O49" s="18">
        <f ca="1">F49*'Large Use Predicted Monthly'!$Z$12</f>
        <v>0</v>
      </c>
      <c r="P49" s="18">
        <f>G49*'Large Use Predicted Monthly'!$Z$13</f>
        <v>-139014.70109708785</v>
      </c>
      <c r="Q49" s="18">
        <f>H49*'Large Use Predicted Monthly'!$Z$14</f>
        <v>2172165.2722322186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11532.388106810546</v>
      </c>
      <c r="U49" s="18">
        <f t="shared" ca="1" si="3"/>
        <v>3206514.5502245538</v>
      </c>
    </row>
    <row r="50" spans="1:21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1050929.47761405</v>
      </c>
      <c r="N50" s="18">
        <f ca="1">E50*'Large Use Predicted Monthly'!$Z$11</f>
        <v>159735.61483240328</v>
      </c>
      <c r="O50" s="18">
        <f ca="1">F50*'Large Use Predicted Monthly'!$Z$12</f>
        <v>0</v>
      </c>
      <c r="P50" s="18">
        <f>G50*'Large Use Predicted Monthly'!$Z$13</f>
        <v>-141910.84070327718</v>
      </c>
      <c r="Q50" s="18">
        <f>H50*'Large Use Predicted Monthly'!$Z$14</f>
        <v>2172165.2722322186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2293.0385674867289</v>
      </c>
      <c r="U50" s="18">
        <f t="shared" ca="1" si="3"/>
        <v>3243212.5625428814</v>
      </c>
    </row>
    <row r="51" spans="1:21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1050929.47761405</v>
      </c>
      <c r="N51" s="18">
        <f ca="1">E51*'Large Use Predicted Monthly'!$Z$11</f>
        <v>140791.45244851906</v>
      </c>
      <c r="O51" s="18">
        <f ca="1">F51*'Large Use Predicted Monthly'!$Z$12</f>
        <v>0</v>
      </c>
      <c r="P51" s="18">
        <f>G51*'Large Use Predicted Monthly'!$Z$13</f>
        <v>-144806.98030946651</v>
      </c>
      <c r="Q51" s="18">
        <f>H51*'Large Use Predicted Monthly'!$Z$14</f>
        <v>1961955.7297581332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2293.0385674867289</v>
      </c>
      <c r="U51" s="18">
        <f t="shared" ca="1" si="3"/>
        <v>3011162.7180787227</v>
      </c>
    </row>
    <row r="52" spans="1:21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1050929.47761405</v>
      </c>
      <c r="N52" s="18">
        <f ca="1">E52*'Large Use Predicted Monthly'!$Z$11</f>
        <v>98389.116770376349</v>
      </c>
      <c r="O52" s="18">
        <f ca="1">F52*'Large Use Predicted Monthly'!$Z$12</f>
        <v>0</v>
      </c>
      <c r="P52" s="18">
        <f>G52*'Large Use Predicted Monthly'!$Z$13</f>
        <v>-147703.11991565584</v>
      </c>
      <c r="Q52" s="18">
        <f>H52*'Large Use Predicted Monthly'!$Z$14</f>
        <v>2172165.2722322186</v>
      </c>
      <c r="R52" s="18">
        <f>I52*'Large Use Predicted Monthly'!$Z$15</f>
        <v>0</v>
      </c>
      <c r="S52" s="18">
        <f>J52*'Large Use Predicted Monthly'!$Z$16</f>
        <v>177044.57271687401</v>
      </c>
      <c r="T52" s="18">
        <f>K52*'Large Use Predicted Monthly'!$Z$17</f>
        <v>2293.0385674867289</v>
      </c>
      <c r="U52" s="18">
        <f t="shared" ca="1" si="3"/>
        <v>3353118.3579853498</v>
      </c>
    </row>
    <row r="53" spans="1:21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1050929.47761405</v>
      </c>
      <c r="N53" s="18">
        <f ca="1">E53*'Large Use Predicted Monthly'!$Z$11</f>
        <v>32985.364757754884</v>
      </c>
      <c r="O53" s="18">
        <f ca="1">F53*'Large Use Predicted Monthly'!$Z$12</f>
        <v>3952.4898480923639</v>
      </c>
      <c r="P53" s="18">
        <f>G53*'Large Use Predicted Monthly'!$Z$13</f>
        <v>-150599.25952184518</v>
      </c>
      <c r="Q53" s="18">
        <f>H53*'Large Use Predicted Monthly'!$Z$14</f>
        <v>2102095.424740857</v>
      </c>
      <c r="R53" s="18">
        <f>I53*'Large Use Predicted Monthly'!$Z$15</f>
        <v>0</v>
      </c>
      <c r="S53" s="18">
        <f>J53*'Large Use Predicted Monthly'!$Z$16</f>
        <v>177044.57271687401</v>
      </c>
      <c r="T53" s="18">
        <f>K53*'Large Use Predicted Monthly'!$Z$17</f>
        <v>12401.726904374196</v>
      </c>
      <c r="U53" s="18">
        <f t="shared" ca="1" si="3"/>
        <v>3228809.7970601572</v>
      </c>
    </row>
    <row r="54" spans="1:21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ca="1" si="6"/>
        <v>7.2018333333333331</v>
      </c>
      <c r="F54" s="269">
        <f t="shared" ca="1" si="6"/>
        <v>52.487435064935063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1050929.47761405</v>
      </c>
      <c r="N54" s="18">
        <f ca="1">E54*'Large Use Predicted Monthly'!$Z$11</f>
        <v>2970.0174180756921</v>
      </c>
      <c r="O54" s="18">
        <f ca="1">F54*'Large Use Predicted Monthly'!$Z$12</f>
        <v>94692.759640880729</v>
      </c>
      <c r="P54" s="18">
        <f>G54*'Large Use Predicted Monthly'!$Z$13</f>
        <v>-153495.39912803451</v>
      </c>
      <c r="Q54" s="18">
        <f>H54*'Large Use Predicted Monthly'!$Z$14</f>
        <v>2172165.2722322186</v>
      </c>
      <c r="R54" s="18">
        <f>I54*'Large Use Predicted Monthly'!$Z$15</f>
        <v>0</v>
      </c>
      <c r="S54" s="18">
        <f>J54*'Large Use Predicted Monthly'!$Z$16</f>
        <v>177044.57271687401</v>
      </c>
      <c r="T54" s="18">
        <f>K54*'Large Use Predicted Monthly'!$Z$17</f>
        <v>12401.726904374196</v>
      </c>
      <c r="U54" s="18">
        <f t="shared" ca="1" si="3"/>
        <v>3356708.4273984386</v>
      </c>
    </row>
    <row r="55" spans="1:21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6"/>
        <v>0</v>
      </c>
      <c r="F55" s="269">
        <f t="shared" ca="1" si="6"/>
        <v>137.65451754405018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1050929.47761405</v>
      </c>
      <c r="N55" s="18">
        <f ca="1">E55*'Large Use Predicted Monthly'!$Z$11</f>
        <v>0</v>
      </c>
      <c r="O55" s="18">
        <f ca="1">F55*'Large Use Predicted Monthly'!$Z$12</f>
        <v>248342.9820328232</v>
      </c>
      <c r="P55" s="18">
        <f>G55*'Large Use Predicted Monthly'!$Z$13</f>
        <v>-156391.53873422384</v>
      </c>
      <c r="Q55" s="18">
        <f>H55*'Large Use Predicted Monthly'!$Z$14</f>
        <v>2102095.424740857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12401.726904374196</v>
      </c>
      <c r="U55" s="18">
        <f t="shared" ca="1" si="3"/>
        <v>3257378.0725578801</v>
      </c>
    </row>
    <row r="56" spans="1:21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6"/>
        <v>0</v>
      </c>
      <c r="F56" s="269">
        <f t="shared" ca="1" si="6"/>
        <v>235.94737858727848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1050929.47761405</v>
      </c>
      <c r="N56" s="18">
        <f ca="1">E56*'Large Use Predicted Monthly'!$Z$11</f>
        <v>0</v>
      </c>
      <c r="O56" s="18">
        <f ca="1">F56*'Large Use Predicted Monthly'!$Z$12</f>
        <v>425673.46605563629</v>
      </c>
      <c r="P56" s="18">
        <f>G56*'Large Use Predicted Monthly'!$Z$13</f>
        <v>-159287.67834041317</v>
      </c>
      <c r="Q56" s="18">
        <f>H56*'Large Use Predicted Monthly'!$Z$14</f>
        <v>2172165.2722322186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7805.1505085605968</v>
      </c>
      <c r="U56" s="18">
        <f t="shared" ca="1" si="3"/>
        <v>3497285.6880700528</v>
      </c>
    </row>
    <row r="57" spans="1:21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6"/>
        <v>0</v>
      </c>
      <c r="F57" s="269">
        <f t="shared" ca="1" si="6"/>
        <v>210.96558794466404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1050929.47761405</v>
      </c>
      <c r="N57" s="18">
        <f ca="1">E57*'Large Use Predicted Monthly'!$Z$11</f>
        <v>0</v>
      </c>
      <c r="O57" s="18">
        <f ca="1">F57*'Large Use Predicted Monthly'!$Z$12</f>
        <v>380603.73281770444</v>
      </c>
      <c r="P57" s="18">
        <f>G57*'Large Use Predicted Monthly'!$Z$13</f>
        <v>-162183.81794660247</v>
      </c>
      <c r="Q57" s="18">
        <f>H57*'Large Use Predicted Monthly'!$Z$14</f>
        <v>2172165.2722322186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7805.1505085605968</v>
      </c>
      <c r="U57" s="18">
        <f t="shared" ca="1" si="3"/>
        <v>3449319.8152259314</v>
      </c>
    </row>
    <row r="58" spans="1:21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6"/>
        <v>0</v>
      </c>
      <c r="F58" s="269">
        <f t="shared" ca="1" si="6"/>
        <v>106.4160119047619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1050929.47761405</v>
      </c>
      <c r="N58" s="18">
        <f ca="1">E58*'Large Use Predicted Monthly'!$Z$11</f>
        <v>0</v>
      </c>
      <c r="O58" s="18">
        <f ca="1">F58*'Large Use Predicted Monthly'!$Z$12</f>
        <v>191985.4880462749</v>
      </c>
      <c r="P58" s="18">
        <f>G58*'Large Use Predicted Monthly'!$Z$13</f>
        <v>-165079.95755279181</v>
      </c>
      <c r="Q58" s="18">
        <f>H58*'Large Use Predicted Monthly'!$Z$14</f>
        <v>2102095.424740857</v>
      </c>
      <c r="R58" s="18">
        <f>I58*'Large Use Predicted Monthly'!$Z$15</f>
        <v>0</v>
      </c>
      <c r="S58" s="18">
        <f>J58*'Large Use Predicted Monthly'!$Z$16</f>
        <v>177044.57271687401</v>
      </c>
      <c r="T58" s="18">
        <f>K58*'Large Use Predicted Monthly'!$Z$17</f>
        <v>7805.1505085605968</v>
      </c>
      <c r="U58" s="18">
        <f t="shared" ca="1" si="3"/>
        <v>3364780.156073825</v>
      </c>
    </row>
    <row r="59" spans="1:21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6"/>
        <v>24.76139492753623</v>
      </c>
      <c r="F59" s="269">
        <f t="shared" ca="1" si="6"/>
        <v>17.987083333333334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1050929.47761405</v>
      </c>
      <c r="N59" s="18">
        <f ca="1">E59*'Large Use Predicted Monthly'!$Z$11</f>
        <v>10211.535150396941</v>
      </c>
      <c r="O59" s="18">
        <f ca="1">F59*'Large Use Predicted Monthly'!$Z$12</f>
        <v>32450.558054830573</v>
      </c>
      <c r="P59" s="18">
        <f>G59*'Large Use Predicted Monthly'!$Z$13</f>
        <v>-167976.09715898114</v>
      </c>
      <c r="Q59" s="18">
        <f>H59*'Large Use Predicted Monthly'!$Z$14</f>
        <v>2172165.2722322186</v>
      </c>
      <c r="R59" s="18">
        <f>I59*'Large Use Predicted Monthly'!$Z$15</f>
        <v>0</v>
      </c>
      <c r="S59" s="18">
        <f>J59*'Large Use Predicted Monthly'!$Z$16</f>
        <v>177044.57271687401</v>
      </c>
      <c r="T59" s="18">
        <f>K59*'Large Use Predicted Monthly'!$Z$17</f>
        <v>2204.844776429547</v>
      </c>
      <c r="U59" s="18">
        <f t="shared" ca="1" si="3"/>
        <v>3277030.1633858187</v>
      </c>
    </row>
    <row r="60" spans="1:21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6"/>
        <v>140.02366389045739</v>
      </c>
      <c r="F60" s="269">
        <f t="shared" ca="1" si="6"/>
        <v>0.8083333333333329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1050929.47761405</v>
      </c>
      <c r="N60" s="18">
        <f ca="1">E60*'Large Use Predicted Monthly'!$Z$11</f>
        <v>57745.396407965767</v>
      </c>
      <c r="O60" s="18">
        <f ca="1">F60*'Large Use Predicted Monthly'!$Z$12</f>
        <v>1458.3169085772493</v>
      </c>
      <c r="P60" s="18">
        <f>G60*'Large Use Predicted Monthly'!$Z$13</f>
        <v>-170872.23676517047</v>
      </c>
      <c r="Q60" s="18">
        <f>H60*'Large Use Predicted Monthly'!$Z$14</f>
        <v>2102095.424740857</v>
      </c>
      <c r="R60" s="18">
        <f>I60*'Large Use Predicted Monthly'!$Z$15</f>
        <v>0</v>
      </c>
      <c r="S60" s="18">
        <f>J60*'Large Use Predicted Monthly'!$Z$16</f>
        <v>177044.57271687401</v>
      </c>
      <c r="T60" s="18">
        <f>K60*'Large Use Predicted Monthly'!$Z$17</f>
        <v>2204.844776429547</v>
      </c>
      <c r="U60" s="18">
        <f t="shared" ca="1" si="3"/>
        <v>3220605.7963995836</v>
      </c>
    </row>
    <row r="61" spans="1:21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6"/>
        <v>268.92048913043476</v>
      </c>
      <c r="F61" s="269">
        <f t="shared" ca="1" si="6"/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1050929.47761405</v>
      </c>
      <c r="N61" s="18">
        <f ca="1">E61*'Large Use Predicted Monthly'!$Z$11</f>
        <v>110902.11336856257</v>
      </c>
      <c r="O61" s="18">
        <f ca="1">F61*'Large Use Predicted Monthly'!$Z$12</f>
        <v>0</v>
      </c>
      <c r="P61" s="18">
        <f>G61*'Large Use Predicted Monthly'!$Z$13</f>
        <v>-173768.3763713598</v>
      </c>
      <c r="Q61" s="18">
        <f>H61*'Large Use Predicted Monthly'!$Z$14</f>
        <v>2172165.2722322186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2204.844776429547</v>
      </c>
      <c r="U61" s="18">
        <f t="shared" ca="1" si="3"/>
        <v>3162433.3316199011</v>
      </c>
    </row>
    <row r="62" spans="1:21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6"/>
        <v>387.33418478260865</v>
      </c>
      <c r="F62" s="269">
        <f t="shared" ca="1" si="6"/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1050929.47761405</v>
      </c>
      <c r="N62" s="18">
        <f ca="1">E62*'Large Use Predicted Monthly'!$Z$11</f>
        <v>159735.61483240328</v>
      </c>
      <c r="O62" s="18">
        <f ca="1">F62*'Large Use Predicted Monthly'!$Z$12</f>
        <v>0</v>
      </c>
      <c r="P62" s="18">
        <f>G62*'Large Use Predicted Monthly'!$Z$13</f>
        <v>-176664.51597754913</v>
      </c>
      <c r="Q62" s="18">
        <f>H62*'Large Use Predicted Monthly'!$Z$14</f>
        <v>2172165.2722322186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-23667.433785845169</v>
      </c>
      <c r="U62" s="18">
        <f t="shared" ca="1" si="3"/>
        <v>3182498.4149152781</v>
      </c>
    </row>
    <row r="63" spans="1:21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ref="E63:F78" ca="1" si="7">E51</f>
        <v>341.39751811594203</v>
      </c>
      <c r="F63" s="269">
        <f t="shared" ca="1" si="7"/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1050929.47761405</v>
      </c>
      <c r="N63" s="18">
        <f ca="1">E63*'Large Use Predicted Monthly'!$Z$11</f>
        <v>140791.45244851906</v>
      </c>
      <c r="O63" s="18">
        <f ca="1">F63*'Large Use Predicted Monthly'!$Z$12</f>
        <v>0</v>
      </c>
      <c r="P63" s="18">
        <f>G63*'Large Use Predicted Monthly'!$Z$13</f>
        <v>-179560.65558373847</v>
      </c>
      <c r="Q63" s="18">
        <f>H63*'Large Use Predicted Monthly'!$Z$14</f>
        <v>2032025.5772494951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-23667.433785845169</v>
      </c>
      <c r="U63" s="18">
        <f t="shared" ca="1" si="3"/>
        <v>3020518.4179424806</v>
      </c>
    </row>
    <row r="64" spans="1:21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7"/>
        <v>238.57840579710145</v>
      </c>
      <c r="F64" s="269">
        <f t="shared" ca="1" si="7"/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1050929.47761405</v>
      </c>
      <c r="N64" s="18">
        <f ca="1">E64*'Large Use Predicted Monthly'!$Z$11</f>
        <v>98389.116770376349</v>
      </c>
      <c r="O64" s="18">
        <f ca="1">F64*'Large Use Predicted Monthly'!$Z$12</f>
        <v>0</v>
      </c>
      <c r="P64" s="18">
        <f>G64*'Large Use Predicted Monthly'!$Z$13</f>
        <v>-182456.7951899278</v>
      </c>
      <c r="Q64" s="18">
        <f>H64*'Large Use Predicted Monthly'!$Z$14</f>
        <v>2172165.2722322186</v>
      </c>
      <c r="R64" s="18">
        <f>I64*'Large Use Predicted Monthly'!$Z$15</f>
        <v>-344195.57839397498</v>
      </c>
      <c r="S64" s="18">
        <f>J64*'Large Use Predicted Monthly'!$Z$16</f>
        <v>177044.57271687401</v>
      </c>
      <c r="T64" s="18">
        <f>K64*'Large Use Predicted Monthly'!$Z$17</f>
        <v>-23667.433785845169</v>
      </c>
      <c r="U64" s="18">
        <f t="shared" ca="1" si="3"/>
        <v>2948208.6319637718</v>
      </c>
    </row>
    <row r="65" spans="1:21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7"/>
        <v>79.984412878787879</v>
      </c>
      <c r="F65" s="269">
        <f t="shared" ca="1" si="7"/>
        <v>2.1908333333333347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1050929.47761405</v>
      </c>
      <c r="N65" s="18">
        <f ca="1">E65*'Large Use Predicted Monthly'!$Z$11</f>
        <v>32985.364757754884</v>
      </c>
      <c r="O65" s="18">
        <f ca="1">F65*'Large Use Predicted Monthly'!$Z$12</f>
        <v>3952.4898480923639</v>
      </c>
      <c r="P65" s="18">
        <f>G65*'Large Use Predicted Monthly'!$Z$13</f>
        <v>-185352.93479611713</v>
      </c>
      <c r="Q65" s="18">
        <f>H65*'Large Use Predicted Monthly'!$Z$14</f>
        <v>2102095.424740857</v>
      </c>
      <c r="R65" s="18">
        <f>I65*'Large Use Predicted Monthly'!$Z$15</f>
        <v>-688391.15678794996</v>
      </c>
      <c r="S65" s="18">
        <f>J65*'Large Use Predicted Monthly'!$Z$16</f>
        <v>177044.57271687401</v>
      </c>
      <c r="T65" s="18">
        <f>K65*'Large Use Predicted Monthly'!$Z$17</f>
        <v>-196518.86484924954</v>
      </c>
      <c r="U65" s="18">
        <f t="shared" ca="1" si="3"/>
        <v>2296744.3732443117</v>
      </c>
    </row>
    <row r="66" spans="1:21" x14ac:dyDescent="0.25">
      <c r="A66" s="3">
        <f>'Monthly Data'!A66</f>
        <v>43952</v>
      </c>
      <c r="B66" s="1">
        <f t="shared" ref="B66:B129" si="8">YEAR(A66)</f>
        <v>2020</v>
      </c>
      <c r="C66" s="1">
        <f t="shared" ref="C66:C129" si="9">MONTH(A66)</f>
        <v>5</v>
      </c>
      <c r="D66" s="259">
        <f>'Monthly Data'!X66</f>
        <v>1973281.7621213137</v>
      </c>
      <c r="E66" s="269">
        <f t="shared" ca="1" si="7"/>
        <v>7.2018333333333331</v>
      </c>
      <c r="F66" s="269">
        <f t="shared" ca="1" si="7"/>
        <v>52.487435064935063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1050929.47761405</v>
      </c>
      <c r="N66" s="18">
        <f ca="1">E66*'Large Use Predicted Monthly'!$Z$11</f>
        <v>2970.0174180756921</v>
      </c>
      <c r="O66" s="18">
        <f ca="1">F66*'Large Use Predicted Monthly'!$Z$12</f>
        <v>94692.759640880729</v>
      </c>
      <c r="P66" s="18">
        <f>G66*'Large Use Predicted Monthly'!$Z$13</f>
        <v>-188249.07440230646</v>
      </c>
      <c r="Q66" s="18">
        <f>H66*'Large Use Predicted Monthly'!$Z$14</f>
        <v>2172165.2722322186</v>
      </c>
      <c r="R66" s="18">
        <f>I66*'Large Use Predicted Monthly'!$Z$15</f>
        <v>-688391.15678794996</v>
      </c>
      <c r="S66" s="18">
        <f>J66*'Large Use Predicted Monthly'!$Z$16</f>
        <v>177044.57271687401</v>
      </c>
      <c r="T66" s="18">
        <f>K66*'Large Use Predicted Monthly'!$Z$17</f>
        <v>-196518.86484924954</v>
      </c>
      <c r="U66" s="18">
        <f t="shared" ca="1" si="3"/>
        <v>2424643.0035825931</v>
      </c>
    </row>
    <row r="67" spans="1:21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Data'!X67</f>
        <v>2238034.5752989105</v>
      </c>
      <c r="E67" s="269">
        <f t="shared" ca="1" si="7"/>
        <v>0</v>
      </c>
      <c r="F67" s="269">
        <f t="shared" ca="1" si="7"/>
        <v>137.65451754405018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1050929.47761405</v>
      </c>
      <c r="N67" s="18">
        <f ca="1">E67*'Large Use Predicted Monthly'!$Z$11</f>
        <v>0</v>
      </c>
      <c r="O67" s="18">
        <f ca="1">F67*'Large Use Predicted Monthly'!$Z$12</f>
        <v>248342.9820328232</v>
      </c>
      <c r="P67" s="18">
        <f>G67*'Large Use Predicted Monthly'!$Z$13</f>
        <v>-191145.21400849579</v>
      </c>
      <c r="Q67" s="18">
        <f>H67*'Large Use Predicted Monthly'!$Z$14</f>
        <v>2102095.424740857</v>
      </c>
      <c r="R67" s="18">
        <f>I67*'Large Use Predicted Monthly'!$Z$15</f>
        <v>-344195.57839397498</v>
      </c>
      <c r="S67" s="18">
        <f>J67*'Large Use Predicted Monthly'!$Z$16</f>
        <v>0</v>
      </c>
      <c r="T67" s="18">
        <f>K67*'Large Use Predicted Monthly'!$Z$17</f>
        <v>-196518.86484924954</v>
      </c>
      <c r="U67" s="18">
        <f t="shared" ref="U67:U130" ca="1" si="10">SUM(M67:T67)</f>
        <v>2669508.2271360103</v>
      </c>
    </row>
    <row r="68" spans="1:21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Data'!X68</f>
        <v>2794912.6777092903</v>
      </c>
      <c r="E68" s="269">
        <f t="shared" ca="1" si="7"/>
        <v>0</v>
      </c>
      <c r="F68" s="269">
        <f t="shared" ca="1" si="7"/>
        <v>235.94737858727848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1050929.47761405</v>
      </c>
      <c r="N68" s="18">
        <f ca="1">E68*'Large Use Predicted Monthly'!$Z$11</f>
        <v>0</v>
      </c>
      <c r="O68" s="18">
        <f ca="1">F68*'Large Use Predicted Monthly'!$Z$12</f>
        <v>425673.46605563629</v>
      </c>
      <c r="P68" s="18">
        <f>G68*'Large Use Predicted Monthly'!$Z$13</f>
        <v>-194041.35361468513</v>
      </c>
      <c r="Q68" s="18">
        <f>H68*'Large Use Predicted Monthly'!$Z$14</f>
        <v>2172165.2722322186</v>
      </c>
      <c r="R68" s="18">
        <f>I68*'Large Use Predicted Monthly'!$Z$15</f>
        <v>-344195.57839397498</v>
      </c>
      <c r="S68" s="18">
        <f>J68*'Large Use Predicted Monthly'!$Z$16</f>
        <v>0</v>
      </c>
      <c r="T68" s="18">
        <f>K68*'Large Use Predicted Monthly'!$Z$17</f>
        <v>148430.15034923711</v>
      </c>
      <c r="U68" s="18">
        <f t="shared" ca="1" si="10"/>
        <v>3258961.4342424818</v>
      </c>
    </row>
    <row r="69" spans="1:21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Data'!X69</f>
        <v>2846971.9201273769</v>
      </c>
      <c r="E69" s="269">
        <f t="shared" ca="1" si="7"/>
        <v>0</v>
      </c>
      <c r="F69" s="269">
        <f t="shared" ca="1" si="7"/>
        <v>210.96558794466404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1050929.47761405</v>
      </c>
      <c r="N69" s="18">
        <f ca="1">E69*'Large Use Predicted Monthly'!$Z$11</f>
        <v>0</v>
      </c>
      <c r="O69" s="18">
        <f ca="1">F69*'Large Use Predicted Monthly'!$Z$12</f>
        <v>380603.73281770444</v>
      </c>
      <c r="P69" s="18">
        <f>G69*'Large Use Predicted Monthly'!$Z$13</f>
        <v>-196937.49322087446</v>
      </c>
      <c r="Q69" s="18">
        <f>H69*'Large Use Predicted Monthly'!$Z$14</f>
        <v>2172165.2722322186</v>
      </c>
      <c r="R69" s="18">
        <f>I69*'Large Use Predicted Monthly'!$Z$15</f>
        <v>-344195.57839397498</v>
      </c>
      <c r="S69" s="18">
        <f>J69*'Large Use Predicted Monthly'!$Z$16</f>
        <v>0</v>
      </c>
      <c r="T69" s="18">
        <f>K69*'Large Use Predicted Monthly'!$Z$17</f>
        <v>148430.15034923711</v>
      </c>
      <c r="U69" s="18">
        <f t="shared" ca="1" si="10"/>
        <v>3210995.5613983609</v>
      </c>
    </row>
    <row r="70" spans="1:21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Data'!X70</f>
        <v>2796480.6781213125</v>
      </c>
      <c r="E70" s="269">
        <f t="shared" ca="1" si="7"/>
        <v>0</v>
      </c>
      <c r="F70" s="269">
        <f t="shared" ca="1" si="7"/>
        <v>106.4160119047619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1050929.47761405</v>
      </c>
      <c r="N70" s="18">
        <f ca="1">E70*'Large Use Predicted Monthly'!$Z$11</f>
        <v>0</v>
      </c>
      <c r="O70" s="18">
        <f ca="1">F70*'Large Use Predicted Monthly'!$Z$12</f>
        <v>191985.4880462749</v>
      </c>
      <c r="P70" s="18">
        <f>G70*'Large Use Predicted Monthly'!$Z$13</f>
        <v>-199833.63282706379</v>
      </c>
      <c r="Q70" s="18">
        <f>H70*'Large Use Predicted Monthly'!$Z$14</f>
        <v>2102095.424740857</v>
      </c>
      <c r="R70" s="18">
        <f>I70*'Large Use Predicted Monthly'!$Z$15</f>
        <v>-344195.57839397498</v>
      </c>
      <c r="S70" s="18">
        <f>J70*'Large Use Predicted Monthly'!$Z$16</f>
        <v>177044.57271687401</v>
      </c>
      <c r="T70" s="18">
        <f>K70*'Large Use Predicted Monthly'!$Z$17</f>
        <v>148430.15034923711</v>
      </c>
      <c r="U70" s="18">
        <f t="shared" ca="1" si="10"/>
        <v>3126455.9022462545</v>
      </c>
    </row>
    <row r="71" spans="1:21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Data'!X71</f>
        <v>2572644.9041530807</v>
      </c>
      <c r="E71" s="269">
        <f t="shared" ca="1" si="7"/>
        <v>24.76139492753623</v>
      </c>
      <c r="F71" s="269">
        <f t="shared" ca="1" si="7"/>
        <v>17.987083333333334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1050929.47761405</v>
      </c>
      <c r="N71" s="18">
        <f ca="1">E71*'Large Use Predicted Monthly'!$Z$11</f>
        <v>10211.535150396941</v>
      </c>
      <c r="O71" s="18">
        <f ca="1">F71*'Large Use Predicted Monthly'!$Z$12</f>
        <v>32450.558054830573</v>
      </c>
      <c r="P71" s="18">
        <f>G71*'Large Use Predicted Monthly'!$Z$13</f>
        <v>-202729.77243325312</v>
      </c>
      <c r="Q71" s="18">
        <f>H71*'Large Use Predicted Monthly'!$Z$14</f>
        <v>2172165.2722322186</v>
      </c>
      <c r="R71" s="18">
        <f>I71*'Large Use Predicted Monthly'!$Z$15</f>
        <v>-344195.57839397498</v>
      </c>
      <c r="S71" s="18">
        <f>J71*'Large Use Predicted Monthly'!$Z$16</f>
        <v>177044.57271687401</v>
      </c>
      <c r="T71" s="18">
        <f>K71*'Large Use Predicted Monthly'!$Z$17</f>
        <v>39170.642342396925</v>
      </c>
      <c r="U71" s="18">
        <f t="shared" ca="1" si="10"/>
        <v>2935046.7072835392</v>
      </c>
    </row>
    <row r="72" spans="1:21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Data'!X72</f>
        <v>2636145.3575018547</v>
      </c>
      <c r="E72" s="269">
        <f t="shared" ca="1" si="7"/>
        <v>140.02366389045739</v>
      </c>
      <c r="F72" s="269">
        <f t="shared" ca="1" si="7"/>
        <v>0.8083333333333329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1050929.47761405</v>
      </c>
      <c r="N72" s="18">
        <f ca="1">E72*'Large Use Predicted Monthly'!$Z$11</f>
        <v>57745.396407965767</v>
      </c>
      <c r="O72" s="18">
        <f ca="1">F72*'Large Use Predicted Monthly'!$Z$12</f>
        <v>1458.3169085772493</v>
      </c>
      <c r="P72" s="18">
        <f>G72*'Large Use Predicted Monthly'!$Z$13</f>
        <v>-205625.91203944245</v>
      </c>
      <c r="Q72" s="18">
        <f>H72*'Large Use Predicted Monthly'!$Z$14</f>
        <v>2102095.424740857</v>
      </c>
      <c r="R72" s="18">
        <f>I72*'Large Use Predicted Monthly'!$Z$15</f>
        <v>-344195.57839397498</v>
      </c>
      <c r="S72" s="18">
        <f>J72*'Large Use Predicted Monthly'!$Z$16</f>
        <v>177044.57271687401</v>
      </c>
      <c r="T72" s="18">
        <f>K72*'Large Use Predicted Monthly'!$Z$17</f>
        <v>39170.642342396925</v>
      </c>
      <c r="U72" s="18">
        <f t="shared" ca="1" si="10"/>
        <v>2878622.3402973036</v>
      </c>
    </row>
    <row r="73" spans="1:21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Data'!X73</f>
        <v>2725064.1006996538</v>
      </c>
      <c r="E73" s="269">
        <f t="shared" ca="1" si="7"/>
        <v>268.92048913043476</v>
      </c>
      <c r="F73" s="269">
        <f t="shared" ca="1" si="7"/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1050929.47761405</v>
      </c>
      <c r="N73" s="18">
        <f ca="1">E73*'Large Use Predicted Monthly'!$Z$11</f>
        <v>110902.11336856257</v>
      </c>
      <c r="O73" s="18">
        <f ca="1">F73*'Large Use Predicted Monthly'!$Z$12</f>
        <v>0</v>
      </c>
      <c r="P73" s="18">
        <f>G73*'Large Use Predicted Monthly'!$Z$13</f>
        <v>-208522.05164563179</v>
      </c>
      <c r="Q73" s="18">
        <f>H73*'Large Use Predicted Monthly'!$Z$14</f>
        <v>2172165.2722322186</v>
      </c>
      <c r="R73" s="18">
        <f>I73*'Large Use Predicted Monthly'!$Z$15</f>
        <v>-344195.57839397498</v>
      </c>
      <c r="S73" s="18">
        <f>J73*'Large Use Predicted Monthly'!$Z$16</f>
        <v>0</v>
      </c>
      <c r="T73" s="18">
        <f>K73*'Large Use Predicted Monthly'!$Z$17</f>
        <v>39170.642342396925</v>
      </c>
      <c r="U73" s="18">
        <f t="shared" ca="1" si="10"/>
        <v>2820449.8755176216</v>
      </c>
    </row>
    <row r="74" spans="1:21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 ca="1">'Monthly Data'!X74</f>
        <v>2863051.0296910401</v>
      </c>
      <c r="E74" s="269">
        <f t="shared" ca="1" si="7"/>
        <v>387.33418478260865</v>
      </c>
      <c r="F74" s="269">
        <f t="shared" ca="1" si="7"/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1050929.47761405</v>
      </c>
      <c r="N74" s="18">
        <f ca="1">E74*'Large Use Predicted Monthly'!$Z$11</f>
        <v>159735.61483240328</v>
      </c>
      <c r="O74" s="18">
        <f ca="1">F74*'Large Use Predicted Monthly'!$Z$12</f>
        <v>0</v>
      </c>
      <c r="P74" s="18">
        <f>G74*'Large Use Predicted Monthly'!$Z$13</f>
        <v>-211418.19125182109</v>
      </c>
      <c r="Q74" s="18">
        <f>H74*'Large Use Predicted Monthly'!$Z$14</f>
        <v>2172165.2722322186</v>
      </c>
      <c r="R74" s="18">
        <f>I74*'Large Use Predicted Monthly'!$Z$15</f>
        <v>-344195.57839397498</v>
      </c>
      <c r="S74" s="18">
        <f>J74*'Large Use Predicted Monthly'!$Z$16</f>
        <v>0</v>
      </c>
      <c r="T74" s="18">
        <f>K74*'Large Use Predicted Monthly'!$Z$17</f>
        <v>26678.62179479752</v>
      </c>
      <c r="U74" s="18">
        <f t="shared" ca="1" si="10"/>
        <v>2853895.2168276734</v>
      </c>
    </row>
    <row r="75" spans="1:21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 ca="1">'Monthly Data'!X75</f>
        <v>2497146.4742054013</v>
      </c>
      <c r="E75" s="269">
        <f t="shared" ca="1" si="7"/>
        <v>341.39751811594203</v>
      </c>
      <c r="F75" s="269">
        <f t="shared" ca="1" si="7"/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1050929.47761405</v>
      </c>
      <c r="N75" s="18">
        <f ca="1">E75*'Large Use Predicted Monthly'!$Z$11</f>
        <v>140791.45244851906</v>
      </c>
      <c r="O75" s="18">
        <f ca="1">F75*'Large Use Predicted Monthly'!$Z$12</f>
        <v>0</v>
      </c>
      <c r="P75" s="18">
        <f>G75*'Large Use Predicted Monthly'!$Z$13</f>
        <v>-214314.33085801042</v>
      </c>
      <c r="Q75" s="18">
        <f>H75*'Large Use Predicted Monthly'!$Z$14</f>
        <v>1961955.7297581332</v>
      </c>
      <c r="R75" s="18">
        <f>I75*'Large Use Predicted Monthly'!$Z$15</f>
        <v>-344195.57839397498</v>
      </c>
      <c r="S75" s="18">
        <f>J75*'Large Use Predicted Monthly'!$Z$16</f>
        <v>0</v>
      </c>
      <c r="T75" s="18">
        <f>K75*'Large Use Predicted Monthly'!$Z$17</f>
        <v>26678.62179479752</v>
      </c>
      <c r="U75" s="18">
        <f t="shared" ca="1" si="10"/>
        <v>2621845.3723635147</v>
      </c>
    </row>
    <row r="76" spans="1:21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 ca="1">'Monthly Data'!X76</f>
        <v>3029704.918719762</v>
      </c>
      <c r="E76" s="269">
        <f t="shared" ca="1" si="7"/>
        <v>238.57840579710145</v>
      </c>
      <c r="F76" s="269">
        <f t="shared" ca="1" si="7"/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1050929.47761405</v>
      </c>
      <c r="N76" s="18">
        <f ca="1">E76*'Large Use Predicted Monthly'!$Z$11</f>
        <v>98389.116770376349</v>
      </c>
      <c r="O76" s="18">
        <f ca="1">F76*'Large Use Predicted Monthly'!$Z$12</f>
        <v>0</v>
      </c>
      <c r="P76" s="18">
        <f>G76*'Large Use Predicted Monthly'!$Z$13</f>
        <v>-217210.47046419975</v>
      </c>
      <c r="Q76" s="18">
        <f>H76*'Large Use Predicted Monthly'!$Z$14</f>
        <v>2172165.2722322186</v>
      </c>
      <c r="R76" s="18">
        <f>I76*'Large Use Predicted Monthly'!$Z$15</f>
        <v>-344195.57839397498</v>
      </c>
      <c r="S76" s="18">
        <f>J76*'Large Use Predicted Monthly'!$Z$16</f>
        <v>177044.57271687401</v>
      </c>
      <c r="T76" s="18">
        <f>K76*'Large Use Predicted Monthly'!$Z$17</f>
        <v>26678.62179479752</v>
      </c>
      <c r="U76" s="18">
        <f t="shared" ca="1" si="10"/>
        <v>2963801.0122701419</v>
      </c>
    </row>
    <row r="77" spans="1:21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 ca="1">'Monthly Data'!X77</f>
        <v>2753401.3632341232</v>
      </c>
      <c r="E77" s="269">
        <f t="shared" ca="1" si="7"/>
        <v>79.984412878787879</v>
      </c>
      <c r="F77" s="269">
        <f t="shared" ca="1" si="7"/>
        <v>2.1908333333333347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1050929.47761405</v>
      </c>
      <c r="N77" s="18">
        <f ca="1">E77*'Large Use Predicted Monthly'!$Z$11</f>
        <v>32985.364757754884</v>
      </c>
      <c r="O77" s="18">
        <f ca="1">F77*'Large Use Predicted Monthly'!$Z$12</f>
        <v>3952.4898480923639</v>
      </c>
      <c r="P77" s="18">
        <f>G77*'Large Use Predicted Monthly'!$Z$13</f>
        <v>-220106.61007038908</v>
      </c>
      <c r="Q77" s="18">
        <f>H77*'Large Use Predicted Monthly'!$Z$14</f>
        <v>2102095.424740857</v>
      </c>
      <c r="R77" s="18">
        <f>I77*'Large Use Predicted Monthly'!$Z$15</f>
        <v>-344195.57839397498</v>
      </c>
      <c r="S77" s="18">
        <f>J77*'Large Use Predicted Monthly'!$Z$16</f>
        <v>177044.57271687401</v>
      </c>
      <c r="T77" s="18">
        <f>K77*'Large Use Predicted Monthly'!$Z$17</f>
        <v>-12737.703251258697</v>
      </c>
      <c r="U77" s="18">
        <f t="shared" ca="1" si="10"/>
        <v>2789967.4379620058</v>
      </c>
    </row>
    <row r="78" spans="1:21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 ca="1">'Monthly Data'!X78</f>
        <v>2873180.807748484</v>
      </c>
      <c r="E78" s="269">
        <f t="shared" ca="1" si="7"/>
        <v>7.2018333333333331</v>
      </c>
      <c r="F78" s="269">
        <f t="shared" ca="1" si="7"/>
        <v>52.487435064935063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1050929.47761405</v>
      </c>
      <c r="N78" s="18">
        <f ca="1">E78*'Large Use Predicted Monthly'!$Z$11</f>
        <v>2970.0174180756921</v>
      </c>
      <c r="O78" s="18">
        <f ca="1">F78*'Large Use Predicted Monthly'!$Z$12</f>
        <v>94692.759640880729</v>
      </c>
      <c r="P78" s="18">
        <f>G78*'Large Use Predicted Monthly'!$Z$13</f>
        <v>-223002.74967657842</v>
      </c>
      <c r="Q78" s="18">
        <f>H78*'Large Use Predicted Monthly'!$Z$14</f>
        <v>2172165.2722322186</v>
      </c>
      <c r="R78" s="18">
        <f>I78*'Large Use Predicted Monthly'!$Z$15</f>
        <v>-344195.57839397498</v>
      </c>
      <c r="S78" s="18">
        <f>J78*'Large Use Predicted Monthly'!$Z$16</f>
        <v>177044.57271687401</v>
      </c>
      <c r="T78" s="18">
        <f>K78*'Large Use Predicted Monthly'!$Z$17</f>
        <v>-12737.703251258697</v>
      </c>
      <c r="U78" s="18">
        <f t="shared" ca="1" si="10"/>
        <v>2917866.0683002872</v>
      </c>
    </row>
    <row r="79" spans="1:21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 ca="1">'Monthly Data'!X79</f>
        <v>3095392.2522628447</v>
      </c>
      <c r="E79" s="269">
        <f t="shared" ref="E79:F94" ca="1" si="11">E67</f>
        <v>0</v>
      </c>
      <c r="F79" s="269">
        <f t="shared" ca="1" si="11"/>
        <v>137.65451754405018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1050929.47761405</v>
      </c>
      <c r="N79" s="18">
        <f ca="1">E79*'Large Use Predicted Monthly'!$Z$11</f>
        <v>0</v>
      </c>
      <c r="O79" s="18">
        <f ca="1">F79*'Large Use Predicted Monthly'!$Z$12</f>
        <v>248342.9820328232</v>
      </c>
      <c r="P79" s="18">
        <f>G79*'Large Use Predicted Monthly'!$Z$13</f>
        <v>-225898.88928276775</v>
      </c>
      <c r="Q79" s="18">
        <f>H79*'Large Use Predicted Monthly'!$Z$14</f>
        <v>2102095.424740857</v>
      </c>
      <c r="R79" s="18">
        <f>I79*'Large Use Predicted Monthly'!$Z$15</f>
        <v>-344195.57839397498</v>
      </c>
      <c r="S79" s="18">
        <f>J79*'Large Use Predicted Monthly'!$Z$16</f>
        <v>0</v>
      </c>
      <c r="T79" s="18">
        <f>K79*'Large Use Predicted Monthly'!$Z$17</f>
        <v>-12737.703251258697</v>
      </c>
      <c r="U79" s="18">
        <f t="shared" ca="1" si="10"/>
        <v>2818535.7134597292</v>
      </c>
    </row>
    <row r="80" spans="1:21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 ca="1"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1050929.47761405</v>
      </c>
      <c r="N80" s="18">
        <f ca="1">E80*'Large Use Predicted Monthly'!$Z$11</f>
        <v>0</v>
      </c>
      <c r="O80" s="18">
        <f ca="1">F80*'Large Use Predicted Monthly'!$Z$12</f>
        <v>425673.46605563629</v>
      </c>
      <c r="P80" s="18">
        <f>G80*'Large Use Predicted Monthly'!$Z$13</f>
        <v>-228795.02888895708</v>
      </c>
      <c r="Q80" s="18">
        <f>H80*'Large Use Predicted Monthly'!$Z$14</f>
        <v>2172165.2722322186</v>
      </c>
      <c r="R80" s="18">
        <f>I80*'Large Use Predicted Monthly'!$Z$15</f>
        <v>-344195.57839397498</v>
      </c>
      <c r="S80" s="18">
        <f>J80*'Large Use Predicted Monthly'!$Z$16</f>
        <v>0</v>
      </c>
      <c r="T80" s="18">
        <f>K80*'Large Use Predicted Monthly'!$Z$17</f>
        <v>35794.080056207677</v>
      </c>
      <c r="U80" s="18">
        <f t="shared" ca="1" si="10"/>
        <v>3111571.688675181</v>
      </c>
    </row>
    <row r="81" spans="1:21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 ca="1"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1050929.47761405</v>
      </c>
      <c r="N81" s="18">
        <f ca="1">E81*'Large Use Predicted Monthly'!$Z$11</f>
        <v>0</v>
      </c>
      <c r="O81" s="18">
        <f ca="1">F81*'Large Use Predicted Monthly'!$Z$12</f>
        <v>380603.73281770444</v>
      </c>
      <c r="P81" s="18">
        <f>G81*'Large Use Predicted Monthly'!$Z$13</f>
        <v>-231691.16849514641</v>
      </c>
      <c r="Q81" s="18">
        <f>H81*'Large Use Predicted Monthly'!$Z$14</f>
        <v>2172165.2722322186</v>
      </c>
      <c r="R81" s="18">
        <f>I81*'Large Use Predicted Monthly'!$Z$15</f>
        <v>-344195.57839397498</v>
      </c>
      <c r="S81" s="18">
        <f>J81*'Large Use Predicted Monthly'!$Z$16</f>
        <v>0</v>
      </c>
      <c r="T81" s="18">
        <f>K81*'Large Use Predicted Monthly'!$Z$17</f>
        <v>35794.080056207677</v>
      </c>
      <c r="U81" s="18">
        <f t="shared" ca="1" si="10"/>
        <v>3063605.8158310596</v>
      </c>
    </row>
    <row r="82" spans="1:21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 ca="1"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1050929.47761405</v>
      </c>
      <c r="N82" s="18">
        <f ca="1">E82*'Large Use Predicted Monthly'!$Z$11</f>
        <v>0</v>
      </c>
      <c r="O82" s="18">
        <f ca="1">F82*'Large Use Predicted Monthly'!$Z$12</f>
        <v>191985.4880462749</v>
      </c>
      <c r="P82" s="18">
        <f>G82*'Large Use Predicted Monthly'!$Z$13</f>
        <v>-234587.30810133574</v>
      </c>
      <c r="Q82" s="18">
        <f>H82*'Large Use Predicted Monthly'!$Z$14</f>
        <v>2102095.424740857</v>
      </c>
      <c r="R82" s="18">
        <f>I82*'Large Use Predicted Monthly'!$Z$15</f>
        <v>-344195.57839397498</v>
      </c>
      <c r="S82" s="18">
        <f>J82*'Large Use Predicted Monthly'!$Z$16</f>
        <v>177044.57271687401</v>
      </c>
      <c r="T82" s="18">
        <f>K82*'Large Use Predicted Monthly'!$Z$17</f>
        <v>35794.080056207677</v>
      </c>
      <c r="U82" s="18">
        <f t="shared" ca="1" si="10"/>
        <v>2979066.1566789532</v>
      </c>
    </row>
    <row r="83" spans="1:21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 ca="1"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1050929.47761405</v>
      </c>
      <c r="N83" s="18">
        <f ca="1">E83*'Large Use Predicted Monthly'!$Z$11</f>
        <v>10211.535150396941</v>
      </c>
      <c r="O83" s="18">
        <f ca="1">F83*'Large Use Predicted Monthly'!$Z$12</f>
        <v>32450.558054830573</v>
      </c>
      <c r="P83" s="18">
        <f>G83*'Large Use Predicted Monthly'!$Z$13</f>
        <v>-237483.44770752508</v>
      </c>
      <c r="Q83" s="18">
        <f>H83*'Large Use Predicted Monthly'!$Z$14</f>
        <v>2172165.2722322186</v>
      </c>
      <c r="R83" s="18">
        <f>I83*'Large Use Predicted Monthly'!$Z$15</f>
        <v>-344195.57839397498</v>
      </c>
      <c r="S83" s="18">
        <f>J83*'Large Use Predicted Monthly'!$Z$16</f>
        <v>177044.57271687401</v>
      </c>
      <c r="T83" s="18">
        <f>K83*'Large Use Predicted Monthly'!$Z$17</f>
        <v>39546.515880473962</v>
      </c>
      <c r="U83" s="18">
        <f t="shared" ca="1" si="10"/>
        <v>2900668.9055473441</v>
      </c>
    </row>
    <row r="84" spans="1:21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 ca="1"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1050929.47761405</v>
      </c>
      <c r="N84" s="18">
        <f ca="1">E84*'Large Use Predicted Monthly'!$Z$11</f>
        <v>57745.396407965767</v>
      </c>
      <c r="O84" s="18">
        <f ca="1">F84*'Large Use Predicted Monthly'!$Z$12</f>
        <v>1458.3169085772493</v>
      </c>
      <c r="P84" s="18">
        <f>G84*'Large Use Predicted Monthly'!$Z$13</f>
        <v>-240379.58731371441</v>
      </c>
      <c r="Q84" s="18">
        <f>H84*'Large Use Predicted Monthly'!$Z$14</f>
        <v>2102095.424740857</v>
      </c>
      <c r="R84" s="18">
        <f>I84*'Large Use Predicted Monthly'!$Z$15</f>
        <v>-344195.57839397498</v>
      </c>
      <c r="S84" s="18">
        <f>J84*'Large Use Predicted Monthly'!$Z$16</f>
        <v>177044.57271687401</v>
      </c>
      <c r="T84" s="18">
        <f>K84*'Large Use Predicted Monthly'!$Z$17</f>
        <v>39546.515880473962</v>
      </c>
      <c r="U84" s="18">
        <f t="shared" ca="1" si="10"/>
        <v>2844244.538561109</v>
      </c>
    </row>
    <row r="85" spans="1:21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 ca="1"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1050929.47761405</v>
      </c>
      <c r="N85" s="18">
        <f ca="1">E85*'Large Use Predicted Monthly'!$Z$11</f>
        <v>110902.11336856257</v>
      </c>
      <c r="O85" s="18">
        <f ca="1">F85*'Large Use Predicted Monthly'!$Z$12</f>
        <v>0</v>
      </c>
      <c r="P85" s="18">
        <f>G85*'Large Use Predicted Monthly'!$Z$13</f>
        <v>-243275.72691990374</v>
      </c>
      <c r="Q85" s="18">
        <f>H85*'Large Use Predicted Monthly'!$Z$14</f>
        <v>2172165.2722322186</v>
      </c>
      <c r="R85" s="18">
        <f>I85*'Large Use Predicted Monthly'!$Z$15</f>
        <v>-344195.57839397498</v>
      </c>
      <c r="S85" s="18">
        <f>J85*'Large Use Predicted Monthly'!$Z$16</f>
        <v>0</v>
      </c>
      <c r="T85" s="18">
        <f>K85*'Large Use Predicted Monthly'!$Z$17</f>
        <v>39546.515880473962</v>
      </c>
      <c r="U85" s="18">
        <f t="shared" ca="1" si="10"/>
        <v>2786072.0737814265</v>
      </c>
    </row>
    <row r="86" spans="1:21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 ca="1"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1050929.47761405</v>
      </c>
      <c r="N86" s="18">
        <f ca="1">E86*'Large Use Predicted Monthly'!$Z$11</f>
        <v>159735.61483240328</v>
      </c>
      <c r="O86" s="18">
        <f ca="1">F86*'Large Use Predicted Monthly'!$Z$12</f>
        <v>0</v>
      </c>
      <c r="P86" s="18">
        <f>G86*'Large Use Predicted Monthly'!$Z$13</f>
        <v>-246171.86652609307</v>
      </c>
      <c r="Q86" s="18">
        <f>H86*'Large Use Predicted Monthly'!$Z$14</f>
        <v>2172165.2722322186</v>
      </c>
      <c r="R86" s="18">
        <f>I86*'Large Use Predicted Monthly'!$Z$15</f>
        <v>-172097.78919698749</v>
      </c>
      <c r="S86" s="18">
        <f>J86*'Large Use Predicted Monthly'!$Z$16</f>
        <v>0</v>
      </c>
      <c r="T86" s="18">
        <f>K86*'Large Use Predicted Monthly'!$Z$17</f>
        <v>14323.091638119944</v>
      </c>
      <c r="U86" s="18">
        <f t="shared" ca="1" si="10"/>
        <v>2978883.8005937114</v>
      </c>
    </row>
    <row r="87" spans="1:21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 ca="1"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1050929.47761405</v>
      </c>
      <c r="N87" s="18">
        <f ca="1">E87*'Large Use Predicted Monthly'!$Z$11</f>
        <v>140791.45244851906</v>
      </c>
      <c r="O87" s="18">
        <f ca="1">F87*'Large Use Predicted Monthly'!$Z$12</f>
        <v>0</v>
      </c>
      <c r="P87" s="18">
        <f>G87*'Large Use Predicted Monthly'!$Z$13</f>
        <v>-249068.0061322824</v>
      </c>
      <c r="Q87" s="18">
        <f>H87*'Large Use Predicted Monthly'!$Z$14</f>
        <v>1961955.7297581332</v>
      </c>
      <c r="R87" s="18">
        <f>I87*'Large Use Predicted Monthly'!$Z$15</f>
        <v>-172097.78919698749</v>
      </c>
      <c r="S87" s="18">
        <f>J87*'Large Use Predicted Monthly'!$Z$16</f>
        <v>0</v>
      </c>
      <c r="T87" s="18">
        <f>K87*'Large Use Predicted Monthly'!$Z$17</f>
        <v>14323.091638119944</v>
      </c>
      <c r="U87" s="18">
        <f t="shared" ca="1" si="10"/>
        <v>2746833.9561295523</v>
      </c>
    </row>
    <row r="88" spans="1:21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 ca="1"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1050929.47761405</v>
      </c>
      <c r="N88" s="18">
        <f ca="1">E88*'Large Use Predicted Monthly'!$Z$11</f>
        <v>98389.116770376349</v>
      </c>
      <c r="O88" s="18">
        <f ca="1">F88*'Large Use Predicted Monthly'!$Z$12</f>
        <v>0</v>
      </c>
      <c r="P88" s="18">
        <f>G88*'Large Use Predicted Monthly'!$Z$13</f>
        <v>-251964.14573847174</v>
      </c>
      <c r="Q88" s="18">
        <f>H88*'Large Use Predicted Monthly'!$Z$14</f>
        <v>2172165.2722322186</v>
      </c>
      <c r="R88" s="18">
        <f>I88*'Large Use Predicted Monthly'!$Z$15</f>
        <v>-172097.78919698749</v>
      </c>
      <c r="S88" s="18">
        <f>J88*'Large Use Predicted Monthly'!$Z$16</f>
        <v>177044.57271687401</v>
      </c>
      <c r="T88" s="18">
        <f>K88*'Large Use Predicted Monthly'!$Z$17</f>
        <v>14323.091638119944</v>
      </c>
      <c r="U88" s="18">
        <f t="shared" ca="1" si="10"/>
        <v>3088789.5960361799</v>
      </c>
    </row>
    <row r="89" spans="1:21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 ca="1"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1050929.47761405</v>
      </c>
      <c r="N89" s="18">
        <f ca="1">E89*'Large Use Predicted Monthly'!$Z$11</f>
        <v>32985.364757754884</v>
      </c>
      <c r="O89" s="18">
        <f ca="1">F89*'Large Use Predicted Monthly'!$Z$12</f>
        <v>3952.4898480923639</v>
      </c>
      <c r="P89" s="18">
        <f>G89*'Large Use Predicted Monthly'!$Z$13</f>
        <v>-254860.28534466104</v>
      </c>
      <c r="Q89" s="18">
        <f>H89*'Large Use Predicted Monthly'!$Z$14</f>
        <v>2102095.424740857</v>
      </c>
      <c r="R89" s="18">
        <f>I89*'Large Use Predicted Monthly'!$Z$15</f>
        <v>-172097.78919698749</v>
      </c>
      <c r="S89" s="18">
        <f>J89*'Large Use Predicted Monthly'!$Z$16</f>
        <v>177044.57271687401</v>
      </c>
      <c r="T89" s="18">
        <f>K89*'Large Use Predicted Monthly'!$Z$17</f>
        <v>13445.353431884181</v>
      </c>
      <c r="U89" s="18">
        <f t="shared" ca="1" si="10"/>
        <v>2953494.6085678637</v>
      </c>
    </row>
    <row r="90" spans="1:21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 ca="1"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1050929.47761405</v>
      </c>
      <c r="N90" s="18">
        <f ca="1">E90*'Large Use Predicted Monthly'!$Z$11</f>
        <v>2970.0174180756921</v>
      </c>
      <c r="O90" s="18">
        <f ca="1">F90*'Large Use Predicted Monthly'!$Z$12</f>
        <v>94692.759640880729</v>
      </c>
      <c r="P90" s="18">
        <f>G90*'Large Use Predicted Monthly'!$Z$13</f>
        <v>-257756.42495085037</v>
      </c>
      <c r="Q90" s="18">
        <f>H90*'Large Use Predicted Monthly'!$Z$14</f>
        <v>2172165.2722322186</v>
      </c>
      <c r="R90" s="18">
        <f>I90*'Large Use Predicted Monthly'!$Z$15</f>
        <v>-172097.78919698749</v>
      </c>
      <c r="S90" s="18">
        <f>J90*'Large Use Predicted Monthly'!$Z$16</f>
        <v>177044.57271687401</v>
      </c>
      <c r="T90" s="18">
        <f>K90*'Large Use Predicted Monthly'!$Z$17</f>
        <v>13445.353431884181</v>
      </c>
      <c r="U90" s="18">
        <f t="shared" ca="1" si="10"/>
        <v>3081393.2389061451</v>
      </c>
    </row>
    <row r="91" spans="1:21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 ca="1"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1050929.47761405</v>
      </c>
      <c r="N91" s="18">
        <f ca="1">E91*'Large Use Predicted Monthly'!$Z$11</f>
        <v>0</v>
      </c>
      <c r="O91" s="18">
        <f ca="1">F91*'Large Use Predicted Monthly'!$Z$12</f>
        <v>248342.9820328232</v>
      </c>
      <c r="P91" s="18">
        <f>G91*'Large Use Predicted Monthly'!$Z$13</f>
        <v>-260652.5645570397</v>
      </c>
      <c r="Q91" s="18">
        <f>H91*'Large Use Predicted Monthly'!$Z$14</f>
        <v>2102095.424740857</v>
      </c>
      <c r="R91" s="18">
        <f>I91*'Large Use Predicted Monthly'!$Z$15</f>
        <v>-172097.78919698749</v>
      </c>
      <c r="S91" s="18">
        <f>J91*'Large Use Predicted Monthly'!$Z$16</f>
        <v>0</v>
      </c>
      <c r="T91" s="18">
        <f>K91*'Large Use Predicted Monthly'!$Z$17</f>
        <v>13445.353431884181</v>
      </c>
      <c r="U91" s="18">
        <f t="shared" ca="1" si="10"/>
        <v>2982062.8840655871</v>
      </c>
    </row>
    <row r="92" spans="1:21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 ca="1"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1050929.47761405</v>
      </c>
      <c r="N92" s="18">
        <f ca="1">E92*'Large Use Predicted Monthly'!$Z$11</f>
        <v>0</v>
      </c>
      <c r="O92" s="18">
        <f ca="1">F92*'Large Use Predicted Monthly'!$Z$12</f>
        <v>425673.46605563629</v>
      </c>
      <c r="P92" s="18">
        <f>G92*'Large Use Predicted Monthly'!$Z$13</f>
        <v>-263548.70416322903</v>
      </c>
      <c r="Q92" s="18">
        <f>H92*'Large Use Predicted Monthly'!$Z$14</f>
        <v>2172165.2722322186</v>
      </c>
      <c r="R92" s="18">
        <f>I92*'Large Use Predicted Monthly'!$Z$15</f>
        <v>-172097.78919698749</v>
      </c>
      <c r="S92" s="18">
        <f>J92*'Large Use Predicted Monthly'!$Z$16</f>
        <v>0</v>
      </c>
      <c r="T92" s="18">
        <f>K92*'Large Use Predicted Monthly'!$Z$17</f>
        <v>2851.5992441822141</v>
      </c>
      <c r="U92" s="18">
        <f t="shared" ca="1" si="10"/>
        <v>3215973.32178587</v>
      </c>
    </row>
    <row r="93" spans="1:21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 ca="1"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1050929.47761405</v>
      </c>
      <c r="N93" s="18">
        <f ca="1">E93*'Large Use Predicted Monthly'!$Z$11</f>
        <v>0</v>
      </c>
      <c r="O93" s="18">
        <f ca="1">F93*'Large Use Predicted Monthly'!$Z$12</f>
        <v>380603.73281770444</v>
      </c>
      <c r="P93" s="18">
        <f>G93*'Large Use Predicted Monthly'!$Z$13</f>
        <v>-266444.84376941837</v>
      </c>
      <c r="Q93" s="18">
        <f>H93*'Large Use Predicted Monthly'!$Z$14</f>
        <v>2172165.2722322186</v>
      </c>
      <c r="R93" s="18">
        <f>I93*'Large Use Predicted Monthly'!$Z$15</f>
        <v>-172097.78919698749</v>
      </c>
      <c r="S93" s="18">
        <f>J93*'Large Use Predicted Monthly'!$Z$16</f>
        <v>0</v>
      </c>
      <c r="T93" s="18">
        <f>K93*'Large Use Predicted Monthly'!$Z$17</f>
        <v>2851.5992441822141</v>
      </c>
      <c r="U93" s="18">
        <f t="shared" ca="1" si="10"/>
        <v>3168007.4489417495</v>
      </c>
    </row>
    <row r="94" spans="1:21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 ca="1">'Monthly Data'!X94</f>
        <v>2775798.2423927784</v>
      </c>
      <c r="E94" s="269">
        <f t="shared" ca="1" si="11"/>
        <v>0</v>
      </c>
      <c r="F94" s="269">
        <f t="shared" ca="1" si="11"/>
        <v>106.4160119047619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1050929.47761405</v>
      </c>
      <c r="N94" s="18">
        <f ca="1">E94*'Large Use Predicted Monthly'!$Z$11</f>
        <v>0</v>
      </c>
      <c r="O94" s="18">
        <f ca="1">F94*'Large Use Predicted Monthly'!$Z$12</f>
        <v>191985.4880462749</v>
      </c>
      <c r="P94" s="18">
        <f>G94*'Large Use Predicted Monthly'!$Z$13</f>
        <v>-269340.9833756077</v>
      </c>
      <c r="Q94" s="18">
        <f>H94*'Large Use Predicted Monthly'!$Z$14</f>
        <v>2102095.424740857</v>
      </c>
      <c r="R94" s="18">
        <f>I94*'Large Use Predicted Monthly'!$Z$15</f>
        <v>-172097.78919698749</v>
      </c>
      <c r="S94" s="18">
        <f>J94*'Large Use Predicted Monthly'!$Z$16</f>
        <v>177044.57271687401</v>
      </c>
      <c r="T94" s="18">
        <f>K94*'Large Use Predicted Monthly'!$Z$17</f>
        <v>2851.5992441822141</v>
      </c>
      <c r="U94" s="18">
        <f t="shared" ca="1" si="10"/>
        <v>3083467.7897896427</v>
      </c>
    </row>
    <row r="95" spans="1:21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 ca="1">'Monthly Data'!X95</f>
        <v>2678660.3241910203</v>
      </c>
      <c r="E95" s="269">
        <f t="shared" ref="E95:F110" ca="1" si="12">E83</f>
        <v>24.76139492753623</v>
      </c>
      <c r="F95" s="269">
        <f t="shared" ca="1" si="12"/>
        <v>17.987083333333334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1050929.47761405</v>
      </c>
      <c r="N95" s="18">
        <f ca="1">E95*'Large Use Predicted Monthly'!$Z$11</f>
        <v>10211.535150396941</v>
      </c>
      <c r="O95" s="18">
        <f ca="1">F95*'Large Use Predicted Monthly'!$Z$12</f>
        <v>32450.558054830573</v>
      </c>
      <c r="P95" s="18">
        <f>G95*'Large Use Predicted Monthly'!$Z$13</f>
        <v>-272237.12298179703</v>
      </c>
      <c r="Q95" s="18">
        <f>H95*'Large Use Predicted Monthly'!$Z$14</f>
        <v>2172165.2722322186</v>
      </c>
      <c r="R95" s="18">
        <f>I95*'Large Use Predicted Monthly'!$Z$15</f>
        <v>-172097.78919698749</v>
      </c>
      <c r="S95" s="18">
        <f>J95*'Large Use Predicted Monthly'!$Z$16</f>
        <v>177044.57271687401</v>
      </c>
      <c r="T95" s="18">
        <f>K95*'Large Use Predicted Monthly'!$Z$17</f>
        <v>-1994.859559626733</v>
      </c>
      <c r="U95" s="18">
        <f t="shared" ca="1" si="10"/>
        <v>2996471.6440299586</v>
      </c>
    </row>
    <row r="96" spans="1:21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 ca="1"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1050929.47761405</v>
      </c>
      <c r="N96" s="18">
        <f ca="1">E96*'Large Use Predicted Monthly'!$Z$11</f>
        <v>57745.396407965767</v>
      </c>
      <c r="O96" s="18">
        <f ca="1">F96*'Large Use Predicted Monthly'!$Z$12</f>
        <v>1458.3169085772493</v>
      </c>
      <c r="P96" s="18">
        <f>G96*'Large Use Predicted Monthly'!$Z$13</f>
        <v>-275133.26258798636</v>
      </c>
      <c r="Q96" s="18">
        <f>H96*'Large Use Predicted Monthly'!$Z$14</f>
        <v>2102095.424740857</v>
      </c>
      <c r="R96" s="18">
        <f>I96*'Large Use Predicted Monthly'!$Z$15</f>
        <v>-172097.78919698749</v>
      </c>
      <c r="S96" s="18">
        <f>J96*'Large Use Predicted Monthly'!$Z$16</f>
        <v>177044.57271687401</v>
      </c>
      <c r="T96" s="18">
        <f>K96*'Large Use Predicted Monthly'!$Z$17</f>
        <v>-1994.859559626733</v>
      </c>
      <c r="U96" s="18">
        <f t="shared" ca="1" si="10"/>
        <v>2940047.277043723</v>
      </c>
    </row>
    <row r="97" spans="1:24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 ca="1"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1050929.47761405</v>
      </c>
      <c r="N97" s="18">
        <f ca="1">E97*'Large Use Predicted Monthly'!$Z$11</f>
        <v>110902.11336856257</v>
      </c>
      <c r="O97" s="18">
        <f ca="1">F97*'Large Use Predicted Monthly'!$Z$12</f>
        <v>0</v>
      </c>
      <c r="P97" s="18">
        <f>G97*'Large Use Predicted Monthly'!$Z$13</f>
        <v>-278029.40219417569</v>
      </c>
      <c r="Q97" s="18">
        <f>H97*'Large Use Predicted Monthly'!$Z$14</f>
        <v>2172165.2722322186</v>
      </c>
      <c r="R97" s="18">
        <f>I97*'Large Use Predicted Monthly'!$Z$15</f>
        <v>-172097.78919698749</v>
      </c>
      <c r="S97" s="18">
        <f>J97*'Large Use Predicted Monthly'!$Z$16</f>
        <v>0</v>
      </c>
      <c r="T97" s="18">
        <f>K97*'Large Use Predicted Monthly'!$Z$17</f>
        <v>-1994.859559626733</v>
      </c>
      <c r="U97" s="18">
        <f t="shared" ca="1" si="10"/>
        <v>2881874.8122640415</v>
      </c>
    </row>
    <row r="98" spans="1:24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 ca="1"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1050929.47761405</v>
      </c>
      <c r="N98" s="18">
        <f ca="1">E98*'Large Use Predicted Monthly'!$Z$11</f>
        <v>159735.61483240328</v>
      </c>
      <c r="O98" s="18">
        <f ca="1">F98*'Large Use Predicted Monthly'!$Z$12</f>
        <v>0</v>
      </c>
      <c r="P98" s="18">
        <f>G98*'Large Use Predicted Monthly'!$Z$13</f>
        <v>-280925.54180036503</v>
      </c>
      <c r="Q98" s="18">
        <f>H98*'Large Use Predicted Monthly'!$Z$14</f>
        <v>2172165.2722322186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18119.624357914821</v>
      </c>
      <c r="U98" s="18">
        <f t="shared" ca="1" si="10"/>
        <v>3120024.4472362217</v>
      </c>
    </row>
    <row r="99" spans="1:24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 ca="1"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1050929.47761405</v>
      </c>
      <c r="N99" s="18">
        <f ca="1">E99*'Large Use Predicted Monthly'!$Z$11</f>
        <v>140791.45244851906</v>
      </c>
      <c r="O99" s="18">
        <f ca="1">F99*'Large Use Predicted Monthly'!$Z$12</f>
        <v>0</v>
      </c>
      <c r="P99" s="18">
        <f>G99*'Large Use Predicted Monthly'!$Z$13</f>
        <v>-283821.68140655436</v>
      </c>
      <c r="Q99" s="18">
        <f>H99*'Large Use Predicted Monthly'!$Z$14</f>
        <v>1961955.7297581332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18119.624357914821</v>
      </c>
      <c r="U99" s="18">
        <f t="shared" ca="1" si="10"/>
        <v>2887974.6027720631</v>
      </c>
    </row>
    <row r="100" spans="1:24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 ca="1"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1050929.47761405</v>
      </c>
      <c r="N100" s="18">
        <f ca="1">E100*'Large Use Predicted Monthly'!$Z$11</f>
        <v>98389.116770376349</v>
      </c>
      <c r="O100" s="18">
        <f ca="1">F100*'Large Use Predicted Monthly'!$Z$12</f>
        <v>0</v>
      </c>
      <c r="P100" s="18">
        <f>G100*'Large Use Predicted Monthly'!$Z$13</f>
        <v>-286717.82101274369</v>
      </c>
      <c r="Q100" s="18">
        <f>H100*'Large Use Predicted Monthly'!$Z$14</f>
        <v>2172165.2722322186</v>
      </c>
      <c r="R100" s="18">
        <f>I100*'Large Use Predicted Monthly'!$Z$15</f>
        <v>0</v>
      </c>
      <c r="S100" s="18">
        <f>J100*'Large Use Predicted Monthly'!$Z$16</f>
        <v>177044.57271687401</v>
      </c>
      <c r="T100" s="18">
        <f>K100*'Large Use Predicted Monthly'!$Z$17</f>
        <v>18119.624357914821</v>
      </c>
      <c r="U100" s="18">
        <f t="shared" ca="1" si="10"/>
        <v>3229930.2426786902</v>
      </c>
      <c r="W100" s="18"/>
      <c r="X100" s="276"/>
    </row>
    <row r="101" spans="1:24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 ca="1"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1050929.47761405</v>
      </c>
      <c r="N101" s="18">
        <f ca="1">E101*'Large Use Predicted Monthly'!$Z$11</f>
        <v>32985.364757754884</v>
      </c>
      <c r="O101" s="18">
        <f ca="1">F101*'Large Use Predicted Monthly'!$Z$12</f>
        <v>3952.4898480923639</v>
      </c>
      <c r="P101" s="18">
        <f>G101*'Large Use Predicted Monthly'!$Z$13</f>
        <v>-289613.96061893302</v>
      </c>
      <c r="Q101" s="18">
        <f>H101*'Large Use Predicted Monthly'!$Z$14</f>
        <v>2102095.424740857</v>
      </c>
      <c r="R101" s="18">
        <f>I101*'Large Use Predicted Monthly'!$Z$15</f>
        <v>0</v>
      </c>
      <c r="S101" s="18">
        <f>J101*'Large Use Predicted Monthly'!$Z$16</f>
        <v>177044.57271687401</v>
      </c>
      <c r="T101" s="18">
        <f>K101*'Large Use Predicted Monthly'!$Z$17</f>
        <v>10173.783754096339</v>
      </c>
      <c r="U101" s="18">
        <f t="shared" ca="1" si="10"/>
        <v>3087567.152812792</v>
      </c>
      <c r="W101" s="18"/>
      <c r="X101" s="276"/>
    </row>
    <row r="102" spans="1:24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 ca="1"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1050929.47761405</v>
      </c>
      <c r="N102" s="18">
        <f ca="1">E102*'Large Use Predicted Monthly'!$Z$11</f>
        <v>2970.0174180756921</v>
      </c>
      <c r="O102" s="18">
        <f ca="1">F102*'Large Use Predicted Monthly'!$Z$12</f>
        <v>94692.759640880729</v>
      </c>
      <c r="P102" s="18">
        <f>G102*'Large Use Predicted Monthly'!$Z$13</f>
        <v>-292510.10022512235</v>
      </c>
      <c r="Q102" s="18">
        <f>H102*'Large Use Predicted Monthly'!$Z$14</f>
        <v>2172165.2722322186</v>
      </c>
      <c r="R102" s="18">
        <f>I102*'Large Use Predicted Monthly'!$Z$15</f>
        <v>0</v>
      </c>
      <c r="S102" s="18">
        <f>J102*'Large Use Predicted Monthly'!$Z$16</f>
        <v>177044.57271687401</v>
      </c>
      <c r="T102" s="18">
        <f>K102*'Large Use Predicted Monthly'!$Z$17</f>
        <v>10173.783754096339</v>
      </c>
      <c r="U102" s="18">
        <f t="shared" ca="1" si="10"/>
        <v>3215465.7831510729</v>
      </c>
      <c r="W102" s="18"/>
      <c r="X102" s="276"/>
    </row>
    <row r="103" spans="1:24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 ca="1"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1050929.47761405</v>
      </c>
      <c r="N103" s="18">
        <f ca="1">E103*'Large Use Predicted Monthly'!$Z$11</f>
        <v>0</v>
      </c>
      <c r="O103" s="18">
        <f ca="1">F103*'Large Use Predicted Monthly'!$Z$12</f>
        <v>248342.9820328232</v>
      </c>
      <c r="P103" s="18">
        <f>G103*'Large Use Predicted Monthly'!$Z$13</f>
        <v>-295406.23983131169</v>
      </c>
      <c r="Q103" s="18">
        <f>H103*'Large Use Predicted Monthly'!$Z$14</f>
        <v>2102095.424740857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10173.783754096339</v>
      </c>
      <c r="U103" s="18">
        <f t="shared" ca="1" si="10"/>
        <v>3116135.4283105149</v>
      </c>
      <c r="W103" s="18"/>
      <c r="X103" s="276"/>
    </row>
    <row r="104" spans="1:24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 ca="1"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1050929.47761405</v>
      </c>
      <c r="N104" s="18">
        <f ca="1">E104*'Large Use Predicted Monthly'!$Z$11</f>
        <v>0</v>
      </c>
      <c r="O104" s="18">
        <f ca="1">F104*'Large Use Predicted Monthly'!$Z$12</f>
        <v>425673.46605563629</v>
      </c>
      <c r="P104" s="18">
        <f>G104*'Large Use Predicted Monthly'!$Z$13</f>
        <v>-298302.37943750102</v>
      </c>
      <c r="Q104" s="18">
        <f>H104*'Large Use Predicted Monthly'!$Z$14</f>
        <v>2172165.2722322186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4615.4750653258516</v>
      </c>
      <c r="U104" s="18">
        <f t="shared" ca="1" si="10"/>
        <v>3355081.31152973</v>
      </c>
      <c r="W104" s="18"/>
      <c r="X104" s="276"/>
    </row>
    <row r="105" spans="1:24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 ca="1"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1050929.47761405</v>
      </c>
      <c r="N105" s="18">
        <f ca="1">E105*'Large Use Predicted Monthly'!$Z$11</f>
        <v>0</v>
      </c>
      <c r="O105" s="18">
        <f ca="1">F105*'Large Use Predicted Monthly'!$Z$12</f>
        <v>380603.73281770444</v>
      </c>
      <c r="P105" s="18">
        <f>G105*'Large Use Predicted Monthly'!$Z$13</f>
        <v>-301198.51904369035</v>
      </c>
      <c r="Q105" s="18">
        <f>H105*'Large Use Predicted Monthly'!$Z$14</f>
        <v>2172165.2722322186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4615.4750653258516</v>
      </c>
      <c r="U105" s="18">
        <f t="shared" ca="1" si="10"/>
        <v>3307115.4386856086</v>
      </c>
      <c r="W105" s="18"/>
      <c r="X105" s="276"/>
    </row>
    <row r="106" spans="1:24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 ca="1"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1050929.47761405</v>
      </c>
      <c r="N106" s="18">
        <f ca="1">E106*'Large Use Predicted Monthly'!$Z$11</f>
        <v>0</v>
      </c>
      <c r="O106" s="18">
        <f ca="1">F106*'Large Use Predicted Monthly'!$Z$12</f>
        <v>191985.4880462749</v>
      </c>
      <c r="P106" s="18">
        <f>G106*'Large Use Predicted Monthly'!$Z$13</f>
        <v>-304094.65864987968</v>
      </c>
      <c r="Q106" s="18">
        <f>H106*'Large Use Predicted Monthly'!$Z$14</f>
        <v>2102095.424740857</v>
      </c>
      <c r="R106" s="18">
        <f>I106*'Large Use Predicted Monthly'!$Z$15</f>
        <v>0</v>
      </c>
      <c r="S106" s="18">
        <f>J106*'Large Use Predicted Monthly'!$Z$16</f>
        <v>177044.57271687401</v>
      </c>
      <c r="T106" s="18">
        <f>K106*'Large Use Predicted Monthly'!$Z$17</f>
        <v>4615.4750653258516</v>
      </c>
      <c r="U106" s="18">
        <f t="shared" ca="1" si="10"/>
        <v>3222575.7795335022</v>
      </c>
      <c r="W106" s="18"/>
      <c r="X106" s="276"/>
    </row>
    <row r="107" spans="1:24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 ca="1"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1050929.47761405</v>
      </c>
      <c r="N107" s="18">
        <f ca="1">E107*'Large Use Predicted Monthly'!$Z$11</f>
        <v>10211.535150396941</v>
      </c>
      <c r="O107" s="18">
        <f ca="1">F107*'Large Use Predicted Monthly'!$Z$12</f>
        <v>32450.558054830573</v>
      </c>
      <c r="P107" s="18">
        <f>G107*'Large Use Predicted Monthly'!$Z$13</f>
        <v>-306990.79825606901</v>
      </c>
      <c r="Q107" s="18">
        <f>H107*'Large Use Predicted Monthly'!$Z$14</f>
        <v>2172165.2722322186</v>
      </c>
      <c r="R107" s="18">
        <f>I107*'Large Use Predicted Monthly'!$Z$15</f>
        <v>0</v>
      </c>
      <c r="S107" s="18">
        <f>J107*'Large Use Predicted Monthly'!$Z$16</f>
        <v>177044.57271687401</v>
      </c>
      <c r="T107" s="18">
        <f>K107*'Large Use Predicted Monthly'!$Z$17</f>
        <v>3937.2228150527626</v>
      </c>
      <c r="U107" s="18">
        <f t="shared" ca="1" si="10"/>
        <v>3139747.8403273541</v>
      </c>
      <c r="W107" s="18"/>
      <c r="X107" s="276"/>
    </row>
    <row r="108" spans="1:24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 ca="1"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1050929.47761405</v>
      </c>
      <c r="N108" s="18">
        <f ca="1">E108*'Large Use Predicted Monthly'!$Z$11</f>
        <v>57745.396407965767</v>
      </c>
      <c r="O108" s="18">
        <f ca="1">F108*'Large Use Predicted Monthly'!$Z$12</f>
        <v>1458.3169085772493</v>
      </c>
      <c r="P108" s="18">
        <f>G108*'Large Use Predicted Monthly'!$Z$13</f>
        <v>-309886.93786225835</v>
      </c>
      <c r="Q108" s="18">
        <f>H108*'Large Use Predicted Monthly'!$Z$14</f>
        <v>2102095.424740857</v>
      </c>
      <c r="R108" s="18">
        <f>I108*'Large Use Predicted Monthly'!$Z$15</f>
        <v>0</v>
      </c>
      <c r="S108" s="18">
        <f>J108*'Large Use Predicted Monthly'!$Z$16</f>
        <v>177044.57271687401</v>
      </c>
      <c r="T108" s="18">
        <f>K108*'Large Use Predicted Monthly'!$Z$17</f>
        <v>3937.2228150527626</v>
      </c>
      <c r="U108" s="18">
        <f t="shared" ca="1" si="10"/>
        <v>3083323.4733411185</v>
      </c>
      <c r="W108" s="18"/>
      <c r="X108" s="276"/>
    </row>
    <row r="109" spans="1:24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 ca="1"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1050929.47761405</v>
      </c>
      <c r="N109" s="18">
        <f ca="1">E109*'Large Use Predicted Monthly'!$Z$11</f>
        <v>110902.11336856257</v>
      </c>
      <c r="O109" s="18">
        <f ca="1">F109*'Large Use Predicted Monthly'!$Z$12</f>
        <v>0</v>
      </c>
      <c r="P109" s="18">
        <f>G109*'Large Use Predicted Monthly'!$Z$13</f>
        <v>-312783.07746844768</v>
      </c>
      <c r="Q109" s="18">
        <f>H109*'Large Use Predicted Monthly'!$Z$14</f>
        <v>2172165.2722322186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3937.2228150527626</v>
      </c>
      <c r="U109" s="18">
        <f t="shared" ca="1" si="10"/>
        <v>3025151.0085614361</v>
      </c>
      <c r="V109" s="259"/>
      <c r="W109" s="18"/>
      <c r="X109" s="276"/>
    </row>
    <row r="110" spans="1:24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 ca="1"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4826</v>
      </c>
      <c r="M110" s="18">
        <f>'Large Use Predicted Monthly'!$Z$10</f>
        <v>1050929.47761405</v>
      </c>
      <c r="N110" s="18">
        <f ca="1">E110*'Large Use Predicted Monthly'!$Z$11</f>
        <v>159735.61483240328</v>
      </c>
      <c r="O110" s="18">
        <f ca="1">F110*'Large Use Predicted Monthly'!$Z$12</f>
        <v>0</v>
      </c>
      <c r="P110" s="18">
        <f>G110*'Large Use Predicted Monthly'!$Z$13</f>
        <v>-315679.21707463701</v>
      </c>
      <c r="Q110" s="18">
        <f>H110*'Large Use Predicted Monthly'!$Z$14</f>
        <v>2172165.2722322186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10133.886562903805</v>
      </c>
      <c r="U110" s="18">
        <f t="shared" ca="1" si="10"/>
        <v>3077285.0341669391</v>
      </c>
      <c r="V110" s="259"/>
      <c r="W110" s="18"/>
      <c r="X110" s="276"/>
    </row>
    <row r="111" spans="1:24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 ca="1">'Monthly Data'!X111</f>
        <v>3374301.142980007</v>
      </c>
      <c r="E111" s="269">
        <f t="shared" ref="E111:F126" ca="1" si="13">E99</f>
        <v>341.39751811594203</v>
      </c>
      <c r="F111" s="269">
        <f t="shared" ca="1" si="13"/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4826</v>
      </c>
      <c r="M111" s="18">
        <f>'Large Use Predicted Monthly'!$Z$10</f>
        <v>1050929.47761405</v>
      </c>
      <c r="N111" s="18">
        <f ca="1">E111*'Large Use Predicted Monthly'!$Z$11</f>
        <v>140791.45244851906</v>
      </c>
      <c r="O111" s="18">
        <f ca="1">F111*'Large Use Predicted Monthly'!$Z$12</f>
        <v>0</v>
      </c>
      <c r="P111" s="18">
        <f>G111*'Large Use Predicted Monthly'!$Z$13</f>
        <v>-318575.35668082634</v>
      </c>
      <c r="Q111" s="18">
        <f>H111*'Large Use Predicted Monthly'!$Z$14</f>
        <v>2032025.5772494951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10133.886562903805</v>
      </c>
      <c r="U111" s="18">
        <f t="shared" ca="1" si="10"/>
        <v>2915305.0371941417</v>
      </c>
      <c r="V111" s="259"/>
      <c r="W111" s="18"/>
      <c r="X111" s="276"/>
    </row>
    <row r="112" spans="1:24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 ca="1">'Monthly Data'!X112</f>
        <v>3519478.5922319503</v>
      </c>
      <c r="E112" s="269">
        <f t="shared" ca="1" si="13"/>
        <v>238.57840579710145</v>
      </c>
      <c r="F112" s="269">
        <f t="shared" ca="1" si="13"/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4826</v>
      </c>
      <c r="M112" s="18">
        <f>'Large Use Predicted Monthly'!$Z$10</f>
        <v>1050929.47761405</v>
      </c>
      <c r="N112" s="18">
        <f ca="1">E112*'Large Use Predicted Monthly'!$Z$11</f>
        <v>98389.116770376349</v>
      </c>
      <c r="O112" s="18">
        <f ca="1">F112*'Large Use Predicted Monthly'!$Z$12</f>
        <v>0</v>
      </c>
      <c r="P112" s="18">
        <f>G112*'Large Use Predicted Monthly'!$Z$13</f>
        <v>-321471.49628701567</v>
      </c>
      <c r="Q112" s="18">
        <f>H112*'Large Use Predicted Monthly'!$Z$14</f>
        <v>2172165.2722322186</v>
      </c>
      <c r="R112" s="18">
        <f>I112*'Large Use Predicted Monthly'!$Z$15</f>
        <v>0</v>
      </c>
      <c r="S112" s="18">
        <f>J112*'Large Use Predicted Monthly'!$Z$16</f>
        <v>177044.57271687401</v>
      </c>
      <c r="T112" s="18">
        <f>K112*'Large Use Predicted Monthly'!$Z$17</f>
        <v>10133.886562903805</v>
      </c>
      <c r="U112" s="18">
        <f t="shared" ca="1" si="10"/>
        <v>3187190.8296094076</v>
      </c>
      <c r="V112" s="259"/>
    </row>
    <row r="113" spans="1:23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 ca="1">'Monthly Data'!X113</f>
        <v>3243940.0520764217</v>
      </c>
      <c r="E113" s="269">
        <f t="shared" ca="1" si="13"/>
        <v>79.984412878787879</v>
      </c>
      <c r="F113" s="269">
        <f t="shared" ca="1" si="13"/>
        <v>2.1908333333333347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2733</v>
      </c>
      <c r="M113" s="18">
        <f>'Large Use Predicted Monthly'!$Z$10</f>
        <v>1050929.47761405</v>
      </c>
      <c r="N113" s="18">
        <f ca="1">E113*'Large Use Predicted Monthly'!$Z$11</f>
        <v>32985.364757754884</v>
      </c>
      <c r="O113" s="18">
        <f ca="1">F113*'Large Use Predicted Monthly'!$Z$12</f>
        <v>3952.4898480923639</v>
      </c>
      <c r="P113" s="18">
        <f>G113*'Large Use Predicted Monthly'!$Z$13</f>
        <v>-324367.63589320495</v>
      </c>
      <c r="Q113" s="18">
        <f>H113*'Large Use Predicted Monthly'!$Z$14</f>
        <v>2102095.424740857</v>
      </c>
      <c r="R113" s="18">
        <f>I113*'Large Use Predicted Monthly'!$Z$15</f>
        <v>0</v>
      </c>
      <c r="S113" s="18">
        <f>J113*'Large Use Predicted Monthly'!$Z$16</f>
        <v>177044.57271687401</v>
      </c>
      <c r="T113" s="18">
        <f>K113*'Large Use Predicted Monthly'!$Z$17</f>
        <v>5738.8959752209066</v>
      </c>
      <c r="U113" s="18">
        <f t="shared" ca="1" si="10"/>
        <v>3048378.5897596441</v>
      </c>
      <c r="V113" s="259"/>
      <c r="W113" s="18"/>
    </row>
    <row r="114" spans="1:23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 ca="1">'Monthly Data'!X114</f>
        <v>3420919.5005276739</v>
      </c>
      <c r="E114" s="269">
        <f t="shared" ca="1" si="13"/>
        <v>7.2018333333333331</v>
      </c>
      <c r="F114" s="269">
        <f t="shared" ca="1" si="13"/>
        <v>52.487435064935063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2733</v>
      </c>
      <c r="M114" s="18">
        <f>'Large Use Predicted Monthly'!$Z$10</f>
        <v>1050929.47761405</v>
      </c>
      <c r="N114" s="18">
        <f ca="1">E114*'Large Use Predicted Monthly'!$Z$11</f>
        <v>2970.0174180756921</v>
      </c>
      <c r="O114" s="18">
        <f ca="1">F114*'Large Use Predicted Monthly'!$Z$12</f>
        <v>94692.759640880729</v>
      </c>
      <c r="P114" s="18">
        <f>G114*'Large Use Predicted Monthly'!$Z$13</f>
        <v>-327263.77549939428</v>
      </c>
      <c r="Q114" s="18">
        <f>H114*'Large Use Predicted Monthly'!$Z$14</f>
        <v>2172165.2722322186</v>
      </c>
      <c r="R114" s="18">
        <f>I114*'Large Use Predicted Monthly'!$Z$15</f>
        <v>0</v>
      </c>
      <c r="S114" s="18">
        <f>J114*'Large Use Predicted Monthly'!$Z$16</f>
        <v>177044.57271687401</v>
      </c>
      <c r="T114" s="18">
        <f>K114*'Large Use Predicted Monthly'!$Z$17</f>
        <v>5738.8959752209066</v>
      </c>
      <c r="U114" s="18">
        <f t="shared" ca="1" si="10"/>
        <v>3176277.2200979255</v>
      </c>
      <c r="V114" s="259"/>
      <c r="W114" s="18"/>
    </row>
    <row r="115" spans="1:23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 ca="1">'Monthly Data'!X115</f>
        <v>3329855.9557275474</v>
      </c>
      <c r="E115" s="269">
        <f t="shared" ca="1" si="13"/>
        <v>0</v>
      </c>
      <c r="F115" s="269">
        <f t="shared" ca="1" si="13"/>
        <v>137.65451754405018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2733</v>
      </c>
      <c r="M115" s="18">
        <f>'Large Use Predicted Monthly'!$Z$10</f>
        <v>1050929.47761405</v>
      </c>
      <c r="N115" s="18">
        <f ca="1">E115*'Large Use Predicted Monthly'!$Z$11</f>
        <v>0</v>
      </c>
      <c r="O115" s="18">
        <f ca="1">F115*'Large Use Predicted Monthly'!$Z$12</f>
        <v>248342.9820328232</v>
      </c>
      <c r="P115" s="18">
        <f>G115*'Large Use Predicted Monthly'!$Z$13</f>
        <v>-330159.91510558361</v>
      </c>
      <c r="Q115" s="18">
        <f>H115*'Large Use Predicted Monthly'!$Z$14</f>
        <v>2102095.424740857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5738.8959752209066</v>
      </c>
      <c r="U115" s="18">
        <f t="shared" ca="1" si="10"/>
        <v>3076946.8652573675</v>
      </c>
      <c r="V115" s="259"/>
      <c r="W115" s="18"/>
    </row>
    <row r="116" spans="1:23" x14ac:dyDescent="0.25">
      <c r="A116" s="3">
        <v>45474</v>
      </c>
      <c r="B116" s="1">
        <f t="shared" si="8"/>
        <v>2024</v>
      </c>
      <c r="C116" s="1">
        <f t="shared" si="9"/>
        <v>7</v>
      </c>
      <c r="D116" s="259">
        <f ca="1">'Monthly Data'!X116</f>
        <v>3408998.4066420794</v>
      </c>
      <c r="E116" s="269">
        <f t="shared" ca="1" si="13"/>
        <v>0</v>
      </c>
      <c r="F116" s="269">
        <f t="shared" ca="1" si="13"/>
        <v>235.94737858727848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730</v>
      </c>
      <c r="M116" s="18">
        <f>'Large Use Predicted Monthly'!$Z$10</f>
        <v>1050929.47761405</v>
      </c>
      <c r="N116" s="18">
        <f ca="1">E116*'Large Use Predicted Monthly'!$Z$11</f>
        <v>0</v>
      </c>
      <c r="O116" s="18">
        <f ca="1">F116*'Large Use Predicted Monthly'!$Z$12</f>
        <v>425673.46605563629</v>
      </c>
      <c r="P116" s="18">
        <f>G116*'Large Use Predicted Monthly'!$Z$13</f>
        <v>-333056.05471177294</v>
      </c>
      <c r="Q116" s="18">
        <f>H116*'Large Use Predicted Monthly'!$Z$14</f>
        <v>2172165.2722322186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1532.8920826605422</v>
      </c>
      <c r="U116" s="18">
        <f t="shared" ca="1" si="10"/>
        <v>3317245.0532727926</v>
      </c>
      <c r="V116" s="259"/>
      <c r="W116" s="18"/>
    </row>
    <row r="117" spans="1:23" x14ac:dyDescent="0.25">
      <c r="A117" s="3">
        <v>45505</v>
      </c>
      <c r="B117" s="1">
        <f t="shared" si="8"/>
        <v>2024</v>
      </c>
      <c r="C117" s="1">
        <f t="shared" si="9"/>
        <v>8</v>
      </c>
      <c r="D117" s="259">
        <f ca="1">'Monthly Data'!X117</f>
        <v>3372525.8604674945</v>
      </c>
      <c r="E117" s="269">
        <f t="shared" ca="1" si="13"/>
        <v>0</v>
      </c>
      <c r="F117" s="269">
        <f t="shared" ca="1" si="13"/>
        <v>210.96558794466404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730</v>
      </c>
      <c r="M117" s="18">
        <f>'Large Use Predicted Monthly'!$Z$10</f>
        <v>1050929.47761405</v>
      </c>
      <c r="N117" s="18">
        <f ca="1">E117*'Large Use Predicted Monthly'!$Z$11</f>
        <v>0</v>
      </c>
      <c r="O117" s="18">
        <f ca="1">F117*'Large Use Predicted Monthly'!$Z$12</f>
        <v>380603.73281770444</v>
      </c>
      <c r="P117" s="18">
        <f>G117*'Large Use Predicted Monthly'!$Z$13</f>
        <v>-335952.19431796228</v>
      </c>
      <c r="Q117" s="18">
        <f>H117*'Large Use Predicted Monthly'!$Z$14</f>
        <v>2172165.2722322186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1532.8920826605422</v>
      </c>
      <c r="U117" s="18">
        <f t="shared" ca="1" si="10"/>
        <v>3269279.1804286717</v>
      </c>
      <c r="W117" s="18"/>
    </row>
    <row r="118" spans="1:23" x14ac:dyDescent="0.25">
      <c r="A118" s="3">
        <v>45536</v>
      </c>
      <c r="B118" s="1">
        <f t="shared" si="8"/>
        <v>2024</v>
      </c>
      <c r="C118" s="1">
        <f t="shared" si="9"/>
        <v>9</v>
      </c>
      <c r="D118" s="259">
        <f ca="1">'Monthly Data'!X118</f>
        <v>3370311.3134303829</v>
      </c>
      <c r="E118" s="269">
        <f t="shared" ca="1" si="13"/>
        <v>0</v>
      </c>
      <c r="F118" s="269">
        <f t="shared" ca="1" si="13"/>
        <v>106.4160119047619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730</v>
      </c>
      <c r="M118" s="18">
        <f>'Large Use Predicted Monthly'!$Z$10</f>
        <v>1050929.47761405</v>
      </c>
      <c r="N118" s="18">
        <f ca="1">E118*'Large Use Predicted Monthly'!$Z$11</f>
        <v>0</v>
      </c>
      <c r="O118" s="18">
        <f ca="1">F118*'Large Use Predicted Monthly'!$Z$12</f>
        <v>191985.4880462749</v>
      </c>
      <c r="P118" s="18">
        <f>G118*'Large Use Predicted Monthly'!$Z$13</f>
        <v>-338848.33392415161</v>
      </c>
      <c r="Q118" s="18">
        <f>H118*'Large Use Predicted Monthly'!$Z$14</f>
        <v>2102095.424740857</v>
      </c>
      <c r="R118" s="18">
        <f>I118*'Large Use Predicted Monthly'!$Z$15</f>
        <v>0</v>
      </c>
      <c r="S118" s="18">
        <f>J118*'Large Use Predicted Monthly'!$Z$16</f>
        <v>177044.57271687401</v>
      </c>
      <c r="T118" s="18">
        <f>K118*'Large Use Predicted Monthly'!$Z$17</f>
        <v>1532.8920826605422</v>
      </c>
      <c r="U118" s="18">
        <f t="shared" ca="1" si="10"/>
        <v>3184739.5212765648</v>
      </c>
      <c r="W118" s="18"/>
    </row>
    <row r="119" spans="1:23" x14ac:dyDescent="0.25">
      <c r="A119" s="3">
        <v>45566</v>
      </c>
      <c r="B119" s="1">
        <f t="shared" si="8"/>
        <v>2024</v>
      </c>
      <c r="C119" s="1">
        <f t="shared" si="9"/>
        <v>10</v>
      </c>
      <c r="D119" s="259">
        <f ca="1">'Monthly Data'!X119</f>
        <v>3337425.7671654867</v>
      </c>
      <c r="E119" s="269">
        <f t="shared" ca="1" si="13"/>
        <v>24.76139492753623</v>
      </c>
      <c r="F119" s="269">
        <f t="shared" ca="1" si="13"/>
        <v>17.987083333333334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4319.8519999999553</v>
      </c>
      <c r="M119" s="18">
        <f>'Large Use Predicted Monthly'!$Z$10</f>
        <v>1050929.47761405</v>
      </c>
      <c r="N119" s="18">
        <f ca="1">E119*'Large Use Predicted Monthly'!$Z$11</f>
        <v>10211.535150396941</v>
      </c>
      <c r="O119" s="18">
        <f ca="1">F119*'Large Use Predicted Monthly'!$Z$12</f>
        <v>32450.558054830573</v>
      </c>
      <c r="P119" s="18">
        <f>G119*'Large Use Predicted Monthly'!$Z$13</f>
        <v>-341744.47353034094</v>
      </c>
      <c r="Q119" s="18">
        <f>H119*'Large Use Predicted Monthly'!$Z$14</f>
        <v>2172165.2722322186</v>
      </c>
      <c r="R119" s="18">
        <f>I119*'Large Use Predicted Monthly'!$Z$15</f>
        <v>0</v>
      </c>
      <c r="S119" s="18">
        <f>J119*'Large Use Predicted Monthly'!$Z$16</f>
        <v>177044.57271687401</v>
      </c>
      <c r="T119" s="18">
        <f>K119*'Large Use Predicted Monthly'!$Z$17</f>
        <v>9071.0505877606029</v>
      </c>
      <c r="U119" s="18">
        <f t="shared" ca="1" si="10"/>
        <v>3110127.9928257898</v>
      </c>
      <c r="W119" s="18"/>
    </row>
    <row r="120" spans="1:23" x14ac:dyDescent="0.25">
      <c r="A120" s="3">
        <v>45597</v>
      </c>
      <c r="B120" s="1">
        <f t="shared" si="8"/>
        <v>2024</v>
      </c>
      <c r="C120" s="1">
        <f t="shared" si="9"/>
        <v>11</v>
      </c>
      <c r="D120" s="259">
        <f ca="1">'Monthly Data'!X120</f>
        <v>3267889.2218233664</v>
      </c>
      <c r="E120" s="269">
        <f t="shared" ca="1" si="13"/>
        <v>140.02366389045739</v>
      </c>
      <c r="F120" s="269">
        <f t="shared" ca="1" si="13"/>
        <v>0.8083333333333329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4319.8519999999553</v>
      </c>
      <c r="M120" s="18">
        <f>'Large Use Predicted Monthly'!$Z$10</f>
        <v>1050929.47761405</v>
      </c>
      <c r="N120" s="18">
        <f ca="1">E120*'Large Use Predicted Monthly'!$Z$11</f>
        <v>57745.396407965767</v>
      </c>
      <c r="O120" s="18">
        <f ca="1">F120*'Large Use Predicted Monthly'!$Z$12</f>
        <v>1458.3169085772493</v>
      </c>
      <c r="P120" s="18">
        <f>G120*'Large Use Predicted Monthly'!$Z$13</f>
        <v>-344640.61313653027</v>
      </c>
      <c r="Q120" s="18">
        <f>H120*'Large Use Predicted Monthly'!$Z$14</f>
        <v>2102095.424740857</v>
      </c>
      <c r="R120" s="18">
        <f>I120*'Large Use Predicted Monthly'!$Z$15</f>
        <v>0</v>
      </c>
      <c r="S120" s="18">
        <f>J120*'Large Use Predicted Monthly'!$Z$16</f>
        <v>177044.57271687401</v>
      </c>
      <c r="T120" s="18">
        <f>K120*'Large Use Predicted Monthly'!$Z$17</f>
        <v>9071.0505877606029</v>
      </c>
      <c r="U120" s="18">
        <f t="shared" ca="1" si="10"/>
        <v>3053703.6258395547</v>
      </c>
      <c r="W120" s="18"/>
    </row>
    <row r="121" spans="1:23" x14ac:dyDescent="0.25">
      <c r="A121" s="3">
        <v>45627</v>
      </c>
      <c r="B121" s="1">
        <f t="shared" si="8"/>
        <v>2024</v>
      </c>
      <c r="C121" s="1">
        <f t="shared" si="9"/>
        <v>12</v>
      </c>
      <c r="D121" s="259">
        <f ca="1">'Monthly Data'!X121</f>
        <v>3193160.6766119674</v>
      </c>
      <c r="E121" s="269">
        <f t="shared" ca="1" si="13"/>
        <v>268.92048913043476</v>
      </c>
      <c r="F121" s="269">
        <f t="shared" ca="1" si="13"/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4319.8519999999553</v>
      </c>
      <c r="M121" s="18">
        <f>'Large Use Predicted Monthly'!$Z$10</f>
        <v>1050929.47761405</v>
      </c>
      <c r="N121" s="18">
        <f ca="1">E121*'Large Use Predicted Monthly'!$Z$11</f>
        <v>110902.11336856257</v>
      </c>
      <c r="O121" s="18">
        <f ca="1">F121*'Large Use Predicted Monthly'!$Z$12</f>
        <v>0</v>
      </c>
      <c r="P121" s="18">
        <f>G121*'Large Use Predicted Monthly'!$Z$13</f>
        <v>-347536.7527427196</v>
      </c>
      <c r="Q121" s="18">
        <f>H121*'Large Use Predicted Monthly'!$Z$14</f>
        <v>2172165.2722322186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9071.0505877606029</v>
      </c>
      <c r="U121" s="18">
        <f t="shared" ca="1" si="10"/>
        <v>2995531.1610598727</v>
      </c>
      <c r="W121" s="18"/>
    </row>
    <row r="122" spans="1:23" x14ac:dyDescent="0.25">
      <c r="A122" s="3">
        <v>45658</v>
      </c>
      <c r="B122" s="1">
        <f t="shared" si="8"/>
        <v>2025</v>
      </c>
      <c r="C122" s="1">
        <f t="shared" si="9"/>
        <v>1</v>
      </c>
      <c r="D122" s="259"/>
      <c r="E122" s="269">
        <f t="shared" ca="1" si="13"/>
        <v>387.33418478260865</v>
      </c>
      <c r="F122" s="269">
        <f t="shared" ca="1" si="13"/>
        <v>0</v>
      </c>
      <c r="G122" s="269">
        <f>G121+1</f>
        <v>121</v>
      </c>
      <c r="H122" s="269">
        <f>H74</f>
        <v>31</v>
      </c>
      <c r="I122" s="269"/>
      <c r="J122" s="269">
        <f>J110</f>
        <v>0</v>
      </c>
      <c r="K122" s="269">
        <f>Economic!S121</f>
        <v>4319.8519999999553</v>
      </c>
      <c r="M122" s="18">
        <f>'Large Use Predicted Monthly'!$Z$10</f>
        <v>1050929.47761405</v>
      </c>
      <c r="N122" s="18">
        <f ca="1">E122*'Large Use Predicted Monthly'!$Z$11</f>
        <v>159735.61483240328</v>
      </c>
      <c r="O122" s="18">
        <f ca="1">F122*'Large Use Predicted Monthly'!$Z$12</f>
        <v>0</v>
      </c>
      <c r="P122" s="18">
        <f>G122*'Large Use Predicted Monthly'!$Z$13</f>
        <v>-350432.89234890894</v>
      </c>
      <c r="Q122" s="18">
        <f>H122*'Large Use Predicted Monthly'!$Z$14</f>
        <v>2172165.2722322186</v>
      </c>
      <c r="R122" s="18">
        <f>I122*'Large Use Predicted Monthly'!$Z$15</f>
        <v>0</v>
      </c>
      <c r="S122" s="18">
        <f>J122*'Large Use Predicted Monthly'!$Z$16</f>
        <v>0</v>
      </c>
      <c r="T122" s="18">
        <f>K122*'Large Use Predicted Monthly'!$Z$17</f>
        <v>9071.0505877606029</v>
      </c>
      <c r="U122" s="18">
        <f t="shared" ca="1" si="10"/>
        <v>3041468.522917524</v>
      </c>
      <c r="W122" s="18"/>
    </row>
    <row r="123" spans="1:23" x14ac:dyDescent="0.25">
      <c r="A123" s="3">
        <v>45689</v>
      </c>
      <c r="B123" s="1">
        <f t="shared" si="8"/>
        <v>2025</v>
      </c>
      <c r="C123" s="1">
        <f t="shared" si="9"/>
        <v>2</v>
      </c>
      <c r="D123" s="259"/>
      <c r="E123" s="269">
        <f t="shared" ca="1" si="13"/>
        <v>341.39751811594203</v>
      </c>
      <c r="F123" s="269">
        <f t="shared" ca="1" si="13"/>
        <v>0</v>
      </c>
      <c r="G123" s="269">
        <f t="shared" ref="G123:G145" si="14">G122+1</f>
        <v>122</v>
      </c>
      <c r="H123" s="269">
        <f t="shared" ref="H123:H145" si="15">H75</f>
        <v>28</v>
      </c>
      <c r="I123" s="269"/>
      <c r="J123" s="269">
        <f t="shared" ref="J123:J145" si="16">J111</f>
        <v>0</v>
      </c>
      <c r="K123" s="269">
        <f>Economic!S122</f>
        <v>4319.8519999999553</v>
      </c>
      <c r="M123" s="18">
        <f>'Large Use Predicted Monthly'!$Z$10</f>
        <v>1050929.47761405</v>
      </c>
      <c r="N123" s="18">
        <f ca="1">E123*'Large Use Predicted Monthly'!$Z$11</f>
        <v>140791.45244851906</v>
      </c>
      <c r="O123" s="18">
        <f ca="1">F123*'Large Use Predicted Monthly'!$Z$12</f>
        <v>0</v>
      </c>
      <c r="P123" s="18">
        <f>G123*'Large Use Predicted Monthly'!$Z$13</f>
        <v>-353329.03195509827</v>
      </c>
      <c r="Q123" s="18">
        <f>H123*'Large Use Predicted Monthly'!$Z$14</f>
        <v>1961955.7297581332</v>
      </c>
      <c r="R123" s="18">
        <f>I123*'Large Use Predicted Monthly'!$Z$15</f>
        <v>0</v>
      </c>
      <c r="S123" s="18">
        <f>J123*'Large Use Predicted Monthly'!$Z$16</f>
        <v>0</v>
      </c>
      <c r="T123" s="18">
        <f>K123*'Large Use Predicted Monthly'!$Z$17</f>
        <v>9071.0505877606029</v>
      </c>
      <c r="U123" s="18">
        <f t="shared" ca="1" si="10"/>
        <v>2809418.6784533649</v>
      </c>
      <c r="W123" s="18"/>
    </row>
    <row r="124" spans="1:23" x14ac:dyDescent="0.25">
      <c r="A124" s="3">
        <v>45717</v>
      </c>
      <c r="B124" s="1">
        <f t="shared" si="8"/>
        <v>2025</v>
      </c>
      <c r="C124" s="1">
        <f t="shared" si="9"/>
        <v>3</v>
      </c>
      <c r="D124" s="259"/>
      <c r="E124" s="269">
        <f t="shared" ca="1" si="13"/>
        <v>238.57840579710145</v>
      </c>
      <c r="F124" s="269">
        <f t="shared" ca="1" si="13"/>
        <v>0</v>
      </c>
      <c r="G124" s="269">
        <f t="shared" si="14"/>
        <v>123</v>
      </c>
      <c r="H124" s="269">
        <f t="shared" si="15"/>
        <v>31</v>
      </c>
      <c r="I124" s="269"/>
      <c r="J124" s="269">
        <f t="shared" si="16"/>
        <v>1</v>
      </c>
      <c r="K124" s="269">
        <f>Economic!S123</f>
        <v>4319.8519999999553</v>
      </c>
      <c r="M124" s="18">
        <f>'Large Use Predicted Monthly'!$Z$10</f>
        <v>1050929.47761405</v>
      </c>
      <c r="N124" s="18">
        <f ca="1">E124*'Large Use Predicted Monthly'!$Z$11</f>
        <v>98389.116770376349</v>
      </c>
      <c r="O124" s="18">
        <f ca="1">F124*'Large Use Predicted Monthly'!$Z$12</f>
        <v>0</v>
      </c>
      <c r="P124" s="18">
        <f>G124*'Large Use Predicted Monthly'!$Z$13</f>
        <v>-356225.1715612876</v>
      </c>
      <c r="Q124" s="18">
        <f>H124*'Large Use Predicted Monthly'!$Z$14</f>
        <v>2172165.2722322186</v>
      </c>
      <c r="R124" s="18">
        <f>I124*'Large Use Predicted Monthly'!$Z$15</f>
        <v>0</v>
      </c>
      <c r="S124" s="18">
        <f>J124*'Large Use Predicted Monthly'!$Z$16</f>
        <v>177044.57271687401</v>
      </c>
      <c r="T124" s="18">
        <f>K124*'Large Use Predicted Monthly'!$Z$17</f>
        <v>9071.0505877606029</v>
      </c>
      <c r="U124" s="18">
        <f t="shared" ca="1" si="10"/>
        <v>3151374.3183599925</v>
      </c>
      <c r="W124" s="18"/>
    </row>
    <row r="125" spans="1:23" x14ac:dyDescent="0.25">
      <c r="A125" s="3">
        <v>45748</v>
      </c>
      <c r="B125" s="1">
        <f t="shared" si="8"/>
        <v>2025</v>
      </c>
      <c r="C125" s="1">
        <f t="shared" si="9"/>
        <v>4</v>
      </c>
      <c r="D125" s="259"/>
      <c r="E125" s="269">
        <f t="shared" ca="1" si="13"/>
        <v>79.984412878787879</v>
      </c>
      <c r="F125" s="269">
        <f t="shared" ca="1" si="13"/>
        <v>2.1908333333333347</v>
      </c>
      <c r="G125" s="269">
        <f t="shared" si="14"/>
        <v>124</v>
      </c>
      <c r="H125" s="269">
        <f t="shared" si="15"/>
        <v>30</v>
      </c>
      <c r="I125" s="269"/>
      <c r="J125" s="269">
        <f t="shared" si="16"/>
        <v>1</v>
      </c>
      <c r="K125" s="269">
        <f>Economic!S124</f>
        <v>86.765999999945052</v>
      </c>
      <c r="M125" s="18">
        <f>'Large Use Predicted Monthly'!$Z$10</f>
        <v>1050929.47761405</v>
      </c>
      <c r="N125" s="18">
        <f ca="1">E125*'Large Use Predicted Monthly'!$Z$11</f>
        <v>32985.364757754884</v>
      </c>
      <c r="O125" s="18">
        <f ca="1">F125*'Large Use Predicted Monthly'!$Z$12</f>
        <v>3952.4898480923639</v>
      </c>
      <c r="P125" s="18">
        <f>G125*'Large Use Predicted Monthly'!$Z$13</f>
        <v>-359121.31116747693</v>
      </c>
      <c r="Q125" s="18">
        <f>H125*'Large Use Predicted Monthly'!$Z$14</f>
        <v>2102095.424740857</v>
      </c>
      <c r="R125" s="18">
        <f>I125*'Large Use Predicted Monthly'!$Z$15</f>
        <v>0</v>
      </c>
      <c r="S125" s="18">
        <f>J125*'Large Use Predicted Monthly'!$Z$16</f>
        <v>177044.57271687401</v>
      </c>
      <c r="T125" s="18">
        <f>K125*'Large Use Predicted Monthly'!$Z$17</f>
        <v>182.19577321101423</v>
      </c>
      <c r="U125" s="18">
        <f t="shared" ca="1" si="10"/>
        <v>3008068.2142833625</v>
      </c>
    </row>
    <row r="126" spans="1:23" x14ac:dyDescent="0.25">
      <c r="A126" s="3">
        <v>45778</v>
      </c>
      <c r="B126" s="1">
        <f t="shared" si="8"/>
        <v>2025</v>
      </c>
      <c r="C126" s="1">
        <f t="shared" si="9"/>
        <v>5</v>
      </c>
      <c r="D126" s="259"/>
      <c r="E126" s="269">
        <f t="shared" ca="1" si="13"/>
        <v>7.2018333333333331</v>
      </c>
      <c r="F126" s="269">
        <f t="shared" ca="1" si="13"/>
        <v>52.487435064935063</v>
      </c>
      <c r="G126" s="269">
        <f t="shared" si="14"/>
        <v>125</v>
      </c>
      <c r="H126" s="269">
        <f t="shared" si="15"/>
        <v>31</v>
      </c>
      <c r="I126" s="269"/>
      <c r="J126" s="269">
        <f t="shared" si="16"/>
        <v>1</v>
      </c>
      <c r="K126" s="269">
        <f>Economic!S125</f>
        <v>86.765999999945052</v>
      </c>
      <c r="M126" s="18">
        <f>'Large Use Predicted Monthly'!$Z$10</f>
        <v>1050929.47761405</v>
      </c>
      <c r="N126" s="18">
        <f ca="1">E126*'Large Use Predicted Monthly'!$Z$11</f>
        <v>2970.0174180756921</v>
      </c>
      <c r="O126" s="18">
        <f ca="1">F126*'Large Use Predicted Monthly'!$Z$12</f>
        <v>94692.759640880729</v>
      </c>
      <c r="P126" s="18">
        <f>G126*'Large Use Predicted Monthly'!$Z$13</f>
        <v>-362017.45077366626</v>
      </c>
      <c r="Q126" s="18">
        <f>H126*'Large Use Predicted Monthly'!$Z$14</f>
        <v>2172165.2722322186</v>
      </c>
      <c r="R126" s="18">
        <f>I126*'Large Use Predicted Monthly'!$Z$15</f>
        <v>0</v>
      </c>
      <c r="S126" s="18">
        <f>J126*'Large Use Predicted Monthly'!$Z$16</f>
        <v>177044.57271687401</v>
      </c>
      <c r="T126" s="18">
        <f>K126*'Large Use Predicted Monthly'!$Z$17</f>
        <v>182.19577321101423</v>
      </c>
      <c r="U126" s="18">
        <f t="shared" ca="1" si="10"/>
        <v>3135966.8446216434</v>
      </c>
    </row>
    <row r="127" spans="1:23" x14ac:dyDescent="0.25">
      <c r="A127" s="3">
        <v>45809</v>
      </c>
      <c r="B127" s="1">
        <f t="shared" si="8"/>
        <v>2025</v>
      </c>
      <c r="C127" s="1">
        <f t="shared" si="9"/>
        <v>6</v>
      </c>
      <c r="D127" s="259"/>
      <c r="E127" s="269">
        <f t="shared" ref="E127:F142" ca="1" si="17">E115</f>
        <v>0</v>
      </c>
      <c r="F127" s="269">
        <f t="shared" ca="1" si="17"/>
        <v>137.65451754405018</v>
      </c>
      <c r="G127" s="269">
        <f t="shared" si="14"/>
        <v>126</v>
      </c>
      <c r="H127" s="269">
        <f t="shared" si="15"/>
        <v>30</v>
      </c>
      <c r="I127" s="269"/>
      <c r="J127" s="269">
        <f t="shared" si="16"/>
        <v>0</v>
      </c>
      <c r="K127" s="269">
        <f>Economic!S126</f>
        <v>86.765999999945052</v>
      </c>
      <c r="M127" s="18">
        <f>'Large Use Predicted Monthly'!$Z$10</f>
        <v>1050929.47761405</v>
      </c>
      <c r="N127" s="18">
        <f ca="1">E127*'Large Use Predicted Monthly'!$Z$11</f>
        <v>0</v>
      </c>
      <c r="O127" s="18">
        <f ca="1">F127*'Large Use Predicted Monthly'!$Z$12</f>
        <v>248342.9820328232</v>
      </c>
      <c r="P127" s="18">
        <f>G127*'Large Use Predicted Monthly'!$Z$13</f>
        <v>-364913.5903798556</v>
      </c>
      <c r="Q127" s="18">
        <f>H127*'Large Use Predicted Monthly'!$Z$14</f>
        <v>2102095.424740857</v>
      </c>
      <c r="R127" s="18">
        <f>I127*'Large Use Predicted Monthly'!$Z$15</f>
        <v>0</v>
      </c>
      <c r="S127" s="18">
        <f>J127*'Large Use Predicted Monthly'!$Z$16</f>
        <v>0</v>
      </c>
      <c r="T127" s="18">
        <f>K127*'Large Use Predicted Monthly'!$Z$17</f>
        <v>182.19577321101423</v>
      </c>
      <c r="U127" s="18">
        <f t="shared" ca="1" si="10"/>
        <v>3036636.4897810854</v>
      </c>
    </row>
    <row r="128" spans="1:23" x14ac:dyDescent="0.25">
      <c r="A128" s="3">
        <v>45839</v>
      </c>
      <c r="B128" s="1">
        <f t="shared" si="8"/>
        <v>2025</v>
      </c>
      <c r="C128" s="1">
        <f t="shared" si="9"/>
        <v>7</v>
      </c>
      <c r="D128" s="259"/>
      <c r="E128" s="269">
        <f t="shared" ca="1" si="17"/>
        <v>0</v>
      </c>
      <c r="F128" s="269">
        <f t="shared" ca="1" si="17"/>
        <v>235.94737858727848</v>
      </c>
      <c r="G128" s="269">
        <f t="shared" si="14"/>
        <v>127</v>
      </c>
      <c r="H128" s="269">
        <f t="shared" si="15"/>
        <v>31</v>
      </c>
      <c r="I128" s="269"/>
      <c r="J128" s="269">
        <f t="shared" si="16"/>
        <v>0</v>
      </c>
      <c r="K128" s="269">
        <f>Economic!S127</f>
        <v>2757.5970000000671</v>
      </c>
      <c r="M128" s="18">
        <f>'Large Use Predicted Monthly'!$Z$10</f>
        <v>1050929.47761405</v>
      </c>
      <c r="N128" s="18">
        <f ca="1">E128*'Large Use Predicted Monthly'!$Z$11</f>
        <v>0</v>
      </c>
      <c r="O128" s="18">
        <f ca="1">F128*'Large Use Predicted Monthly'!$Z$12</f>
        <v>425673.46605563629</v>
      </c>
      <c r="P128" s="18">
        <f>G128*'Large Use Predicted Monthly'!$Z$13</f>
        <v>-367809.72998604493</v>
      </c>
      <c r="Q128" s="18">
        <f>H128*'Large Use Predicted Monthly'!$Z$14</f>
        <v>2172165.2722322186</v>
      </c>
      <c r="R128" s="18">
        <f>I128*'Large Use Predicted Monthly'!$Z$15</f>
        <v>0</v>
      </c>
      <c r="S128" s="18">
        <f>J128*'Large Use Predicted Monthly'!$Z$16</f>
        <v>0</v>
      </c>
      <c r="T128" s="18">
        <f>K128*'Large Use Predicted Monthly'!$Z$17</f>
        <v>5790.5460389980362</v>
      </c>
      <c r="U128" s="18">
        <f t="shared" ca="1" si="10"/>
        <v>3286749.031954858</v>
      </c>
    </row>
    <row r="129" spans="1:21" x14ac:dyDescent="0.25">
      <c r="A129" s="3">
        <v>45870</v>
      </c>
      <c r="B129" s="1">
        <f t="shared" si="8"/>
        <v>2025</v>
      </c>
      <c r="C129" s="1">
        <f t="shared" si="9"/>
        <v>8</v>
      </c>
      <c r="D129" s="259"/>
      <c r="E129" s="269">
        <f t="shared" ca="1" si="17"/>
        <v>0</v>
      </c>
      <c r="F129" s="269">
        <f t="shared" ca="1" si="17"/>
        <v>210.96558794466404</v>
      </c>
      <c r="G129" s="269">
        <f t="shared" si="14"/>
        <v>128</v>
      </c>
      <c r="H129" s="269">
        <f t="shared" si="15"/>
        <v>31</v>
      </c>
      <c r="I129" s="269"/>
      <c r="J129" s="269">
        <f t="shared" si="16"/>
        <v>0</v>
      </c>
      <c r="K129" s="269">
        <f>Economic!S128</f>
        <v>2757.5970000000671</v>
      </c>
      <c r="M129" s="18">
        <f>'Large Use Predicted Monthly'!$Z$10</f>
        <v>1050929.47761405</v>
      </c>
      <c r="N129" s="18">
        <f ca="1">E129*'Large Use Predicted Monthly'!$Z$11</f>
        <v>0</v>
      </c>
      <c r="O129" s="18">
        <f ca="1">F129*'Large Use Predicted Monthly'!$Z$12</f>
        <v>380603.73281770444</v>
      </c>
      <c r="P129" s="18">
        <f>G129*'Large Use Predicted Monthly'!$Z$13</f>
        <v>-370705.86959223426</v>
      </c>
      <c r="Q129" s="18">
        <f>H129*'Large Use Predicted Monthly'!$Z$14</f>
        <v>2172165.2722322186</v>
      </c>
      <c r="R129" s="18">
        <f>I129*'Large Use Predicted Monthly'!$Z$15</f>
        <v>0</v>
      </c>
      <c r="S129" s="18">
        <f>J129*'Large Use Predicted Monthly'!$Z$16</f>
        <v>0</v>
      </c>
      <c r="T129" s="18">
        <f>K129*'Large Use Predicted Monthly'!$Z$17</f>
        <v>5790.5460389980362</v>
      </c>
      <c r="U129" s="18">
        <f t="shared" ca="1" si="10"/>
        <v>3238783.1591107366</v>
      </c>
    </row>
    <row r="130" spans="1:21" x14ac:dyDescent="0.25">
      <c r="A130" s="3">
        <v>45901</v>
      </c>
      <c r="B130" s="1">
        <f t="shared" ref="B130:B145" si="18">YEAR(A130)</f>
        <v>2025</v>
      </c>
      <c r="C130" s="1">
        <f t="shared" ref="C130:C145" si="19">MONTH(A130)</f>
        <v>9</v>
      </c>
      <c r="D130" s="259"/>
      <c r="E130" s="269">
        <f t="shared" ca="1" si="17"/>
        <v>0</v>
      </c>
      <c r="F130" s="269">
        <f t="shared" ca="1" si="17"/>
        <v>106.4160119047619</v>
      </c>
      <c r="G130" s="269">
        <f t="shared" si="14"/>
        <v>129</v>
      </c>
      <c r="H130" s="269">
        <f t="shared" si="15"/>
        <v>30</v>
      </c>
      <c r="I130" s="269"/>
      <c r="J130" s="269">
        <f t="shared" si="16"/>
        <v>1</v>
      </c>
      <c r="K130" s="269">
        <f>Economic!S129</f>
        <v>2757.5970000000671</v>
      </c>
      <c r="M130" s="18">
        <f>'Large Use Predicted Monthly'!$Z$10</f>
        <v>1050929.47761405</v>
      </c>
      <c r="N130" s="18">
        <f ca="1">E130*'Large Use Predicted Monthly'!$Z$11</f>
        <v>0</v>
      </c>
      <c r="O130" s="18">
        <f ca="1">F130*'Large Use Predicted Monthly'!$Z$12</f>
        <v>191985.4880462749</v>
      </c>
      <c r="P130" s="18">
        <f>G130*'Large Use Predicted Monthly'!$Z$13</f>
        <v>-373602.00919842359</v>
      </c>
      <c r="Q130" s="18">
        <f>H130*'Large Use Predicted Monthly'!$Z$14</f>
        <v>2102095.424740857</v>
      </c>
      <c r="R130" s="18">
        <f>I130*'Large Use Predicted Monthly'!$Z$15</f>
        <v>0</v>
      </c>
      <c r="S130" s="18">
        <f>J130*'Large Use Predicted Monthly'!$Z$16</f>
        <v>177044.57271687401</v>
      </c>
      <c r="T130" s="18">
        <f>K130*'Large Use Predicted Monthly'!$Z$17</f>
        <v>5790.5460389980362</v>
      </c>
      <c r="U130" s="18">
        <f t="shared" ca="1" si="10"/>
        <v>3154243.4999586302</v>
      </c>
    </row>
    <row r="131" spans="1:21" x14ac:dyDescent="0.25">
      <c r="A131" s="3">
        <v>45931</v>
      </c>
      <c r="B131" s="1">
        <f t="shared" si="18"/>
        <v>2025</v>
      </c>
      <c r="C131" s="1">
        <f t="shared" si="19"/>
        <v>10</v>
      </c>
      <c r="D131" s="259"/>
      <c r="E131" s="269">
        <f t="shared" ca="1" si="17"/>
        <v>24.76139492753623</v>
      </c>
      <c r="F131" s="269">
        <f t="shared" ca="1" si="17"/>
        <v>17.987083333333334</v>
      </c>
      <c r="G131" s="269">
        <f t="shared" si="14"/>
        <v>130</v>
      </c>
      <c r="H131" s="269">
        <f t="shared" si="15"/>
        <v>31</v>
      </c>
      <c r="I131" s="269"/>
      <c r="J131" s="269">
        <f t="shared" si="16"/>
        <v>1</v>
      </c>
      <c r="K131" s="269">
        <f>Economic!S130</f>
        <v>736.56999999994878</v>
      </c>
      <c r="M131" s="18">
        <f>'Large Use Predicted Monthly'!$Z$10</f>
        <v>1050929.47761405</v>
      </c>
      <c r="N131" s="18">
        <f ca="1">E131*'Large Use Predicted Monthly'!$Z$11</f>
        <v>10211.535150396941</v>
      </c>
      <c r="O131" s="18">
        <f ca="1">F131*'Large Use Predicted Monthly'!$Z$12</f>
        <v>32450.558054830573</v>
      </c>
      <c r="P131" s="18">
        <f>G131*'Large Use Predicted Monthly'!$Z$13</f>
        <v>-376498.14880461292</v>
      </c>
      <c r="Q131" s="18">
        <f>H131*'Large Use Predicted Monthly'!$Z$14</f>
        <v>2172165.2722322186</v>
      </c>
      <c r="R131" s="18">
        <f>I131*'Large Use Predicted Monthly'!$Z$15</f>
        <v>0</v>
      </c>
      <c r="S131" s="18">
        <f>J131*'Large Use Predicted Monthly'!$Z$16</f>
        <v>177044.57271687401</v>
      </c>
      <c r="T131" s="18">
        <f>K131*'Large Use Predicted Monthly'!$Z$17</f>
        <v>1546.6881114043797</v>
      </c>
      <c r="U131" s="18">
        <f t="shared" ref="U131:U145" ca="1" si="20">SUM(M131:T131)</f>
        <v>3067849.955075162</v>
      </c>
    </row>
    <row r="132" spans="1:21" x14ac:dyDescent="0.25">
      <c r="A132" s="3">
        <v>45962</v>
      </c>
      <c r="B132" s="1">
        <f t="shared" si="18"/>
        <v>2025</v>
      </c>
      <c r="C132" s="1">
        <f t="shared" si="19"/>
        <v>11</v>
      </c>
      <c r="D132" s="259"/>
      <c r="E132" s="269">
        <f t="shared" ca="1" si="17"/>
        <v>140.02366389045739</v>
      </c>
      <c r="F132" s="269">
        <f t="shared" ca="1" si="17"/>
        <v>0.8083333333333329</v>
      </c>
      <c r="G132" s="269">
        <f t="shared" si="14"/>
        <v>131</v>
      </c>
      <c r="H132" s="269">
        <f t="shared" si="15"/>
        <v>30</v>
      </c>
      <c r="I132" s="269"/>
      <c r="J132" s="269">
        <f t="shared" si="16"/>
        <v>1</v>
      </c>
      <c r="K132" s="269">
        <f>Economic!S131</f>
        <v>736.56999999994878</v>
      </c>
      <c r="M132" s="18">
        <f>'Large Use Predicted Monthly'!$Z$10</f>
        <v>1050929.47761405</v>
      </c>
      <c r="N132" s="18">
        <f ca="1">E132*'Large Use Predicted Monthly'!$Z$11</f>
        <v>57745.396407965767</v>
      </c>
      <c r="O132" s="18">
        <f ca="1">F132*'Large Use Predicted Monthly'!$Z$12</f>
        <v>1458.3169085772493</v>
      </c>
      <c r="P132" s="18">
        <f>G132*'Large Use Predicted Monthly'!$Z$13</f>
        <v>-379394.28841080226</v>
      </c>
      <c r="Q132" s="18">
        <f>H132*'Large Use Predicted Monthly'!$Z$14</f>
        <v>2102095.424740857</v>
      </c>
      <c r="R132" s="18">
        <f>I132*'Large Use Predicted Monthly'!$Z$15</f>
        <v>0</v>
      </c>
      <c r="S132" s="18">
        <f>J132*'Large Use Predicted Monthly'!$Z$16</f>
        <v>177044.57271687401</v>
      </c>
      <c r="T132" s="18">
        <f>K132*'Large Use Predicted Monthly'!$Z$17</f>
        <v>1546.6881114043797</v>
      </c>
      <c r="U132" s="18">
        <f t="shared" ca="1" si="20"/>
        <v>3011425.5880889264</v>
      </c>
    </row>
    <row r="133" spans="1:21" x14ac:dyDescent="0.25">
      <c r="A133" s="3">
        <v>45992</v>
      </c>
      <c r="B133" s="1">
        <f t="shared" si="18"/>
        <v>2025</v>
      </c>
      <c r="C133" s="1">
        <f t="shared" si="19"/>
        <v>12</v>
      </c>
      <c r="D133" s="259"/>
      <c r="E133" s="269">
        <f t="shared" ca="1" si="17"/>
        <v>268.92048913043476</v>
      </c>
      <c r="F133" s="269">
        <f t="shared" ca="1" si="17"/>
        <v>0</v>
      </c>
      <c r="G133" s="269">
        <f t="shared" si="14"/>
        <v>132</v>
      </c>
      <c r="H133" s="269">
        <f t="shared" si="15"/>
        <v>31</v>
      </c>
      <c r="I133" s="269"/>
      <c r="J133" s="269">
        <f t="shared" si="16"/>
        <v>0</v>
      </c>
      <c r="K133" s="269">
        <f>Economic!S132</f>
        <v>736.56999999994878</v>
      </c>
      <c r="M133" s="18">
        <f>'Large Use Predicted Monthly'!$Z$10</f>
        <v>1050929.47761405</v>
      </c>
      <c r="N133" s="18">
        <f ca="1">E133*'Large Use Predicted Monthly'!$Z$11</f>
        <v>110902.11336856257</v>
      </c>
      <c r="O133" s="18">
        <f ca="1">F133*'Large Use Predicted Monthly'!$Z$12</f>
        <v>0</v>
      </c>
      <c r="P133" s="18">
        <f>G133*'Large Use Predicted Monthly'!$Z$13</f>
        <v>-382290.42801699159</v>
      </c>
      <c r="Q133" s="18">
        <f>H133*'Large Use Predicted Monthly'!$Z$14</f>
        <v>2172165.2722322186</v>
      </c>
      <c r="R133" s="18">
        <f>I133*'Large Use Predicted Monthly'!$Z$15</f>
        <v>0</v>
      </c>
      <c r="S133" s="18">
        <f>J133*'Large Use Predicted Monthly'!$Z$16</f>
        <v>0</v>
      </c>
      <c r="T133" s="18">
        <f>K133*'Large Use Predicted Monthly'!$Z$17</f>
        <v>1546.6881114043797</v>
      </c>
      <c r="U133" s="18">
        <f t="shared" ca="1" si="20"/>
        <v>2953253.1233092439</v>
      </c>
    </row>
    <row r="134" spans="1:21" x14ac:dyDescent="0.25">
      <c r="A134" s="3">
        <v>46023</v>
      </c>
      <c r="B134" s="1">
        <f t="shared" si="18"/>
        <v>2026</v>
      </c>
      <c r="C134" s="1">
        <f t="shared" si="19"/>
        <v>1</v>
      </c>
      <c r="D134" s="259"/>
      <c r="E134" s="269">
        <f t="shared" ca="1" si="17"/>
        <v>387.33418478260865</v>
      </c>
      <c r="F134" s="269">
        <f t="shared" ca="1" si="17"/>
        <v>0</v>
      </c>
      <c r="G134" s="269">
        <f t="shared" si="14"/>
        <v>133</v>
      </c>
      <c r="H134" s="269">
        <f t="shared" si="15"/>
        <v>31</v>
      </c>
      <c r="I134" s="269"/>
      <c r="J134" s="269">
        <f t="shared" si="16"/>
        <v>0</v>
      </c>
      <c r="K134" s="269">
        <f>Economic!S133</f>
        <v>4358.7306679999456</v>
      </c>
      <c r="M134" s="18">
        <f>'Large Use Predicted Monthly'!$Z$10</f>
        <v>1050929.47761405</v>
      </c>
      <c r="N134" s="18">
        <f ca="1">E134*'Large Use Predicted Monthly'!$Z$11</f>
        <v>159735.61483240328</v>
      </c>
      <c r="O134" s="18">
        <f ca="1">F134*'Large Use Predicted Monthly'!$Z$12</f>
        <v>0</v>
      </c>
      <c r="P134" s="18">
        <f>G134*'Large Use Predicted Monthly'!$Z$13</f>
        <v>-385186.56762318092</v>
      </c>
      <c r="Q134" s="18">
        <f>H134*'Large Use Predicted Monthly'!$Z$14</f>
        <v>2172165.2722322186</v>
      </c>
      <c r="R134" s="18">
        <f>I134*'Large Use Predicted Monthly'!$Z$15</f>
        <v>0</v>
      </c>
      <c r="S134" s="18">
        <f>J134*'Large Use Predicted Monthly'!$Z$16</f>
        <v>0</v>
      </c>
      <c r="T134" s="18">
        <f>K134*'Large Use Predicted Monthly'!$Z$17</f>
        <v>9152.6900430504284</v>
      </c>
      <c r="U134" s="18">
        <f t="shared" ca="1" si="20"/>
        <v>3006796.4870985416</v>
      </c>
    </row>
    <row r="135" spans="1:21" x14ac:dyDescent="0.25">
      <c r="A135" s="3">
        <v>46054</v>
      </c>
      <c r="B135" s="1">
        <f t="shared" si="18"/>
        <v>2026</v>
      </c>
      <c r="C135" s="1">
        <f t="shared" si="19"/>
        <v>2</v>
      </c>
      <c r="D135" s="259"/>
      <c r="E135" s="269">
        <f t="shared" ca="1" si="17"/>
        <v>341.39751811594203</v>
      </c>
      <c r="F135" s="269">
        <f t="shared" ca="1" si="17"/>
        <v>0</v>
      </c>
      <c r="G135" s="269">
        <f t="shared" si="14"/>
        <v>134</v>
      </c>
      <c r="H135" s="269">
        <f t="shared" si="15"/>
        <v>28</v>
      </c>
      <c r="I135" s="269"/>
      <c r="J135" s="269">
        <f t="shared" si="16"/>
        <v>0</v>
      </c>
      <c r="K135" s="269">
        <f>Economic!S134</f>
        <v>4358.7306679999456</v>
      </c>
      <c r="M135" s="18">
        <f>'Large Use Predicted Monthly'!$Z$10</f>
        <v>1050929.47761405</v>
      </c>
      <c r="N135" s="18">
        <f ca="1">E135*'Large Use Predicted Monthly'!$Z$11</f>
        <v>140791.45244851906</v>
      </c>
      <c r="O135" s="18">
        <f ca="1">F135*'Large Use Predicted Monthly'!$Z$12</f>
        <v>0</v>
      </c>
      <c r="P135" s="18">
        <f>G135*'Large Use Predicted Monthly'!$Z$13</f>
        <v>-388082.70722937025</v>
      </c>
      <c r="Q135" s="18">
        <f>H135*'Large Use Predicted Monthly'!$Z$14</f>
        <v>1961955.7297581332</v>
      </c>
      <c r="R135" s="18">
        <f>I135*'Large Use Predicted Monthly'!$Z$15</f>
        <v>0</v>
      </c>
      <c r="S135" s="18">
        <f>J135*'Large Use Predicted Monthly'!$Z$16</f>
        <v>0</v>
      </c>
      <c r="T135" s="18">
        <f>K135*'Large Use Predicted Monthly'!$Z$17</f>
        <v>9152.6900430504284</v>
      </c>
      <c r="U135" s="18">
        <f t="shared" ca="1" si="20"/>
        <v>2774746.6426343825</v>
      </c>
    </row>
    <row r="136" spans="1:21" x14ac:dyDescent="0.25">
      <c r="A136" s="3">
        <v>46082</v>
      </c>
      <c r="B136" s="1">
        <f t="shared" si="18"/>
        <v>2026</v>
      </c>
      <c r="C136" s="1">
        <f t="shared" si="19"/>
        <v>3</v>
      </c>
      <c r="D136" s="259"/>
      <c r="E136" s="269">
        <f t="shared" ca="1" si="17"/>
        <v>238.57840579710145</v>
      </c>
      <c r="F136" s="269">
        <f t="shared" ca="1" si="17"/>
        <v>0</v>
      </c>
      <c r="G136" s="269">
        <f t="shared" si="14"/>
        <v>135</v>
      </c>
      <c r="H136" s="269">
        <f t="shared" si="15"/>
        <v>31</v>
      </c>
      <c r="I136" s="269"/>
      <c r="J136" s="269">
        <f t="shared" si="16"/>
        <v>1</v>
      </c>
      <c r="K136" s="269">
        <f>Economic!S135</f>
        <v>4358.7306679999456</v>
      </c>
      <c r="M136" s="18">
        <f>'Large Use Predicted Monthly'!$Z$10</f>
        <v>1050929.47761405</v>
      </c>
      <c r="N136" s="18">
        <f ca="1">E136*'Large Use Predicted Monthly'!$Z$11</f>
        <v>98389.116770376349</v>
      </c>
      <c r="O136" s="18">
        <f ca="1">F136*'Large Use Predicted Monthly'!$Z$12</f>
        <v>0</v>
      </c>
      <c r="P136" s="18">
        <f>G136*'Large Use Predicted Monthly'!$Z$13</f>
        <v>-390978.84683555958</v>
      </c>
      <c r="Q136" s="18">
        <f>H136*'Large Use Predicted Monthly'!$Z$14</f>
        <v>2172165.2722322186</v>
      </c>
      <c r="R136" s="18">
        <f>I136*'Large Use Predicted Monthly'!$Z$15</f>
        <v>0</v>
      </c>
      <c r="S136" s="18">
        <f>J136*'Large Use Predicted Monthly'!$Z$16</f>
        <v>177044.57271687401</v>
      </c>
      <c r="T136" s="18">
        <f>K136*'Large Use Predicted Monthly'!$Z$17</f>
        <v>9152.6900430504284</v>
      </c>
      <c r="U136" s="18">
        <f t="shared" ca="1" si="20"/>
        <v>3116702.2825410101</v>
      </c>
    </row>
    <row r="137" spans="1:21" x14ac:dyDescent="0.25">
      <c r="A137" s="3">
        <v>46113</v>
      </c>
      <c r="B137" s="1">
        <f t="shared" si="18"/>
        <v>2026</v>
      </c>
      <c r="C137" s="1">
        <f t="shared" si="19"/>
        <v>4</v>
      </c>
      <c r="D137" s="259"/>
      <c r="E137" s="269">
        <f t="shared" ca="1" si="17"/>
        <v>79.984412878787879</v>
      </c>
      <c r="F137" s="269">
        <f t="shared" ca="1" si="17"/>
        <v>2.1908333333333347</v>
      </c>
      <c r="G137" s="269">
        <f t="shared" si="14"/>
        <v>136</v>
      </c>
      <c r="H137" s="269">
        <f t="shared" si="15"/>
        <v>30</v>
      </c>
      <c r="I137" s="269"/>
      <c r="J137" s="269">
        <f t="shared" si="16"/>
        <v>1</v>
      </c>
      <c r="K137" s="269">
        <f>Economic!S136</f>
        <v>87.546893999911845</v>
      </c>
      <c r="M137" s="18">
        <f>'Large Use Predicted Monthly'!$Z$10</f>
        <v>1050929.47761405</v>
      </c>
      <c r="N137" s="18">
        <f ca="1">E137*'Large Use Predicted Monthly'!$Z$11</f>
        <v>32985.364757754884</v>
      </c>
      <c r="O137" s="18">
        <f ca="1">F137*'Large Use Predicted Monthly'!$Z$12</f>
        <v>3952.4898480923639</v>
      </c>
      <c r="P137" s="18">
        <f>G137*'Large Use Predicted Monthly'!$Z$13</f>
        <v>-393874.98644174892</v>
      </c>
      <c r="Q137" s="18">
        <f>H137*'Large Use Predicted Monthly'!$Z$14</f>
        <v>2102095.424740857</v>
      </c>
      <c r="R137" s="18">
        <f>I137*'Large Use Predicted Monthly'!$Z$15</f>
        <v>0</v>
      </c>
      <c r="S137" s="18">
        <f>J137*'Large Use Predicted Monthly'!$Z$16</f>
        <v>177044.57271687401</v>
      </c>
      <c r="T137" s="18">
        <f>K137*'Large Use Predicted Monthly'!$Z$17</f>
        <v>183.83553516984466</v>
      </c>
      <c r="U137" s="18">
        <f t="shared" ca="1" si="20"/>
        <v>2973316.1787710492</v>
      </c>
    </row>
    <row r="138" spans="1:21" x14ac:dyDescent="0.25">
      <c r="A138" s="3">
        <v>46143</v>
      </c>
      <c r="B138" s="1">
        <f t="shared" si="18"/>
        <v>2026</v>
      </c>
      <c r="C138" s="1">
        <f t="shared" si="19"/>
        <v>5</v>
      </c>
      <c r="D138" s="259"/>
      <c r="E138" s="269">
        <f t="shared" ca="1" si="17"/>
        <v>7.2018333333333331</v>
      </c>
      <c r="F138" s="269">
        <f t="shared" ca="1" si="17"/>
        <v>52.487435064935063</v>
      </c>
      <c r="G138" s="269">
        <f t="shared" si="14"/>
        <v>137</v>
      </c>
      <c r="H138" s="269">
        <f t="shared" si="15"/>
        <v>31</v>
      </c>
      <c r="I138" s="269"/>
      <c r="J138" s="269">
        <f t="shared" si="16"/>
        <v>1</v>
      </c>
      <c r="K138" s="269">
        <f>Economic!S137</f>
        <v>87.546893999911845</v>
      </c>
      <c r="M138" s="18">
        <f>'Large Use Predicted Monthly'!$Z$10</f>
        <v>1050929.47761405</v>
      </c>
      <c r="N138" s="18">
        <f ca="1">E138*'Large Use Predicted Monthly'!$Z$11</f>
        <v>2970.0174180756921</v>
      </c>
      <c r="O138" s="18">
        <f ca="1">F138*'Large Use Predicted Monthly'!$Z$12</f>
        <v>94692.759640880729</v>
      </c>
      <c r="P138" s="18">
        <f>G138*'Large Use Predicted Monthly'!$Z$13</f>
        <v>-396771.12604793825</v>
      </c>
      <c r="Q138" s="18">
        <f>H138*'Large Use Predicted Monthly'!$Z$14</f>
        <v>2172165.2722322186</v>
      </c>
      <c r="R138" s="18">
        <f>I138*'Large Use Predicted Monthly'!$Z$15</f>
        <v>0</v>
      </c>
      <c r="S138" s="18">
        <f>J138*'Large Use Predicted Monthly'!$Z$16</f>
        <v>177044.57271687401</v>
      </c>
      <c r="T138" s="18">
        <f>K138*'Large Use Predicted Monthly'!$Z$17</f>
        <v>183.83553516984466</v>
      </c>
      <c r="U138" s="18">
        <f t="shared" ca="1" si="20"/>
        <v>3101214.8091093306</v>
      </c>
    </row>
    <row r="139" spans="1:21" x14ac:dyDescent="0.25">
      <c r="A139" s="3">
        <v>46174</v>
      </c>
      <c r="B139" s="1">
        <f t="shared" si="18"/>
        <v>2026</v>
      </c>
      <c r="C139" s="1">
        <f t="shared" si="19"/>
        <v>6</v>
      </c>
      <c r="D139" s="259"/>
      <c r="E139" s="269">
        <f t="shared" ca="1" si="17"/>
        <v>0</v>
      </c>
      <c r="F139" s="269">
        <f t="shared" ca="1" si="17"/>
        <v>137.65451754405018</v>
      </c>
      <c r="G139" s="269">
        <f t="shared" si="14"/>
        <v>138</v>
      </c>
      <c r="H139" s="269">
        <f t="shared" si="15"/>
        <v>30</v>
      </c>
      <c r="I139" s="269"/>
      <c r="J139" s="269">
        <f t="shared" si="16"/>
        <v>0</v>
      </c>
      <c r="K139" s="269">
        <f>Economic!S138</f>
        <v>87.546893999911845</v>
      </c>
      <c r="M139" s="18">
        <f>'Large Use Predicted Monthly'!$Z$10</f>
        <v>1050929.47761405</v>
      </c>
      <c r="N139" s="18">
        <f ca="1">E139*'Large Use Predicted Monthly'!$Z$11</f>
        <v>0</v>
      </c>
      <c r="O139" s="18">
        <f ca="1">F139*'Large Use Predicted Monthly'!$Z$12</f>
        <v>248342.9820328232</v>
      </c>
      <c r="P139" s="18">
        <f>G139*'Large Use Predicted Monthly'!$Z$13</f>
        <v>-399667.26565412758</v>
      </c>
      <c r="Q139" s="18">
        <f>H139*'Large Use Predicted Monthly'!$Z$14</f>
        <v>2102095.424740857</v>
      </c>
      <c r="R139" s="18">
        <f>I139*'Large Use Predicted Monthly'!$Z$15</f>
        <v>0</v>
      </c>
      <c r="S139" s="18">
        <f>J139*'Large Use Predicted Monthly'!$Z$16</f>
        <v>0</v>
      </c>
      <c r="T139" s="18">
        <f>K139*'Large Use Predicted Monthly'!$Z$17</f>
        <v>183.83553516984466</v>
      </c>
      <c r="U139" s="18">
        <f t="shared" ca="1" si="20"/>
        <v>3001884.4542687726</v>
      </c>
    </row>
    <row r="140" spans="1:21" x14ac:dyDescent="0.25">
      <c r="A140" s="3">
        <v>46204</v>
      </c>
      <c r="B140" s="1">
        <f t="shared" si="18"/>
        <v>2026</v>
      </c>
      <c r="C140" s="1">
        <f t="shared" si="19"/>
        <v>7</v>
      </c>
      <c r="D140" s="259"/>
      <c r="E140" s="269">
        <f t="shared" ca="1" si="17"/>
        <v>0</v>
      </c>
      <c r="F140" s="269">
        <f t="shared" ca="1" si="17"/>
        <v>235.94737858727848</v>
      </c>
      <c r="G140" s="269">
        <f t="shared" si="14"/>
        <v>139</v>
      </c>
      <c r="H140" s="269">
        <f t="shared" si="15"/>
        <v>31</v>
      </c>
      <c r="I140" s="269"/>
      <c r="J140" s="269">
        <f t="shared" si="16"/>
        <v>0</v>
      </c>
      <c r="K140" s="269">
        <f>Economic!S139</f>
        <v>2782.4153730000835</v>
      </c>
      <c r="M140" s="18">
        <f>'Large Use Predicted Monthly'!$Z$10</f>
        <v>1050929.47761405</v>
      </c>
      <c r="N140" s="18">
        <f ca="1">E140*'Large Use Predicted Monthly'!$Z$11</f>
        <v>0</v>
      </c>
      <c r="O140" s="18">
        <f ca="1">F140*'Large Use Predicted Monthly'!$Z$12</f>
        <v>425673.46605563629</v>
      </c>
      <c r="P140" s="18">
        <f>G140*'Large Use Predicted Monthly'!$Z$13</f>
        <v>-402563.40526031691</v>
      </c>
      <c r="Q140" s="18">
        <f>H140*'Large Use Predicted Monthly'!$Z$14</f>
        <v>2172165.2722322186</v>
      </c>
      <c r="R140" s="18">
        <f>I140*'Large Use Predicted Monthly'!$Z$15</f>
        <v>0</v>
      </c>
      <c r="S140" s="18">
        <f>J140*'Large Use Predicted Monthly'!$Z$16</f>
        <v>0</v>
      </c>
      <c r="T140" s="18">
        <f>K140*'Large Use Predicted Monthly'!$Z$17</f>
        <v>5842.6609533490519</v>
      </c>
      <c r="U140" s="18">
        <f t="shared" ca="1" si="20"/>
        <v>3252047.4715949371</v>
      </c>
    </row>
    <row r="141" spans="1:21" x14ac:dyDescent="0.25">
      <c r="A141" s="3">
        <v>46235</v>
      </c>
      <c r="B141" s="1">
        <f t="shared" si="18"/>
        <v>2026</v>
      </c>
      <c r="C141" s="1">
        <f t="shared" si="19"/>
        <v>8</v>
      </c>
      <c r="D141" s="259"/>
      <c r="E141" s="269">
        <f t="shared" ca="1" si="17"/>
        <v>0</v>
      </c>
      <c r="F141" s="269">
        <f t="shared" ca="1" si="17"/>
        <v>210.96558794466404</v>
      </c>
      <c r="G141" s="269">
        <f t="shared" si="14"/>
        <v>140</v>
      </c>
      <c r="H141" s="269">
        <f t="shared" si="15"/>
        <v>31</v>
      </c>
      <c r="I141" s="269"/>
      <c r="J141" s="269">
        <f t="shared" si="16"/>
        <v>0</v>
      </c>
      <c r="K141" s="269">
        <f>Economic!S140</f>
        <v>2782.4153730000835</v>
      </c>
      <c r="M141" s="18">
        <f>'Large Use Predicted Monthly'!$Z$10</f>
        <v>1050929.47761405</v>
      </c>
      <c r="N141" s="18">
        <f ca="1">E141*'Large Use Predicted Monthly'!$Z$11</f>
        <v>0</v>
      </c>
      <c r="O141" s="18">
        <f ca="1">F141*'Large Use Predicted Monthly'!$Z$12</f>
        <v>380603.73281770444</v>
      </c>
      <c r="P141" s="18">
        <f>G141*'Large Use Predicted Monthly'!$Z$13</f>
        <v>-405459.54486650624</v>
      </c>
      <c r="Q141" s="18">
        <f>H141*'Large Use Predicted Monthly'!$Z$14</f>
        <v>2172165.2722322186</v>
      </c>
      <c r="R141" s="18">
        <f>I141*'Large Use Predicted Monthly'!$Z$15</f>
        <v>0</v>
      </c>
      <c r="S141" s="18">
        <f>J141*'Large Use Predicted Monthly'!$Z$16</f>
        <v>0</v>
      </c>
      <c r="T141" s="18">
        <f>K141*'Large Use Predicted Monthly'!$Z$17</f>
        <v>5842.6609533490519</v>
      </c>
      <c r="U141" s="18">
        <f t="shared" ca="1" si="20"/>
        <v>3204081.5987508162</v>
      </c>
    </row>
    <row r="142" spans="1:21" x14ac:dyDescent="0.25">
      <c r="A142" s="3">
        <v>46266</v>
      </c>
      <c r="B142" s="1">
        <f t="shared" si="18"/>
        <v>2026</v>
      </c>
      <c r="C142" s="1">
        <f t="shared" si="19"/>
        <v>9</v>
      </c>
      <c r="D142" s="259"/>
      <c r="E142" s="269">
        <f t="shared" ca="1" si="17"/>
        <v>0</v>
      </c>
      <c r="F142" s="269">
        <f t="shared" ca="1" si="17"/>
        <v>106.4160119047619</v>
      </c>
      <c r="G142" s="269">
        <f t="shared" si="14"/>
        <v>141</v>
      </c>
      <c r="H142" s="269">
        <f t="shared" si="15"/>
        <v>30</v>
      </c>
      <c r="I142" s="269"/>
      <c r="J142" s="269">
        <f t="shared" si="16"/>
        <v>1</v>
      </c>
      <c r="K142" s="269">
        <f>Economic!S141</f>
        <v>2782.4153730000835</v>
      </c>
      <c r="M142" s="18">
        <f>'Large Use Predicted Monthly'!$Z$10</f>
        <v>1050929.47761405</v>
      </c>
      <c r="N142" s="18">
        <f ca="1">E142*'Large Use Predicted Monthly'!$Z$11</f>
        <v>0</v>
      </c>
      <c r="O142" s="18">
        <f ca="1">F142*'Large Use Predicted Monthly'!$Z$12</f>
        <v>191985.4880462749</v>
      </c>
      <c r="P142" s="18">
        <f>G142*'Large Use Predicted Monthly'!$Z$13</f>
        <v>-408355.68447269558</v>
      </c>
      <c r="Q142" s="18">
        <f>H142*'Large Use Predicted Monthly'!$Z$14</f>
        <v>2102095.424740857</v>
      </c>
      <c r="R142" s="18">
        <f>I142*'Large Use Predicted Monthly'!$Z$15</f>
        <v>0</v>
      </c>
      <c r="S142" s="18">
        <f>J142*'Large Use Predicted Monthly'!$Z$16</f>
        <v>177044.57271687401</v>
      </c>
      <c r="T142" s="18">
        <f>K142*'Large Use Predicted Monthly'!$Z$17</f>
        <v>5842.6609533490519</v>
      </c>
      <c r="U142" s="18">
        <f t="shared" ca="1" si="20"/>
        <v>3119541.9395987093</v>
      </c>
    </row>
    <row r="143" spans="1:21" x14ac:dyDescent="0.25">
      <c r="A143" s="3">
        <v>46296</v>
      </c>
      <c r="B143" s="1">
        <f t="shared" si="18"/>
        <v>2026</v>
      </c>
      <c r="C143" s="1">
        <f t="shared" si="19"/>
        <v>10</v>
      </c>
      <c r="D143" s="259"/>
      <c r="E143" s="269">
        <f t="shared" ref="E143:F145" ca="1" si="21">E131</f>
        <v>24.76139492753623</v>
      </c>
      <c r="F143" s="269">
        <f t="shared" ca="1" si="21"/>
        <v>17.987083333333334</v>
      </c>
      <c r="G143" s="269">
        <f t="shared" si="14"/>
        <v>142</v>
      </c>
      <c r="H143" s="269">
        <f t="shared" si="15"/>
        <v>31</v>
      </c>
      <c r="I143" s="269"/>
      <c r="J143" s="269">
        <f t="shared" si="16"/>
        <v>1</v>
      </c>
      <c r="K143" s="269">
        <f>Economic!S142</f>
        <v>743.1991299999645</v>
      </c>
      <c r="M143" s="18">
        <f>'Large Use Predicted Monthly'!$Z$10</f>
        <v>1050929.47761405</v>
      </c>
      <c r="N143" s="18">
        <f ca="1">E143*'Large Use Predicted Monthly'!$Z$11</f>
        <v>10211.535150396941</v>
      </c>
      <c r="O143" s="18">
        <f ca="1">F143*'Large Use Predicted Monthly'!$Z$12</f>
        <v>32450.558054830573</v>
      </c>
      <c r="P143" s="18">
        <f>G143*'Large Use Predicted Monthly'!$Z$13</f>
        <v>-411251.82407888491</v>
      </c>
      <c r="Q143" s="18">
        <f>H143*'Large Use Predicted Monthly'!$Z$14</f>
        <v>2172165.2722322186</v>
      </c>
      <c r="R143" s="18">
        <f>I143*'Large Use Predicted Monthly'!$Z$15</f>
        <v>0</v>
      </c>
      <c r="S143" s="18">
        <f>J143*'Large Use Predicted Monthly'!$Z$16</f>
        <v>177044.57271687401</v>
      </c>
      <c r="T143" s="18">
        <f>K143*'Large Use Predicted Monthly'!$Z$17</f>
        <v>1560.6083044070531</v>
      </c>
      <c r="U143" s="18">
        <f t="shared" ca="1" si="20"/>
        <v>3033110.1999938921</v>
      </c>
    </row>
    <row r="144" spans="1:21" x14ac:dyDescent="0.25">
      <c r="A144" s="3">
        <v>46327</v>
      </c>
      <c r="B144" s="1">
        <f t="shared" si="18"/>
        <v>2026</v>
      </c>
      <c r="C144" s="1">
        <f t="shared" si="19"/>
        <v>11</v>
      </c>
      <c r="D144" s="259"/>
      <c r="E144" s="269">
        <f t="shared" ca="1" si="21"/>
        <v>140.02366389045739</v>
      </c>
      <c r="F144" s="269">
        <f t="shared" ca="1" si="21"/>
        <v>0.8083333333333329</v>
      </c>
      <c r="G144" s="269">
        <f t="shared" si="14"/>
        <v>143</v>
      </c>
      <c r="H144" s="269">
        <f t="shared" si="15"/>
        <v>30</v>
      </c>
      <c r="I144" s="269"/>
      <c r="J144" s="269">
        <f t="shared" si="16"/>
        <v>1</v>
      </c>
      <c r="K144" s="269">
        <f>Economic!S143</f>
        <v>743.1991299999645</v>
      </c>
      <c r="M144" s="18">
        <f>'Large Use Predicted Monthly'!$Z$10</f>
        <v>1050929.47761405</v>
      </c>
      <c r="N144" s="18">
        <f ca="1">E144*'Large Use Predicted Monthly'!$Z$11</f>
        <v>57745.396407965767</v>
      </c>
      <c r="O144" s="18">
        <f ca="1">F144*'Large Use Predicted Monthly'!$Z$12</f>
        <v>1458.3169085772493</v>
      </c>
      <c r="P144" s="18">
        <f>G144*'Large Use Predicted Monthly'!$Z$13</f>
        <v>-414147.96368507424</v>
      </c>
      <c r="Q144" s="18">
        <f>H144*'Large Use Predicted Monthly'!$Z$14</f>
        <v>2102095.424740857</v>
      </c>
      <c r="R144" s="18">
        <f>I144*'Large Use Predicted Monthly'!$Z$15</f>
        <v>0</v>
      </c>
      <c r="S144" s="18">
        <f>J144*'Large Use Predicted Monthly'!$Z$16</f>
        <v>177044.57271687401</v>
      </c>
      <c r="T144" s="18">
        <f>K144*'Large Use Predicted Monthly'!$Z$17</f>
        <v>1560.6083044070531</v>
      </c>
      <c r="U144" s="18">
        <f t="shared" ca="1" si="20"/>
        <v>2976685.833007657</v>
      </c>
    </row>
    <row r="145" spans="1:21" x14ac:dyDescent="0.25">
      <c r="A145" s="3">
        <v>46357</v>
      </c>
      <c r="B145" s="1">
        <f t="shared" si="18"/>
        <v>2026</v>
      </c>
      <c r="C145" s="1">
        <f t="shared" si="19"/>
        <v>12</v>
      </c>
      <c r="D145" s="259"/>
      <c r="E145" s="269">
        <f t="shared" ca="1" si="21"/>
        <v>268.92048913043476</v>
      </c>
      <c r="F145" s="269">
        <f t="shared" ca="1" si="21"/>
        <v>0</v>
      </c>
      <c r="G145" s="269">
        <f t="shared" si="14"/>
        <v>144</v>
      </c>
      <c r="H145" s="269">
        <f t="shared" si="15"/>
        <v>31</v>
      </c>
      <c r="I145" s="269"/>
      <c r="J145" s="269">
        <f t="shared" si="16"/>
        <v>0</v>
      </c>
      <c r="K145" s="269">
        <f>Economic!S144</f>
        <v>743.1991299999645</v>
      </c>
      <c r="M145" s="18">
        <f>'Large Use Predicted Monthly'!$Z$10</f>
        <v>1050929.47761405</v>
      </c>
      <c r="N145" s="18">
        <f ca="1">E145*'Large Use Predicted Monthly'!$Z$11</f>
        <v>110902.11336856257</v>
      </c>
      <c r="O145" s="18">
        <f ca="1">F145*'Large Use Predicted Monthly'!$Z$12</f>
        <v>0</v>
      </c>
      <c r="P145" s="18">
        <f>G145*'Large Use Predicted Monthly'!$Z$13</f>
        <v>-417044.10329126357</v>
      </c>
      <c r="Q145" s="18">
        <f>H145*'Large Use Predicted Monthly'!$Z$14</f>
        <v>2172165.2722322186</v>
      </c>
      <c r="R145" s="18">
        <f>I145*'Large Use Predicted Monthly'!$Z$15</f>
        <v>0</v>
      </c>
      <c r="S145" s="18">
        <f>J145*'Large Use Predicted Monthly'!$Z$16</f>
        <v>0</v>
      </c>
      <c r="T145" s="18">
        <f>K145*'Large Use Predicted Monthly'!$Z$17</f>
        <v>1560.6083044070531</v>
      </c>
      <c r="U145" s="18">
        <f t="shared" ca="1" si="20"/>
        <v>2918513.368227975</v>
      </c>
    </row>
    <row r="195" spans="7:24" x14ac:dyDescent="0.25">
      <c r="G195" s="18"/>
      <c r="H195" s="18"/>
      <c r="I195" s="18"/>
      <c r="J195" s="18"/>
      <c r="K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7:24" x14ac:dyDescent="0.25">
      <c r="G196" s="18"/>
      <c r="H196" s="18"/>
      <c r="I196" s="18"/>
      <c r="J196" s="18"/>
      <c r="K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7:24" x14ac:dyDescent="0.25">
      <c r="G197" s="18"/>
      <c r="H197" s="18"/>
      <c r="I197" s="18"/>
      <c r="J197" s="18"/>
      <c r="K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7:24" x14ac:dyDescent="0.25">
      <c r="G198" s="18"/>
      <c r="H198" s="18"/>
      <c r="I198" s="18"/>
      <c r="J198" s="18"/>
      <c r="K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7:24" x14ac:dyDescent="0.25">
      <c r="G199" s="18"/>
      <c r="H199" s="18"/>
      <c r="I199" s="18"/>
      <c r="J199" s="18"/>
      <c r="K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7:24" x14ac:dyDescent="0.25">
      <c r="G200" s="18"/>
      <c r="H200" s="18"/>
      <c r="I200" s="18"/>
      <c r="J200" s="18"/>
      <c r="K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7:24" x14ac:dyDescent="0.25">
      <c r="G201" s="18"/>
      <c r="H201" s="18"/>
      <c r="I201" s="18"/>
      <c r="J201" s="18"/>
      <c r="K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7:24" x14ac:dyDescent="0.25">
      <c r="G202" s="18"/>
      <c r="H202" s="18"/>
      <c r="I202" s="18"/>
      <c r="J202" s="18"/>
      <c r="K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4" spans="7:24" x14ac:dyDescent="0.25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rgb="FFFF0000"/>
  </sheetPr>
  <dimension ref="B2:CA58"/>
  <sheetViews>
    <sheetView topLeftCell="BN50" zoomScaleNormal="100" workbookViewId="0">
      <selection activeCell="BP15" sqref="BP15"/>
    </sheetView>
  </sheetViews>
  <sheetFormatPr defaultColWidth="8.77734375" defaultRowHeight="13.2" x14ac:dyDescent="0.25"/>
  <cols>
    <col min="1" max="1" width="8.77734375" style="1"/>
    <col min="2" max="2" width="9" style="1" bestFit="1" customWidth="1"/>
    <col min="3" max="5" width="13.109375" style="1" bestFit="1" customWidth="1"/>
    <col min="6" max="6" width="5" style="1" customWidth="1"/>
    <col min="7" max="7" width="13.77734375" style="1" customWidth="1"/>
    <col min="8" max="8" width="13" style="1" customWidth="1"/>
    <col min="9" max="11" width="15.33203125" style="1" customWidth="1"/>
    <col min="12" max="12" width="11.109375" style="1" bestFit="1" customWidth="1"/>
    <col min="13" max="13" width="7.6640625" style="1" customWidth="1"/>
    <col min="14" max="14" width="14.77734375" style="1" customWidth="1"/>
    <col min="15" max="16" width="13.109375" style="1" bestFit="1" customWidth="1"/>
    <col min="17" max="17" width="3.77734375" style="1" customWidth="1"/>
    <col min="18" max="18" width="13.77734375" style="1" bestFit="1" customWidth="1"/>
    <col min="19" max="19" width="13.109375" style="1" bestFit="1" customWidth="1"/>
    <col min="20" max="20" width="13.77734375" style="1" bestFit="1" customWidth="1"/>
    <col min="21" max="21" width="13" style="1" customWidth="1"/>
    <col min="22" max="22" width="17" style="1" customWidth="1"/>
    <col min="23" max="23" width="11.33203125" style="1" customWidth="1"/>
    <col min="24" max="24" width="5.77734375" style="1" bestFit="1" customWidth="1"/>
    <col min="25" max="25" width="14.77734375" style="1" customWidth="1"/>
    <col min="26" max="26" width="12.33203125" style="1" customWidth="1"/>
    <col min="27" max="27" width="13.109375" style="1" bestFit="1" customWidth="1"/>
    <col min="28" max="28" width="3.33203125" style="1" customWidth="1"/>
    <col min="29" max="29" width="21" style="1" bestFit="1" customWidth="1"/>
    <col min="30" max="30" width="12.33203125" style="1" customWidth="1"/>
    <col min="31" max="31" width="21" style="1" bestFit="1" customWidth="1"/>
    <col min="32" max="32" width="13.33203125" style="1" customWidth="1"/>
    <col min="33" max="35" width="16.33203125" style="1" customWidth="1"/>
    <col min="36" max="36" width="5.77734375" style="1" customWidth="1"/>
    <col min="37" max="37" width="5.109375" style="1" bestFit="1" customWidth="1"/>
    <col min="38" max="38" width="10.109375" style="1" bestFit="1" customWidth="1"/>
    <col min="39" max="39" width="13.77734375" style="1" bestFit="1" customWidth="1"/>
    <col min="40" max="40" width="13.6640625" style="1" bestFit="1" customWidth="1"/>
    <col min="41" max="41" width="3.109375" style="1" customWidth="1"/>
    <col min="42" max="42" width="15.109375" style="1" bestFit="1" customWidth="1"/>
    <col min="43" max="43" width="13.77734375" style="1" bestFit="1" customWidth="1"/>
    <col min="44" max="44" width="10.109375" style="1" bestFit="1" customWidth="1"/>
    <col min="45" max="45" width="14.109375" style="1" bestFit="1" customWidth="1"/>
    <col min="46" max="46" width="14.6640625" style="1" bestFit="1" customWidth="1"/>
    <col min="47" max="47" width="5.77734375" style="1" customWidth="1"/>
    <col min="48" max="48" width="5.109375" style="1" bestFit="1" customWidth="1"/>
    <col min="49" max="49" width="10.109375" style="1" bestFit="1" customWidth="1"/>
    <col min="50" max="50" width="13.77734375" style="1" bestFit="1" customWidth="1"/>
    <col min="51" max="51" width="13.6640625" style="1" bestFit="1" customWidth="1"/>
    <col min="52" max="52" width="4.109375" style="1" customWidth="1"/>
    <col min="53" max="53" width="15.109375" style="1" bestFit="1" customWidth="1"/>
    <col min="54" max="54" width="13.77734375" style="1" bestFit="1" customWidth="1"/>
    <col min="55" max="55" width="10.109375" style="1" bestFit="1" customWidth="1"/>
    <col min="56" max="56" width="14.109375" style="1" bestFit="1" customWidth="1"/>
    <col min="57" max="57" width="14.6640625" style="1" bestFit="1" customWidth="1"/>
    <col min="58" max="58" width="12.109375" style="1" bestFit="1" customWidth="1"/>
    <col min="59" max="59" width="14.33203125" style="1" bestFit="1" customWidth="1"/>
    <col min="60" max="60" width="11.44140625" style="1" customWidth="1"/>
    <col min="61" max="61" width="12.5546875" style="1" customWidth="1"/>
    <col min="62" max="62" width="11.33203125" style="1" customWidth="1"/>
    <col min="63" max="63" width="13.33203125" style="1" customWidth="1"/>
    <col min="64" max="64" width="8.77734375" style="1"/>
    <col min="65" max="65" width="9" style="1" bestFit="1" customWidth="1"/>
    <col min="66" max="66" width="9.109375" style="1" bestFit="1" customWidth="1"/>
    <col min="67" max="69" width="9" style="1" bestFit="1" customWidth="1"/>
    <col min="70" max="70" width="8.77734375" style="1"/>
    <col min="71" max="71" width="9" style="1" bestFit="1" customWidth="1"/>
    <col min="72" max="72" width="14.44140625" style="1" customWidth="1"/>
    <col min="73" max="73" width="13.44140625" style="1" bestFit="1" customWidth="1"/>
    <col min="74" max="74" width="12.6640625" style="1" customWidth="1"/>
    <col min="75" max="75" width="10.77734375" style="1" bestFit="1" customWidth="1"/>
    <col min="76" max="76" width="8.77734375" style="1"/>
    <col min="77" max="77" width="12.77734375" style="1" bestFit="1" customWidth="1"/>
    <col min="78" max="16384" width="8.77734375" style="1"/>
  </cols>
  <sheetData>
    <row r="2" spans="2:79" x14ac:dyDescent="0.25">
      <c r="B2" s="492" t="s">
        <v>389</v>
      </c>
      <c r="C2" s="492"/>
      <c r="D2" s="492"/>
      <c r="E2" s="492"/>
      <c r="F2" s="492"/>
      <c r="G2" s="492"/>
      <c r="H2" s="492"/>
      <c r="I2" s="492"/>
      <c r="J2" s="492"/>
      <c r="K2" s="492"/>
      <c r="M2" s="492" t="s">
        <v>410</v>
      </c>
      <c r="N2" s="492"/>
      <c r="O2" s="492"/>
      <c r="P2" s="492"/>
      <c r="Q2" s="492"/>
      <c r="R2" s="492"/>
      <c r="S2" s="492"/>
      <c r="T2" s="492"/>
      <c r="U2" s="492"/>
      <c r="V2" s="492"/>
      <c r="X2" s="492" t="s">
        <v>411</v>
      </c>
      <c r="Y2" s="492"/>
      <c r="Z2" s="492"/>
      <c r="AA2" s="492"/>
      <c r="AB2" s="492"/>
      <c r="AC2" s="492"/>
      <c r="AD2" s="492"/>
      <c r="AE2" s="492"/>
      <c r="AF2" s="492"/>
      <c r="AG2" s="492"/>
      <c r="AH2" s="157"/>
      <c r="AI2" s="157"/>
      <c r="AK2" s="492" t="s">
        <v>412</v>
      </c>
      <c r="AL2" s="492"/>
      <c r="AM2" s="492"/>
      <c r="AN2" s="492"/>
      <c r="AO2" s="492"/>
      <c r="AP2" s="492"/>
      <c r="AQ2" s="492"/>
      <c r="AR2" s="492"/>
      <c r="AS2" s="492"/>
      <c r="AT2" s="492"/>
      <c r="AV2" s="492" t="s">
        <v>413</v>
      </c>
      <c r="AW2" s="492"/>
      <c r="AX2" s="492"/>
      <c r="AY2" s="492"/>
      <c r="AZ2" s="492"/>
      <c r="BA2" s="492"/>
      <c r="BB2" s="492"/>
      <c r="BC2" s="492"/>
      <c r="BD2" s="492"/>
      <c r="BE2" s="492"/>
      <c r="BG2" s="492" t="s">
        <v>414</v>
      </c>
      <c r="BH2" s="492"/>
      <c r="BI2" s="492"/>
      <c r="BJ2" s="492"/>
      <c r="BK2" s="492"/>
      <c r="BM2" s="492" t="s">
        <v>415</v>
      </c>
      <c r="BN2" s="492"/>
      <c r="BO2" s="492"/>
      <c r="BP2" s="492"/>
      <c r="BQ2" s="492"/>
      <c r="BS2" s="492" t="s">
        <v>194</v>
      </c>
      <c r="BT2" s="492"/>
      <c r="BU2" s="492"/>
      <c r="BV2" s="492"/>
      <c r="BW2" s="492"/>
    </row>
    <row r="3" spans="2:79" s="243" customFormat="1" ht="52.8" x14ac:dyDescent="0.25">
      <c r="B3" s="160" t="s">
        <v>1</v>
      </c>
      <c r="C3" s="160" t="s">
        <v>416</v>
      </c>
      <c r="D3" s="160" t="s">
        <v>417</v>
      </c>
      <c r="E3" s="160" t="s">
        <v>418</v>
      </c>
      <c r="F3" s="160"/>
      <c r="G3" s="160" t="s">
        <v>419</v>
      </c>
      <c r="H3" s="160" t="s">
        <v>417</v>
      </c>
      <c r="I3" s="160" t="s">
        <v>420</v>
      </c>
      <c r="J3" s="160" t="s">
        <v>421</v>
      </c>
      <c r="K3" s="160" t="s">
        <v>422</v>
      </c>
      <c r="M3" s="160" t="s">
        <v>1</v>
      </c>
      <c r="N3" s="160" t="s">
        <v>416</v>
      </c>
      <c r="O3" s="160" t="s">
        <v>417</v>
      </c>
      <c r="P3" s="160" t="s">
        <v>418</v>
      </c>
      <c r="Q3" s="160"/>
      <c r="R3" s="160" t="s">
        <v>423</v>
      </c>
      <c r="S3" s="160" t="s">
        <v>417</v>
      </c>
      <c r="T3" s="160" t="s">
        <v>420</v>
      </c>
      <c r="U3" s="160" t="s">
        <v>421</v>
      </c>
      <c r="V3" s="160" t="s">
        <v>422</v>
      </c>
      <c r="X3" s="160" t="s">
        <v>1</v>
      </c>
      <c r="Y3" s="160" t="s">
        <v>416</v>
      </c>
      <c r="Z3" s="160" t="s">
        <v>417</v>
      </c>
      <c r="AA3" s="160" t="s">
        <v>418</v>
      </c>
      <c r="AB3" s="160"/>
      <c r="AC3" s="160" t="s">
        <v>419</v>
      </c>
      <c r="AD3" s="160" t="s">
        <v>417</v>
      </c>
      <c r="AE3" s="160" t="s">
        <v>420</v>
      </c>
      <c r="AF3" s="160" t="s">
        <v>424</v>
      </c>
      <c r="AG3" s="160" t="s">
        <v>422</v>
      </c>
      <c r="AH3" s="160" t="s">
        <v>543</v>
      </c>
      <c r="AI3" s="160" t="s">
        <v>545</v>
      </c>
      <c r="AJ3" s="1"/>
      <c r="AK3" s="160" t="s">
        <v>1</v>
      </c>
      <c r="AL3" s="160" t="s">
        <v>416</v>
      </c>
      <c r="AM3" s="160" t="s">
        <v>417</v>
      </c>
      <c r="AN3" s="160" t="s">
        <v>418</v>
      </c>
      <c r="AO3" s="160"/>
      <c r="AP3" s="160" t="s">
        <v>419</v>
      </c>
      <c r="AQ3" s="160" t="s">
        <v>417</v>
      </c>
      <c r="AR3" s="160" t="s">
        <v>420</v>
      </c>
      <c r="AS3" s="160" t="s">
        <v>424</v>
      </c>
      <c r="AT3" s="160" t="s">
        <v>422</v>
      </c>
      <c r="AU3" s="1"/>
      <c r="AV3" s="160" t="s">
        <v>1</v>
      </c>
      <c r="AW3" s="160" t="s">
        <v>416</v>
      </c>
      <c r="AX3" s="160" t="s">
        <v>417</v>
      </c>
      <c r="AY3" s="160" t="s">
        <v>418</v>
      </c>
      <c r="AZ3" s="160"/>
      <c r="BA3" s="160" t="s">
        <v>419</v>
      </c>
      <c r="BB3" s="160" t="s">
        <v>417</v>
      </c>
      <c r="BC3" s="160" t="s">
        <v>420</v>
      </c>
      <c r="BD3" s="160" t="s">
        <v>424</v>
      </c>
      <c r="BE3" s="160" t="s">
        <v>422</v>
      </c>
      <c r="BG3" s="161" t="s">
        <v>1</v>
      </c>
      <c r="BH3" s="162" t="s">
        <v>416</v>
      </c>
      <c r="BI3" s="162" t="s">
        <v>540</v>
      </c>
      <c r="BJ3" s="162" t="s">
        <v>539</v>
      </c>
      <c r="BK3" s="162" t="s">
        <v>425</v>
      </c>
      <c r="BM3" s="161" t="s">
        <v>1</v>
      </c>
      <c r="BN3" s="162" t="s">
        <v>416</v>
      </c>
      <c r="BO3" s="162" t="s">
        <v>540</v>
      </c>
      <c r="BP3" s="162" t="s">
        <v>539</v>
      </c>
      <c r="BQ3" s="162" t="s">
        <v>425</v>
      </c>
      <c r="BS3" s="161" t="s">
        <v>1</v>
      </c>
      <c r="BT3" s="161" t="s">
        <v>416</v>
      </c>
      <c r="BU3" s="161" t="s">
        <v>540</v>
      </c>
      <c r="BV3" s="162" t="s">
        <v>539</v>
      </c>
      <c r="BW3" s="162" t="s">
        <v>425</v>
      </c>
    </row>
    <row r="4" spans="2:79" x14ac:dyDescent="0.25">
      <c r="B4" s="156"/>
      <c r="C4" s="156" t="s">
        <v>303</v>
      </c>
      <c r="D4" s="156" t="s">
        <v>305</v>
      </c>
      <c r="E4" s="156" t="s">
        <v>426</v>
      </c>
      <c r="F4" s="156"/>
      <c r="G4" s="156" t="s">
        <v>309</v>
      </c>
      <c r="H4" s="156" t="s">
        <v>427</v>
      </c>
      <c r="I4" s="156" t="s">
        <v>428</v>
      </c>
      <c r="J4" s="156" t="s">
        <v>429</v>
      </c>
      <c r="K4" s="156" t="s">
        <v>430</v>
      </c>
      <c r="M4" s="156"/>
      <c r="N4" s="156" t="s">
        <v>303</v>
      </c>
      <c r="O4" s="156" t="s">
        <v>305</v>
      </c>
      <c r="P4" s="156" t="s">
        <v>426</v>
      </c>
      <c r="Q4" s="156"/>
      <c r="R4" s="156" t="s">
        <v>309</v>
      </c>
      <c r="S4" s="156" t="s">
        <v>427</v>
      </c>
      <c r="T4" s="156" t="s">
        <v>428</v>
      </c>
      <c r="U4" s="156" t="s">
        <v>429</v>
      </c>
      <c r="V4" s="156" t="s">
        <v>430</v>
      </c>
      <c r="X4" s="156"/>
      <c r="Y4" s="156" t="s">
        <v>303</v>
      </c>
      <c r="Z4" s="156" t="s">
        <v>305</v>
      </c>
      <c r="AA4" s="156" t="s">
        <v>426</v>
      </c>
      <c r="AB4" s="156"/>
      <c r="AC4" s="156" t="s">
        <v>309</v>
      </c>
      <c r="AD4" s="156" t="s">
        <v>427</v>
      </c>
      <c r="AE4" s="156" t="s">
        <v>428</v>
      </c>
      <c r="AF4" s="156" t="s">
        <v>429</v>
      </c>
      <c r="AG4" s="156" t="s">
        <v>430</v>
      </c>
      <c r="AH4" s="156" t="s">
        <v>352</v>
      </c>
      <c r="AI4" s="156" t="s">
        <v>544</v>
      </c>
      <c r="AK4" s="201"/>
      <c r="AL4" s="201" t="s">
        <v>303</v>
      </c>
      <c r="AM4" s="201" t="s">
        <v>305</v>
      </c>
      <c r="AN4" s="201" t="s">
        <v>426</v>
      </c>
      <c r="AO4" s="201"/>
      <c r="AP4" s="201" t="s">
        <v>309</v>
      </c>
      <c r="AQ4" s="201" t="s">
        <v>427</v>
      </c>
      <c r="AR4" s="201" t="s">
        <v>428</v>
      </c>
      <c r="AS4" s="201" t="s">
        <v>429</v>
      </c>
      <c r="AT4" s="201" t="s">
        <v>430</v>
      </c>
      <c r="AV4" s="201"/>
      <c r="AW4" s="201" t="s">
        <v>303</v>
      </c>
      <c r="AX4" s="201" t="s">
        <v>305</v>
      </c>
      <c r="AY4" s="201" t="s">
        <v>426</v>
      </c>
      <c r="AZ4" s="201"/>
      <c r="BA4" s="201" t="s">
        <v>309</v>
      </c>
      <c r="BB4" s="201" t="s">
        <v>427</v>
      </c>
      <c r="BC4" s="201" t="s">
        <v>428</v>
      </c>
      <c r="BD4" s="201" t="s">
        <v>429</v>
      </c>
      <c r="BE4" s="201" t="s">
        <v>430</v>
      </c>
      <c r="BG4" s="158"/>
      <c r="BH4" s="158" t="s">
        <v>303</v>
      </c>
      <c r="BI4" s="158" t="s">
        <v>305</v>
      </c>
      <c r="BJ4" s="158" t="s">
        <v>307</v>
      </c>
      <c r="BK4" s="158" t="s">
        <v>431</v>
      </c>
      <c r="BM4" s="158"/>
      <c r="BN4" s="158" t="s">
        <v>303</v>
      </c>
      <c r="BO4" s="158" t="s">
        <v>305</v>
      </c>
      <c r="BP4" s="158" t="s">
        <v>307</v>
      </c>
      <c r="BQ4" s="158" t="s">
        <v>431</v>
      </c>
      <c r="BS4" s="158"/>
      <c r="BT4" s="158" t="s">
        <v>303</v>
      </c>
      <c r="BU4" s="158" t="s">
        <v>305</v>
      </c>
      <c r="BV4" s="158" t="s">
        <v>307</v>
      </c>
      <c r="BW4" s="158" t="s">
        <v>431</v>
      </c>
    </row>
    <row r="5" spans="2:79" x14ac:dyDescent="0.25">
      <c r="B5" s="258">
        <v>2015</v>
      </c>
      <c r="C5" s="260">
        <f>SUMIF('Monthly Data'!$B:$B,B5,'Monthly Data'!D:D)</f>
        <v>479266200.99999982</v>
      </c>
      <c r="D5" s="260">
        <f>SUMIF('Monthly Data'!$B:$B,B5,'Monthly Data'!E:E)</f>
        <v>1745859</v>
      </c>
      <c r="E5" s="260">
        <f t="shared" ref="E5:E14" si="0">C5+D5</f>
        <v>481012059.99999982</v>
      </c>
      <c r="F5" s="260"/>
      <c r="G5" s="260">
        <f ca="1">SUMIF('Res Normalized Monthly'!$B:$B,B5,'Res Normalized Monthly'!$O:$O)</f>
        <v>473890033.86443418</v>
      </c>
      <c r="H5" s="260">
        <f t="shared" ref="H5:H14" si="1">D5</f>
        <v>1745859</v>
      </c>
      <c r="I5" s="260">
        <f t="shared" ref="I5:I16" ca="1" si="2">G5-H5</f>
        <v>472144174.86443418</v>
      </c>
      <c r="J5" s="260"/>
      <c r="K5" s="260">
        <f t="shared" ref="K5:K13" ca="1" si="3">I5+J5</f>
        <v>472144174.86443418</v>
      </c>
      <c r="M5" s="258">
        <v>2015</v>
      </c>
      <c r="N5" s="260">
        <f>SUMIF('Monthly Data'!$B:$B,M5,'Monthly Data'!H:H)</f>
        <v>134383174.00000003</v>
      </c>
      <c r="O5" s="260">
        <f>SUMIF('Monthly Data'!$B:$B,M5,'Monthly Data'!I:I)</f>
        <v>515127.62000000005</v>
      </c>
      <c r="P5" s="260">
        <f t="shared" ref="P5:P14" si="4">N5+O5</f>
        <v>134898301.62000003</v>
      </c>
      <c r="Q5" s="260"/>
      <c r="R5" s="260">
        <f ca="1">SUMIF('GS&lt;50 Normalized Monthly'!$B:$B,M5,'GS&lt;50 Normalized Monthly'!Q:$Q)</f>
        <v>131261385.22153848</v>
      </c>
      <c r="S5" s="260">
        <f t="shared" ref="S5:S14" si="5">O5</f>
        <v>515127.62000000005</v>
      </c>
      <c r="T5" s="260">
        <f ca="1">R5-S5</f>
        <v>130746257.60153848</v>
      </c>
      <c r="U5" s="260"/>
      <c r="V5" s="260">
        <f t="shared" ref="V5:V13" ca="1" si="6">T5+U5</f>
        <v>130746257.60153848</v>
      </c>
      <c r="X5" s="258">
        <v>2015</v>
      </c>
      <c r="Y5" s="260">
        <f>SUMIF('Monthly Data'!$B:$B,X5,'Monthly Data'!L:L)</f>
        <v>331248131.3818177</v>
      </c>
      <c r="Z5" s="260">
        <f>SUMIF('Monthly Data'!$B:$B,X5,'Monthly Data'!M:M)</f>
        <v>718467.47000000009</v>
      </c>
      <c r="AA5" s="260">
        <f t="shared" ref="AA5:AA14" si="7">Y5+Z5</f>
        <v>331966598.85181773</v>
      </c>
      <c r="AB5" s="260"/>
      <c r="AC5" s="260">
        <f ca="1">SUMIF('GS 50-999 Normalized Monthly'!$B:$B,X5,'GS 50-999 Normalized Monthly'!$Q:$Q)</f>
        <v>331533903.92446721</v>
      </c>
      <c r="AD5" s="260">
        <f t="shared" ref="AD5:AD14" si="8">Z5</f>
        <v>718467.47000000009</v>
      </c>
      <c r="AE5" s="260">
        <f t="shared" ref="AE5:AE16" ca="1" si="9">AC5-AD5</f>
        <v>330815436.45446718</v>
      </c>
      <c r="AF5" s="260"/>
      <c r="AG5" s="260">
        <f ca="1">AE5+AF5</f>
        <v>330815436.45446718</v>
      </c>
      <c r="AH5" s="260"/>
      <c r="AI5" s="260">
        <f t="shared" ref="AI5:AI6" ca="1" si="10">AH5+AG5</f>
        <v>330815436.45446718</v>
      </c>
      <c r="AK5" s="258">
        <v>2015</v>
      </c>
      <c r="AL5" s="260">
        <f>SUMIF('Monthly Data'!$B:$B,AK5,'Monthly Data'!Q:Q)</f>
        <v>81262023.618182287</v>
      </c>
      <c r="AM5" s="260">
        <f>SUMIF('Monthly Data'!$B:$B,AK5,'Monthly Data'!R:R)</f>
        <v>4825418.41</v>
      </c>
      <c r="AN5" s="260">
        <f t="shared" ref="AN5:AN14" si="11">AL5+AM5</f>
        <v>86087442.028182283</v>
      </c>
      <c r="AO5" s="260"/>
      <c r="AP5" s="260">
        <f ca="1">SUMIF('GS 1k-4,999 Normalized Monthly'!$B:$B,X5,'GS 1k-4,999 Normalized Monthly'!$O:$O)</f>
        <v>87690958.87177287</v>
      </c>
      <c r="AQ5" s="260">
        <f>AM5</f>
        <v>4825418.41</v>
      </c>
      <c r="AR5" s="260">
        <f ca="1">AP5-AQ5</f>
        <v>82865540.461772874</v>
      </c>
      <c r="AS5" s="260"/>
      <c r="AT5" s="260">
        <f ca="1">AR5+AS5</f>
        <v>82865540.461772874</v>
      </c>
      <c r="AV5" s="258">
        <v>2015</v>
      </c>
      <c r="AW5" s="260">
        <f>SUMIF('Monthly Data'!$B:$B,AV5,'Monthly Data'!V:V)</f>
        <v>41948975.999999993</v>
      </c>
      <c r="AX5" s="260">
        <f>SUMIF('Monthly Data'!$B:$B,AV5,'Monthly Data'!W:W)</f>
        <v>0</v>
      </c>
      <c r="AY5" s="260">
        <f t="shared" ref="AY5:AY14" si="12">AW5+AX5</f>
        <v>41948975.999999993</v>
      </c>
      <c r="AZ5" s="260"/>
      <c r="BA5" s="260">
        <f ca="1">SUMIF('Large Use Normalized Monthly'!$B:$B,AV5,'Large Use Normalized Monthly'!$U:$U)</f>
        <v>41136839.603501953</v>
      </c>
      <c r="BB5" s="260">
        <f>AX5</f>
        <v>0</v>
      </c>
      <c r="BC5" s="260">
        <f ca="1">BA5-BB5</f>
        <v>41136839.603501953</v>
      </c>
      <c r="BD5" s="260"/>
      <c r="BE5" s="260">
        <f ca="1">BC5+BD5</f>
        <v>41136839.603501953</v>
      </c>
      <c r="BG5" s="258">
        <v>2015</v>
      </c>
      <c r="BH5" s="260">
        <f>SUMIF('Monthly Data'!$B:$B,BG5,'Monthly Data'!AA:AA)</f>
        <v>9200437</v>
      </c>
      <c r="BI5" s="260">
        <f>'Customer Count'!W4</f>
        <v>12676.166666666666</v>
      </c>
      <c r="BJ5" s="260">
        <f t="shared" ref="BJ5:BJ13" si="13">BH5/BI5</f>
        <v>725.80593502241743</v>
      </c>
      <c r="BK5" s="260">
        <f t="shared" ref="BK5:BK16" si="14">BJ5*BI5</f>
        <v>9200437</v>
      </c>
      <c r="BM5" s="258">
        <v>2015</v>
      </c>
      <c r="BN5" s="260">
        <f>SUMIF('Monthly Data'!$B:$B,BM5,'Monthly Data'!AD:AD)</f>
        <v>27388.346366584021</v>
      </c>
      <c r="BO5" s="260">
        <f>'Customer Count'!AA4</f>
        <v>25</v>
      </c>
      <c r="BP5" s="260">
        <f t="shared" ref="BP5:BP14" si="15">BN5/BO5</f>
        <v>1095.5338546633609</v>
      </c>
      <c r="BQ5" s="260">
        <f t="shared" ref="BQ5:BQ16" si="16">BP5*BO5</f>
        <v>27388.346366584021</v>
      </c>
      <c r="BS5" s="258">
        <v>2015</v>
      </c>
      <c r="BT5" s="260">
        <f>SUMIF('Monthly Data'!$B:$B,BS5,'Monthly Data'!AG:AG)</f>
        <v>2509347</v>
      </c>
      <c r="BU5" s="260">
        <f>'Customer Count'!AE4</f>
        <v>257.83333333333331</v>
      </c>
      <c r="BV5" s="260">
        <f t="shared" ref="BV5:BV14" si="17">BT5/BU5</f>
        <v>9732.4382676147397</v>
      </c>
      <c r="BW5" s="260">
        <f t="shared" ref="BW5:BW16" si="18">BV5*BU5</f>
        <v>2509347</v>
      </c>
    </row>
    <row r="6" spans="2:79" x14ac:dyDescent="0.25">
      <c r="B6" s="258">
        <f t="shared" ref="B6:B14" si="19">B5+1</f>
        <v>2016</v>
      </c>
      <c r="C6" s="260">
        <f>SUMIF('Monthly Data'!$B:$B,B6,'Monthly Data'!D:D)</f>
        <v>477527824.00000006</v>
      </c>
      <c r="D6" s="260">
        <f>SUMIF('Monthly Data'!$B:$B,B6,'Monthly Data'!E:E)</f>
        <v>8129504.5</v>
      </c>
      <c r="E6" s="260">
        <f t="shared" si="0"/>
        <v>485657328.50000006</v>
      </c>
      <c r="F6" s="260"/>
      <c r="G6" s="260">
        <f ca="1">SUMIF('Res Normalized Monthly'!$B:$B,B6,'Res Normalized Monthly'!$O:$O)</f>
        <v>483059068.90388244</v>
      </c>
      <c r="H6" s="260">
        <f t="shared" si="1"/>
        <v>8129504.5</v>
      </c>
      <c r="I6" s="260">
        <f t="shared" ca="1" si="2"/>
        <v>474929564.40388244</v>
      </c>
      <c r="J6" s="260"/>
      <c r="K6" s="260">
        <f t="shared" ca="1" si="3"/>
        <v>474929564.40388244</v>
      </c>
      <c r="M6" s="258">
        <f t="shared" ref="M6:M14" si="20">M5+1</f>
        <v>2016</v>
      </c>
      <c r="N6" s="260">
        <f>SUMIF('Monthly Data'!$B:$B,M6,'Monthly Data'!H:H)</f>
        <v>131950149.00000001</v>
      </c>
      <c r="O6" s="260">
        <f>SUMIF('Monthly Data'!$B:$B,M6,'Monthly Data'!I:I)</f>
        <v>2242271.165</v>
      </c>
      <c r="P6" s="260">
        <f t="shared" si="4"/>
        <v>134192420.16500002</v>
      </c>
      <c r="Q6" s="260"/>
      <c r="R6" s="260">
        <f ca="1">SUMIF('GS&lt;50 Normalized Monthly'!$B:$B,M6,'GS&lt;50 Normalized Monthly'!Q:$Q)</f>
        <v>133898774.14910521</v>
      </c>
      <c r="S6" s="260">
        <f t="shared" si="5"/>
        <v>2242271.165</v>
      </c>
      <c r="T6" s="260">
        <f t="shared" ref="T6:T16" ca="1" si="21">R6-S6</f>
        <v>131656502.9841052</v>
      </c>
      <c r="U6" s="260"/>
      <c r="V6" s="260">
        <f t="shared" ca="1" si="6"/>
        <v>131656502.9841052</v>
      </c>
      <c r="X6" s="258">
        <f t="shared" ref="X6:X14" si="22">X5+1</f>
        <v>2016</v>
      </c>
      <c r="Y6" s="260">
        <f>SUMIF('Monthly Data'!$B:$B,X6,'Monthly Data'!L:L)</f>
        <v>336135880.18643844</v>
      </c>
      <c r="Z6" s="260">
        <f>SUMIF('Monthly Data'!$B:$B,X6,'Monthly Data'!M:M)</f>
        <v>2246980.33</v>
      </c>
      <c r="AA6" s="260">
        <f t="shared" si="7"/>
        <v>338382860.51643842</v>
      </c>
      <c r="AB6" s="260"/>
      <c r="AC6" s="260">
        <f ca="1">SUMIF('GS 50-999 Normalized Monthly'!$B:$B,X6,'GS 50-999 Normalized Monthly'!$Q:$Q)</f>
        <v>333645617.39460927</v>
      </c>
      <c r="AD6" s="260">
        <f t="shared" si="8"/>
        <v>2246980.33</v>
      </c>
      <c r="AE6" s="260">
        <f t="shared" ca="1" si="9"/>
        <v>331398637.06460929</v>
      </c>
      <c r="AF6" s="260"/>
      <c r="AG6" s="260">
        <f ca="1">AE6+AF6</f>
        <v>331398637.06460929</v>
      </c>
      <c r="AH6" s="260"/>
      <c r="AI6" s="260">
        <f t="shared" ca="1" si="10"/>
        <v>331398637.06460929</v>
      </c>
      <c r="AK6" s="258">
        <f t="shared" ref="AK6:AK16" si="23">AK5+1</f>
        <v>2016</v>
      </c>
      <c r="AL6" s="260">
        <f>SUMIF('Monthly Data'!$B:$B,AK6,'Monthly Data'!Q:Q)</f>
        <v>84479483.913561568</v>
      </c>
      <c r="AM6" s="260">
        <f>SUMIF('Monthly Data'!$B:$B,AK6,'Monthly Data'!R:R)</f>
        <v>9958131.004999999</v>
      </c>
      <c r="AN6" s="260">
        <f t="shared" si="11"/>
        <v>94437614.918561563</v>
      </c>
      <c r="AO6" s="260"/>
      <c r="AP6" s="260">
        <f ca="1">SUMIF('GS 1k-4,999 Normalized Monthly'!$B:$B,X6,'GS 1k-4,999 Normalized Monthly'!$O:$O)</f>
        <v>89969693.447332546</v>
      </c>
      <c r="AQ6" s="260">
        <f t="shared" ref="AQ6:AQ14" si="24">AM6</f>
        <v>9958131.004999999</v>
      </c>
      <c r="AR6" s="260">
        <f t="shared" ref="AR6:AR16" ca="1" si="25">AP6-AQ6</f>
        <v>80011562.442332551</v>
      </c>
      <c r="AS6" s="260"/>
      <c r="AT6" s="260">
        <f t="shared" ref="AT6:AT16" ca="1" si="26">AR6+AS6</f>
        <v>80011562.442332551</v>
      </c>
      <c r="AV6" s="258">
        <f t="shared" ref="AV6:AV16" si="27">AV5+1</f>
        <v>2016</v>
      </c>
      <c r="AW6" s="260">
        <f>SUMIF('Monthly Data'!$B:$B,AV6,'Monthly Data'!V:V)</f>
        <v>41438245.999999993</v>
      </c>
      <c r="AX6" s="260">
        <f>SUMIF('Monthly Data'!$B:$B,AV6,'Monthly Data'!W:W)</f>
        <v>0</v>
      </c>
      <c r="AY6" s="260">
        <f t="shared" si="12"/>
        <v>41438245.999999993</v>
      </c>
      <c r="AZ6" s="260"/>
      <c r="BA6" s="260">
        <f ca="1">SUMIF('Large Use Normalized Monthly'!$B:$B,AV6,'Large Use Normalized Monthly'!$U:$U)</f>
        <v>40716784.192698166</v>
      </c>
      <c r="BB6" s="260">
        <f t="shared" ref="BB6:BB14" si="28">AX6</f>
        <v>0</v>
      </c>
      <c r="BC6" s="260">
        <f t="shared" ref="BC6:BC16" ca="1" si="29">BA6-BB6</f>
        <v>40716784.192698166</v>
      </c>
      <c r="BD6" s="260"/>
      <c r="BE6" s="260">
        <f t="shared" ref="BE6:BE16" ca="1" si="30">BC6+BD6</f>
        <v>40716784.192698166</v>
      </c>
      <c r="BG6" s="258">
        <f t="shared" ref="BG6:BG14" si="31">BG5+1</f>
        <v>2016</v>
      </c>
      <c r="BH6" s="260">
        <f>SUMIF('Monthly Data'!$B:$B,BG6,'Monthly Data'!AA:AA)</f>
        <v>9395991</v>
      </c>
      <c r="BI6" s="260">
        <f>'Customer Count'!W5</f>
        <v>12955.333333333334</v>
      </c>
      <c r="BJ6" s="260">
        <f t="shared" si="13"/>
        <v>725.26045901301904</v>
      </c>
      <c r="BK6" s="260">
        <f t="shared" si="14"/>
        <v>9395991</v>
      </c>
      <c r="BM6" s="258">
        <f t="shared" ref="BM6:BM16" si="32">BM5+1</f>
        <v>2016</v>
      </c>
      <c r="BN6" s="260">
        <f>SUMIF('Monthly Data'!$B:$B,BM6,'Monthly Data'!AD:AD)</f>
        <v>25737.974442113293</v>
      </c>
      <c r="BO6" s="260">
        <f>'Customer Count'!AA5</f>
        <v>23</v>
      </c>
      <c r="BP6" s="260">
        <f t="shared" si="15"/>
        <v>1119.042367048404</v>
      </c>
      <c r="BQ6" s="260">
        <f t="shared" si="16"/>
        <v>25737.974442113293</v>
      </c>
      <c r="BS6" s="258">
        <f t="shared" ref="BS6:BS14" si="33">BS5+1</f>
        <v>2016</v>
      </c>
      <c r="BT6" s="260">
        <f>SUMIF('Monthly Data'!$B:$B,BS6,'Monthly Data'!AG:AG)</f>
        <v>2501224</v>
      </c>
      <c r="BU6" s="260">
        <f>'Customer Count'!AE5</f>
        <v>246.25</v>
      </c>
      <c r="BV6" s="260">
        <f t="shared" si="17"/>
        <v>10157.254822335026</v>
      </c>
      <c r="BW6" s="260">
        <f t="shared" si="18"/>
        <v>2501224</v>
      </c>
    </row>
    <row r="7" spans="2:79" x14ac:dyDescent="0.25">
      <c r="B7" s="258">
        <f t="shared" si="19"/>
        <v>2017</v>
      </c>
      <c r="C7" s="260">
        <f>SUMIF('Monthly Data'!$B:$B,B7,'Monthly Data'!D:D)</f>
        <v>464513659.08580053</v>
      </c>
      <c r="D7" s="260">
        <f>SUMIF('Monthly Data'!$B:$B,B7,'Monthly Data'!E:E)</f>
        <v>21218883.500000004</v>
      </c>
      <c r="E7" s="260">
        <f t="shared" si="0"/>
        <v>485732542.58580053</v>
      </c>
      <c r="F7" s="260"/>
      <c r="G7" s="260">
        <f ca="1">SUMIF('Res Normalized Monthly'!$B:$B,B7,'Res Normalized Monthly'!$O:$O)</f>
        <v>492228103.94333065</v>
      </c>
      <c r="H7" s="260">
        <f t="shared" si="1"/>
        <v>21218883.500000004</v>
      </c>
      <c r="I7" s="260">
        <f t="shared" ca="1" si="2"/>
        <v>471009220.44333065</v>
      </c>
      <c r="J7" s="260"/>
      <c r="K7" s="260">
        <f t="shared" ca="1" si="3"/>
        <v>471009220.44333065</v>
      </c>
      <c r="M7" s="258">
        <f t="shared" si="20"/>
        <v>2017</v>
      </c>
      <c r="N7" s="260">
        <f>SUMIF('Monthly Data'!$B:$B,M7,'Monthly Data'!H:H)</f>
        <v>128640162</v>
      </c>
      <c r="O7" s="260">
        <f>SUMIF('Monthly Data'!$B:$B,M7,'Monthly Data'!I:I)</f>
        <v>4711924.9122964684</v>
      </c>
      <c r="P7" s="260">
        <f t="shared" si="4"/>
        <v>133352086.91229647</v>
      </c>
      <c r="Q7" s="260"/>
      <c r="R7" s="260">
        <f ca="1">SUMIF('GS&lt;50 Normalized Monthly'!$B:$B,M7,'GS&lt;50 Normalized Monthly'!Q:$Q)</f>
        <v>133851674.43689862</v>
      </c>
      <c r="S7" s="260">
        <f t="shared" si="5"/>
        <v>4711924.9122964684</v>
      </c>
      <c r="T7" s="260">
        <f t="shared" ca="1" si="21"/>
        <v>129139749.52460214</v>
      </c>
      <c r="U7" s="260"/>
      <c r="V7" s="260">
        <f t="shared" ca="1" si="6"/>
        <v>129139749.52460214</v>
      </c>
      <c r="X7" s="258">
        <f t="shared" si="22"/>
        <v>2017</v>
      </c>
      <c r="Y7" s="260">
        <f>SUMIF('Monthly Data'!$B:$B,X7,'Monthly Data'!L:L)</f>
        <v>344049960.45204061</v>
      </c>
      <c r="Z7" s="260">
        <f>SUMIF('Monthly Data'!$B:$B,X7,'Monthly Data'!M:M)</f>
        <v>4819230.9586269651</v>
      </c>
      <c r="AA7" s="260">
        <f t="shared" si="7"/>
        <v>348869191.4106676</v>
      </c>
      <c r="AB7" s="260"/>
      <c r="AC7" s="260">
        <f ca="1">SUMIF('GS 50-999 Normalized Monthly'!$B:$B,X7,'GS 50-999 Normalized Monthly'!$Q:$Q)</f>
        <v>334621063.11135429</v>
      </c>
      <c r="AD7" s="260">
        <f t="shared" si="8"/>
        <v>4819230.9586269651</v>
      </c>
      <c r="AE7" s="260">
        <f t="shared" ca="1" si="9"/>
        <v>329801832.15272731</v>
      </c>
      <c r="AF7" s="260"/>
      <c r="AG7" s="260">
        <f ca="1">AE7+AF7</f>
        <v>329801832.15272731</v>
      </c>
      <c r="AH7" s="260">
        <f>SUMIF('Monthly Data'!$B:$B,X7,'Monthly Data'!DL:DL)</f>
        <v>7037827.54</v>
      </c>
      <c r="AI7" s="260">
        <f ca="1">AH7+AG7</f>
        <v>336839659.69272733</v>
      </c>
      <c r="AK7" s="258">
        <f t="shared" si="23"/>
        <v>2017</v>
      </c>
      <c r="AL7" s="260">
        <f>SUMIF('Monthly Data'!$B:$B,AK7,'Monthly Data'!Q:Q)</f>
        <v>82458080.47410427</v>
      </c>
      <c r="AM7" s="260">
        <f>SUMIF('Monthly Data'!$B:$B,AK7,'Monthly Data'!R:R)</f>
        <v>10265409.998426484</v>
      </c>
      <c r="AN7" s="260">
        <f t="shared" si="11"/>
        <v>92723490.472530752</v>
      </c>
      <c r="AO7" s="260"/>
      <c r="AP7" s="260">
        <f ca="1">SUMIF('GS 1k-4,999 Normalized Monthly'!$B:$B,X7,'GS 1k-4,999 Normalized Monthly'!$O:$O)</f>
        <v>89647168.520197898</v>
      </c>
      <c r="AQ7" s="260">
        <f t="shared" si="24"/>
        <v>10265409.998426484</v>
      </c>
      <c r="AR7" s="260">
        <f t="shared" ca="1" si="25"/>
        <v>79381758.521771416</v>
      </c>
      <c r="AS7" s="260"/>
      <c r="AT7" s="260">
        <f t="shared" ca="1" si="26"/>
        <v>79381758.521771416</v>
      </c>
      <c r="AV7" s="258">
        <f t="shared" si="27"/>
        <v>2017</v>
      </c>
      <c r="AW7" s="260">
        <f>SUMIF('Monthly Data'!$B:$B,AV7,'Monthly Data'!V:V)</f>
        <v>37536243</v>
      </c>
      <c r="AX7" s="260">
        <f>SUMIF('Monthly Data'!$B:$B,AV7,'Monthly Data'!W:W)</f>
        <v>139443.67499999999</v>
      </c>
      <c r="AY7" s="260">
        <f t="shared" si="12"/>
        <v>37675686.674999997</v>
      </c>
      <c r="AZ7" s="260"/>
      <c r="BA7" s="260">
        <f ca="1">SUMIF('Large Use Normalized Monthly'!$B:$B,AV7,'Large Use Normalized Monthly'!$U:$U)</f>
        <v>40346067.147441521</v>
      </c>
      <c r="BB7" s="260">
        <f t="shared" si="28"/>
        <v>139443.67499999999</v>
      </c>
      <c r="BC7" s="260">
        <f t="shared" ca="1" si="29"/>
        <v>40206623.472441524</v>
      </c>
      <c r="BD7" s="260"/>
      <c r="BE7" s="260">
        <f t="shared" ca="1" si="30"/>
        <v>40206623.472441524</v>
      </c>
      <c r="BG7" s="258">
        <f t="shared" si="31"/>
        <v>2017</v>
      </c>
      <c r="BH7" s="260">
        <f>SUMIF('Monthly Data'!$B:$B,BG7,'Monthly Data'!AA:AA)</f>
        <v>4988073.9999999991</v>
      </c>
      <c r="BI7" s="260">
        <f>'Customer Count'!W6</f>
        <v>13171.25</v>
      </c>
      <c r="BJ7" s="260">
        <f t="shared" si="13"/>
        <v>378.70923412736067</v>
      </c>
      <c r="BK7" s="260">
        <f t="shared" si="14"/>
        <v>4988073.9999999991</v>
      </c>
      <c r="BM7" s="258">
        <f t="shared" si="32"/>
        <v>2017</v>
      </c>
      <c r="BN7" s="260">
        <f>SUMIF('Monthly Data'!$B:$B,BM7,'Monthly Data'!AD:AD)</f>
        <v>25667.652107572001</v>
      </c>
      <c r="BO7" s="260">
        <f>'Customer Count'!AA6</f>
        <v>23</v>
      </c>
      <c r="BP7" s="260">
        <f t="shared" si="15"/>
        <v>1115.984874242261</v>
      </c>
      <c r="BQ7" s="260">
        <f t="shared" si="16"/>
        <v>25667.652107572001</v>
      </c>
      <c r="BS7" s="258">
        <f t="shared" si="33"/>
        <v>2017</v>
      </c>
      <c r="BT7" s="260">
        <f>SUMIF('Monthly Data'!$B:$B,BS7,'Monthly Data'!AG:AG)</f>
        <v>2510071</v>
      </c>
      <c r="BU7" s="260">
        <f>'Customer Count'!AE6</f>
        <v>246.08333333333334</v>
      </c>
      <c r="BV7" s="260">
        <f t="shared" si="17"/>
        <v>10200.085336945478</v>
      </c>
      <c r="BW7" s="260">
        <f t="shared" si="18"/>
        <v>2510071</v>
      </c>
    </row>
    <row r="8" spans="2:79" x14ac:dyDescent="0.25">
      <c r="B8" s="258">
        <f t="shared" si="19"/>
        <v>2018</v>
      </c>
      <c r="C8" s="260">
        <f>SUMIF('Monthly Data'!$B:$B,B8,'Monthly Data'!D:D)</f>
        <v>483410781.91419953</v>
      </c>
      <c r="D8" s="260">
        <f>SUMIF('Monthly Data'!$B:$B,B8,'Monthly Data'!E:E)</f>
        <v>27652754.856041782</v>
      </c>
      <c r="E8" s="260">
        <f t="shared" si="0"/>
        <v>511063536.77024132</v>
      </c>
      <c r="F8" s="8"/>
      <c r="G8" s="260">
        <f ca="1">SUMIF('Res Normalized Monthly'!$B:$B,B8,'Res Normalized Monthly'!$O:$O)</f>
        <v>501397138.98277897</v>
      </c>
      <c r="H8" s="260">
        <f t="shared" si="1"/>
        <v>27652754.856041782</v>
      </c>
      <c r="I8" s="260">
        <f t="shared" ca="1" si="2"/>
        <v>473744384.12673718</v>
      </c>
      <c r="J8" s="260"/>
      <c r="K8" s="260">
        <f t="shared" ca="1" si="3"/>
        <v>473744384.12673718</v>
      </c>
      <c r="M8" s="258">
        <f t="shared" si="20"/>
        <v>2018</v>
      </c>
      <c r="N8" s="260">
        <f>SUMIF('Monthly Data'!$B:$B,M8,'Monthly Data'!H:H)</f>
        <v>134207593</v>
      </c>
      <c r="O8" s="260">
        <f>SUMIF('Monthly Data'!$B:$B,M8,'Monthly Data'!I:I)</f>
        <v>6398722.2314855205</v>
      </c>
      <c r="P8" s="260">
        <f t="shared" si="4"/>
        <v>140606315.23148552</v>
      </c>
      <c r="Q8" s="8"/>
      <c r="R8" s="260">
        <f ca="1">SUMIF('GS&lt;50 Normalized Monthly'!$B:$B,M8,'GS&lt;50 Normalized Monthly'!Q:$Q)</f>
        <v>134534610.34864065</v>
      </c>
      <c r="S8" s="260">
        <f t="shared" si="5"/>
        <v>6398722.2314855205</v>
      </c>
      <c r="T8" s="260">
        <f t="shared" ca="1" si="21"/>
        <v>128135888.11715513</v>
      </c>
      <c r="U8" s="260"/>
      <c r="V8" s="260">
        <f t="shared" ca="1" si="6"/>
        <v>128135888.11715513</v>
      </c>
      <c r="X8" s="258">
        <f t="shared" si="22"/>
        <v>2018</v>
      </c>
      <c r="Y8" s="260">
        <f>SUMIF('Monthly Data'!$B:$B,X8,'Monthly Data'!L:L)</f>
        <v>324633082.5551976</v>
      </c>
      <c r="Z8" s="260">
        <f>SUMIF('Monthly Data'!$B:$B,X8,'Monthly Data'!M:M)</f>
        <v>7226093.9416703666</v>
      </c>
      <c r="AA8" s="260">
        <f t="shared" si="7"/>
        <v>331859176.49686795</v>
      </c>
      <c r="AB8" s="8"/>
      <c r="AC8" s="260">
        <f ca="1">SUMIF('GS 50-999 Normalized Monthly'!$B:$B,X8,'GS 50-999 Normalized Monthly'!$Q:$Q)</f>
        <v>336720786.19931859</v>
      </c>
      <c r="AD8" s="260">
        <f t="shared" si="8"/>
        <v>7226093.9416703666</v>
      </c>
      <c r="AE8" s="260">
        <f t="shared" ca="1" si="9"/>
        <v>329494692.25764823</v>
      </c>
      <c r="AF8" s="260"/>
      <c r="AG8" s="260">
        <f t="shared" ref="AG8:AG16" ca="1" si="34">AE8+AF8</f>
        <v>329494692.25764823</v>
      </c>
      <c r="AH8" s="260">
        <f>SUMIF('Monthly Data'!$B:$B,X8,'Monthly Data'!DL:DL)</f>
        <v>6881329.080000001</v>
      </c>
      <c r="AI8" s="260">
        <f t="shared" ref="AI8:AI16" ca="1" si="35">AH8+AG8</f>
        <v>336376021.33764821</v>
      </c>
      <c r="AK8" s="258">
        <f t="shared" si="23"/>
        <v>2018</v>
      </c>
      <c r="AL8" s="260">
        <f>SUMIF('Monthly Data'!$B:$B,AK8,'Monthly Data'!Q:Q)</f>
        <v>76765563.974827826</v>
      </c>
      <c r="AM8" s="260">
        <f>SUMIF('Monthly Data'!$B:$B,AK8,'Monthly Data'!R:R)</f>
        <v>10267066.018426483</v>
      </c>
      <c r="AN8" s="260">
        <f t="shared" si="11"/>
        <v>87032629.993254304</v>
      </c>
      <c r="AO8" s="260"/>
      <c r="AP8" s="260">
        <f ca="1">SUMIF('GS 1k-4,999 Normalized Monthly'!$B:$B,X8,'GS 1k-4,999 Normalized Monthly'!$O:$O)</f>
        <v>90625821.302295119</v>
      </c>
      <c r="AQ8" s="260">
        <f t="shared" si="24"/>
        <v>10267066.018426483</v>
      </c>
      <c r="AR8" s="260">
        <f t="shared" ca="1" si="25"/>
        <v>80358755.283868641</v>
      </c>
      <c r="AS8" s="260"/>
      <c r="AT8" s="260">
        <f t="shared" ca="1" si="26"/>
        <v>80358755.283868641</v>
      </c>
      <c r="AV8" s="258">
        <f t="shared" si="27"/>
        <v>2018</v>
      </c>
      <c r="AW8" s="260">
        <f>SUMIF('Monthly Data'!$B:$B,AV8,'Monthly Data'!V:V)</f>
        <v>44873420</v>
      </c>
      <c r="AX8" s="260">
        <f>SUMIF('Monthly Data'!$B:$B,AV8,'Monthly Data'!W:W)</f>
        <v>278914.11666666676</v>
      </c>
      <c r="AY8" s="260">
        <f t="shared" si="12"/>
        <v>45152334.116666667</v>
      </c>
      <c r="AZ8" s="260"/>
      <c r="BA8" s="260">
        <f ca="1">SUMIF('Large Use Normalized Monthly'!$B:$B,AV8,'Large Use Normalized Monthly'!$U:$U)</f>
        <v>39942289.910147846</v>
      </c>
      <c r="BB8" s="260">
        <f t="shared" si="28"/>
        <v>278914.11666666676</v>
      </c>
      <c r="BC8" s="260">
        <f t="shared" ca="1" si="29"/>
        <v>39663375.793481179</v>
      </c>
      <c r="BD8" s="260"/>
      <c r="BE8" s="260">
        <f t="shared" ca="1" si="30"/>
        <v>39663375.793481179</v>
      </c>
      <c r="BG8" s="258">
        <f t="shared" si="31"/>
        <v>2018</v>
      </c>
      <c r="BH8" s="260">
        <f>SUMIF('Monthly Data'!$B:$B,BG8,'Monthly Data'!AA:AA)</f>
        <v>4221567</v>
      </c>
      <c r="BI8" s="260">
        <f>'Customer Count'!W7</f>
        <v>13827.666666666666</v>
      </c>
      <c r="BJ8" s="260">
        <f t="shared" si="13"/>
        <v>305.29858014126268</v>
      </c>
      <c r="BK8" s="260">
        <f t="shared" si="14"/>
        <v>4221567</v>
      </c>
      <c r="BM8" s="258">
        <f t="shared" si="32"/>
        <v>2018</v>
      </c>
      <c r="BN8" s="260">
        <f>SUMIF('Monthly Data'!$B:$B,BM8,'Monthly Data'!AD:AD)</f>
        <v>25647.396528704936</v>
      </c>
      <c r="BO8" s="260">
        <f>'Customer Count'!AA7</f>
        <v>23</v>
      </c>
      <c r="BP8" s="260">
        <f t="shared" si="15"/>
        <v>1115.1041969002147</v>
      </c>
      <c r="BQ8" s="260">
        <f t="shared" si="16"/>
        <v>25647.396528704936</v>
      </c>
      <c r="BS8" s="258">
        <f t="shared" si="33"/>
        <v>2018</v>
      </c>
      <c r="BT8" s="260">
        <f>SUMIF('Monthly Data'!$B:$B,BS8,'Monthly Data'!AG:AG)</f>
        <v>2522886</v>
      </c>
      <c r="BU8" s="260">
        <f>'Customer Count'!AE7</f>
        <v>247.91666666666666</v>
      </c>
      <c r="BV8" s="260">
        <f t="shared" si="17"/>
        <v>10176.346890756304</v>
      </c>
      <c r="BW8" s="260">
        <f t="shared" si="18"/>
        <v>2522886</v>
      </c>
      <c r="CA8" s="231"/>
    </row>
    <row r="9" spans="2:79" x14ac:dyDescent="0.25">
      <c r="B9" s="258">
        <f t="shared" si="19"/>
        <v>2019</v>
      </c>
      <c r="C9" s="260">
        <f>SUMIF('Monthly Data'!$B:$B,B9,'Monthly Data'!D:D)</f>
        <v>482531157.99999994</v>
      </c>
      <c r="D9" s="260">
        <f>SUMIF('Monthly Data'!$B:$B,B9,'Monthly Data'!E:E)</f>
        <v>29232189.000000007</v>
      </c>
      <c r="E9" s="260">
        <f t="shared" si="0"/>
        <v>511763346.99999994</v>
      </c>
      <c r="F9" s="8"/>
      <c r="G9" s="260">
        <f ca="1">SUMIF('Res Normalized Monthly'!$B:$B,B9,'Res Normalized Monthly'!$O:$O)</f>
        <v>510566174.02222723</v>
      </c>
      <c r="H9" s="260">
        <f t="shared" si="1"/>
        <v>29232189.000000007</v>
      </c>
      <c r="I9" s="260">
        <f t="shared" ca="1" si="2"/>
        <v>481333985.02222723</v>
      </c>
      <c r="J9" s="260"/>
      <c r="K9" s="260">
        <f t="shared" ca="1" si="3"/>
        <v>481333985.02222723</v>
      </c>
      <c r="M9" s="258">
        <f t="shared" si="20"/>
        <v>2019</v>
      </c>
      <c r="N9" s="260">
        <f>SUMIF('Monthly Data'!$B:$B,M9,'Monthly Data'!H:H)</f>
        <v>117191070.00000001</v>
      </c>
      <c r="O9" s="260">
        <f>SUMIF('Monthly Data'!$B:$B,M9,'Monthly Data'!I:I)</f>
        <v>6673753.7377930023</v>
      </c>
      <c r="P9" s="260">
        <f t="shared" si="4"/>
        <v>123864823.73779301</v>
      </c>
      <c r="Q9" s="8"/>
      <c r="R9" s="260">
        <f ca="1">SUMIF('GS&lt;50 Normalized Monthly'!$B:$B,M9,'GS&lt;50 Normalized Monthly'!Q:$Q)</f>
        <v>134452475.51738438</v>
      </c>
      <c r="S9" s="260">
        <f t="shared" si="5"/>
        <v>6673753.7377930023</v>
      </c>
      <c r="T9" s="260">
        <f t="shared" ca="1" si="21"/>
        <v>127778721.77959138</v>
      </c>
      <c r="U9" s="260"/>
      <c r="V9" s="260">
        <f t="shared" ca="1" si="6"/>
        <v>127778721.77959138</v>
      </c>
      <c r="X9" s="258">
        <f t="shared" si="22"/>
        <v>2019</v>
      </c>
      <c r="Y9" s="260">
        <f>SUMIF('Monthly Data'!$B:$B,X9,'Monthly Data'!L:L)</f>
        <v>328874818.72622365</v>
      </c>
      <c r="Z9" s="260">
        <f>SUMIF('Monthly Data'!$B:$B,X9,'Monthly Data'!M:M)</f>
        <v>7815669.4940469246</v>
      </c>
      <c r="AA9" s="260">
        <f t="shared" si="7"/>
        <v>336690488.22027057</v>
      </c>
      <c r="AB9" s="8"/>
      <c r="AC9" s="260">
        <f ca="1">SUMIF('GS 50-999 Normalized Monthly'!$B:$B,X9,'GS 50-999 Normalized Monthly'!$Q:$Q)</f>
        <v>338206997.62545574</v>
      </c>
      <c r="AD9" s="260">
        <f t="shared" si="8"/>
        <v>7815669.4940469246</v>
      </c>
      <c r="AE9" s="260">
        <f t="shared" ca="1" si="9"/>
        <v>330391328.13140881</v>
      </c>
      <c r="AF9" s="260"/>
      <c r="AG9" s="260">
        <f t="shared" ca="1" si="34"/>
        <v>330391328.13140881</v>
      </c>
      <c r="AH9" s="260">
        <f>SUMIF('Monthly Data'!$B:$B,X9,'Monthly Data'!DL:DL)</f>
        <v>6533878.75</v>
      </c>
      <c r="AI9" s="260">
        <f t="shared" ca="1" si="35"/>
        <v>336925206.88140881</v>
      </c>
      <c r="AK9" s="258">
        <f t="shared" si="23"/>
        <v>2019</v>
      </c>
      <c r="AL9" s="260">
        <f>SUMIF('Monthly Data'!$B:$B,AK9,'Monthly Data'!Q:Q)</f>
        <v>76875274.273776412</v>
      </c>
      <c r="AM9" s="260">
        <f>SUMIF('Monthly Data'!$B:$B,AK9,'Monthly Data'!R:R)</f>
        <v>10267066.018426485</v>
      </c>
      <c r="AN9" s="260">
        <f t="shared" si="11"/>
        <v>87142340.29220289</v>
      </c>
      <c r="AO9" s="260"/>
      <c r="AP9" s="260">
        <f ca="1">SUMIF('GS 1k-4,999 Normalized Monthly'!$B:$B,X9,'GS 1k-4,999 Normalized Monthly'!$O:$O)</f>
        <v>90641164.123067081</v>
      </c>
      <c r="AQ9" s="260">
        <f t="shared" si="24"/>
        <v>10267066.018426485</v>
      </c>
      <c r="AR9" s="260">
        <f t="shared" ca="1" si="25"/>
        <v>80374098.104640603</v>
      </c>
      <c r="AS9" s="260"/>
      <c r="AT9" s="260">
        <f t="shared" ca="1" si="26"/>
        <v>80374098.104640603</v>
      </c>
      <c r="AV9" s="258">
        <f t="shared" si="27"/>
        <v>2019</v>
      </c>
      <c r="AW9" s="260">
        <f>SUMIF('Monthly Data'!$B:$B,AV9,'Monthly Data'!V:V)</f>
        <v>38878938</v>
      </c>
      <c r="AX9" s="260">
        <f>SUMIF('Monthly Data'!$B:$B,AV9,'Monthly Data'!W:W)</f>
        <v>278694.2333333334</v>
      </c>
      <c r="AY9" s="260">
        <f t="shared" si="12"/>
        <v>39157632.233333334</v>
      </c>
      <c r="AZ9" s="260"/>
      <c r="BA9" s="260">
        <f ca="1">SUMIF('Large Use Normalized Monthly'!$B:$B,AV9,'Large Use Normalized Monthly'!$U:$U)</f>
        <v>39421844.886398546</v>
      </c>
      <c r="BB9" s="260">
        <f t="shared" si="28"/>
        <v>278694.2333333334</v>
      </c>
      <c r="BC9" s="260">
        <f t="shared" ca="1" si="29"/>
        <v>39143150.653065212</v>
      </c>
      <c r="BD9" s="260"/>
      <c r="BE9" s="260">
        <f t="shared" ca="1" si="30"/>
        <v>39143150.653065212</v>
      </c>
      <c r="BG9" s="258">
        <f t="shared" si="31"/>
        <v>2019</v>
      </c>
      <c r="BH9" s="260">
        <f>SUMIF('Monthly Data'!$B:$B,BG9,'Monthly Data'!AA:AA)</f>
        <v>4294351.9999999991</v>
      </c>
      <c r="BI9" s="260">
        <f>'Customer Count'!W8</f>
        <v>13934</v>
      </c>
      <c r="BJ9" s="260">
        <f t="shared" si="13"/>
        <v>308.19233529496188</v>
      </c>
      <c r="BK9" s="260">
        <f t="shared" ref="BK9:BK14" si="36">BJ9*BI9</f>
        <v>4294351.9999999991</v>
      </c>
      <c r="BM9" s="258">
        <f t="shared" si="32"/>
        <v>2019</v>
      </c>
      <c r="BN9" s="260">
        <f>SUMIF('Monthly Data'!$B:$B,BM9,'Monthly Data'!AD:AD)</f>
        <v>25815.827469006294</v>
      </c>
      <c r="BO9" s="260">
        <f>'Customer Count'!AA8</f>
        <v>19</v>
      </c>
      <c r="BP9" s="260">
        <f t="shared" si="15"/>
        <v>1358.7277615266471</v>
      </c>
      <c r="BQ9" s="260">
        <f t="shared" si="16"/>
        <v>25815.827469006294</v>
      </c>
      <c r="BS9" s="258">
        <f t="shared" si="33"/>
        <v>2019</v>
      </c>
      <c r="BT9" s="260">
        <f>SUMIF('Monthly Data'!$B:$B,BS9,'Monthly Data'!AG:AG)</f>
        <v>2551978</v>
      </c>
      <c r="BU9" s="260">
        <f>'Customer Count'!AE8</f>
        <v>246.75</v>
      </c>
      <c r="BV9" s="260">
        <f t="shared" si="17"/>
        <v>10342.362715298885</v>
      </c>
      <c r="BW9" s="260">
        <f t="shared" si="18"/>
        <v>2551978</v>
      </c>
      <c r="CA9" s="231"/>
    </row>
    <row r="10" spans="2:79" x14ac:dyDescent="0.25">
      <c r="B10" s="258">
        <f t="shared" si="19"/>
        <v>2020</v>
      </c>
      <c r="C10" s="260">
        <f>SUMIF('Monthly Data'!$B:$B,B10,'Monthly Data'!D:D)</f>
        <v>515808015</v>
      </c>
      <c r="D10" s="260">
        <f>SUMIF('Monthly Data'!$B:$B,B10,'Monthly Data'!E:E)</f>
        <v>29230323.999999996</v>
      </c>
      <c r="E10" s="260">
        <f t="shared" si="0"/>
        <v>545038339</v>
      </c>
      <c r="F10" s="260"/>
      <c r="G10" s="260">
        <f ca="1">SUMIF('Res Normalized Monthly'!$B:$B,B10,'Res Normalized Monthly'!$O:$O)</f>
        <v>536193323.82045138</v>
      </c>
      <c r="H10" s="260">
        <f t="shared" si="1"/>
        <v>29230323.999999996</v>
      </c>
      <c r="I10" s="260">
        <f t="shared" ca="1" si="2"/>
        <v>506962999.82045138</v>
      </c>
      <c r="J10" s="260"/>
      <c r="K10" s="260">
        <f t="shared" ca="1" si="3"/>
        <v>506962999.82045138</v>
      </c>
      <c r="M10" s="258">
        <f t="shared" si="20"/>
        <v>2020</v>
      </c>
      <c r="N10" s="260">
        <f>SUMIF('Monthly Data'!$B:$B,M10,'Monthly Data'!H:H)</f>
        <v>115055107</v>
      </c>
      <c r="O10" s="260">
        <f>SUMIF('Monthly Data'!$B:$B,M10,'Monthly Data'!I:I)</f>
        <v>6585301.5072964681</v>
      </c>
      <c r="P10" s="260">
        <f t="shared" si="4"/>
        <v>121640408.50729647</v>
      </c>
      <c r="Q10" s="260"/>
      <c r="R10" s="260">
        <f ca="1">SUMIF('GS&lt;50 Normalized Monthly'!$B:$B,M10,'GS&lt;50 Normalized Monthly'!Q:$Q)</f>
        <v>125646211.44157562</v>
      </c>
      <c r="S10" s="260">
        <f t="shared" si="5"/>
        <v>6585301.5072964681</v>
      </c>
      <c r="T10" s="260">
        <f ca="1">R10-S10</f>
        <v>119060909.93427914</v>
      </c>
      <c r="U10" s="260"/>
      <c r="V10" s="260">
        <f t="shared" ca="1" si="6"/>
        <v>119060909.93427914</v>
      </c>
      <c r="X10" s="258">
        <f t="shared" si="22"/>
        <v>2020</v>
      </c>
      <c r="Y10" s="260">
        <f>SUMIF('Monthly Data'!$B:$B,X10,'Monthly Data'!L:L)</f>
        <v>304515885.12731272</v>
      </c>
      <c r="Z10" s="260">
        <f>SUMIF('Monthly Data'!$B:$B,X10,'Monthly Data'!M:M)</f>
        <v>7784984.8386269622</v>
      </c>
      <c r="AA10" s="260">
        <f t="shared" si="7"/>
        <v>312300869.9659397</v>
      </c>
      <c r="AB10" s="260"/>
      <c r="AC10" s="260">
        <f ca="1">SUMIF('GS 50-999 Normalized Monthly'!$B:$B,X10,'GS 50-999 Normalized Monthly'!$Q:$Q)</f>
        <v>318734741.37941402</v>
      </c>
      <c r="AD10" s="260">
        <f t="shared" si="8"/>
        <v>7784984.8386269622</v>
      </c>
      <c r="AE10" s="260">
        <f t="shared" ca="1" si="9"/>
        <v>310949756.54078704</v>
      </c>
      <c r="AF10" s="260"/>
      <c r="AG10" s="260">
        <f t="shared" ca="1" si="34"/>
        <v>310949756.54078704</v>
      </c>
      <c r="AH10" s="260">
        <f>SUMIF('Monthly Data'!$B:$B,X10,'Monthly Data'!DL:DL)</f>
        <v>6595333.6099999994</v>
      </c>
      <c r="AI10" s="260">
        <f t="shared" ca="1" si="35"/>
        <v>317545090.15078706</v>
      </c>
      <c r="AK10" s="258">
        <f t="shared" si="23"/>
        <v>2020</v>
      </c>
      <c r="AL10" s="260">
        <f>SUMIF('Monthly Data'!$B:$B,AK10,'Monthly Data'!Q:Q)</f>
        <v>70871831.87268728</v>
      </c>
      <c r="AM10" s="260">
        <f>SUMIF('Monthly Data'!$B:$B,AK10,'Monthly Data'!R:R)</f>
        <v>10266934.348426484</v>
      </c>
      <c r="AN10" s="260">
        <f t="shared" si="11"/>
        <v>81138766.221113771</v>
      </c>
      <c r="AO10" s="260"/>
      <c r="AP10" s="260">
        <f ca="1">SUMIF('GS 1k-4,999 Normalized Monthly'!$B:$B,X10,'GS 1k-4,999 Normalized Monthly'!$O:$O)</f>
        <v>81237242.400108725</v>
      </c>
      <c r="AQ10" s="260">
        <f t="shared" si="24"/>
        <v>10266934.348426484</v>
      </c>
      <c r="AR10" s="260">
        <f t="shared" ca="1" si="25"/>
        <v>70970308.051682234</v>
      </c>
      <c r="AS10" s="260"/>
      <c r="AT10" s="260">
        <f t="shared" ca="1" si="26"/>
        <v>70970308.051682234</v>
      </c>
      <c r="AV10" s="258">
        <f t="shared" si="27"/>
        <v>2020</v>
      </c>
      <c r="AW10" s="260">
        <f>SUMIF('Monthly Data'!$B:$B,AV10,'Monthly Data'!V:V)</f>
        <v>30798516</v>
      </c>
      <c r="AX10" s="260">
        <f>SUMIF('Monthly Data'!$B:$B,AV10,'Monthly Data'!W:W)</f>
        <v>278474.34999999998</v>
      </c>
      <c r="AY10" s="260">
        <f t="shared" si="12"/>
        <v>31076990.350000001</v>
      </c>
      <c r="AZ10" s="260"/>
      <c r="BA10" s="260">
        <f ca="1">SUMIF('Large Use Normalized Monthly'!$B:$B,AV10,'Large Use Normalized Monthly'!$U:$U)</f>
        <v>34772652.889770009</v>
      </c>
      <c r="BB10" s="260">
        <f t="shared" si="28"/>
        <v>278474.34999999998</v>
      </c>
      <c r="BC10" s="260">
        <f t="shared" ca="1" si="29"/>
        <v>34494178.539770007</v>
      </c>
      <c r="BD10" s="260"/>
      <c r="BE10" s="260">
        <f t="shared" ca="1" si="30"/>
        <v>34494178.539770007</v>
      </c>
      <c r="BG10" s="258">
        <f t="shared" si="31"/>
        <v>2020</v>
      </c>
      <c r="BH10" s="260">
        <f>SUMIF('Monthly Data'!$B:$B,BG10,'Monthly Data'!AA:AA)</f>
        <v>4357194.0000000009</v>
      </c>
      <c r="BI10" s="260">
        <f>'Customer Count'!W9</f>
        <v>13979.416666666666</v>
      </c>
      <c r="BJ10" s="260">
        <f t="shared" si="13"/>
        <v>311.68639607041314</v>
      </c>
      <c r="BK10" s="260">
        <f t="shared" si="36"/>
        <v>4357194.0000000009</v>
      </c>
      <c r="BM10" s="258">
        <f t="shared" si="32"/>
        <v>2020</v>
      </c>
      <c r="BN10" s="260">
        <f>SUMIF('Monthly Data'!$B:$B,BM10,'Monthly Data'!AD:AD)</f>
        <v>26988.839999999997</v>
      </c>
      <c r="BO10" s="260">
        <f>'Customer Count'!AA9</f>
        <v>19</v>
      </c>
      <c r="BP10" s="260">
        <f t="shared" si="15"/>
        <v>1420.4652631578945</v>
      </c>
      <c r="BQ10" s="260">
        <f t="shared" si="16"/>
        <v>26988.839999999997</v>
      </c>
      <c r="BS10" s="258">
        <f t="shared" si="33"/>
        <v>2020</v>
      </c>
      <c r="BT10" s="260">
        <f>SUMIF('Monthly Data'!$B:$B,BS10,'Monthly Data'!AG:AG)</f>
        <v>2565642</v>
      </c>
      <c r="BU10" s="260">
        <f>'Customer Count'!AE9</f>
        <v>253.16666666666666</v>
      </c>
      <c r="BV10" s="260">
        <f t="shared" si="17"/>
        <v>10134.201448321264</v>
      </c>
      <c r="BW10" s="260">
        <f t="shared" si="18"/>
        <v>2565642</v>
      </c>
      <c r="CA10" s="231"/>
    </row>
    <row r="11" spans="2:79" x14ac:dyDescent="0.25">
      <c r="B11" s="258">
        <f t="shared" si="19"/>
        <v>2021</v>
      </c>
      <c r="C11" s="260">
        <f>SUMIF('Monthly Data'!$B:$B,B11,'Monthly Data'!D:D)</f>
        <v>512708990.99999994</v>
      </c>
      <c r="D11" s="260">
        <f ca="1">SUMIF('Monthly Data'!$B:$B,B11,'Monthly Data'!E:E)</f>
        <v>29325549.003924958</v>
      </c>
      <c r="E11" s="260">
        <f t="shared" ca="1" si="0"/>
        <v>542034540.00392485</v>
      </c>
      <c r="F11" s="8"/>
      <c r="G11" s="260">
        <f ca="1">SUMIF('Res Normalized Monthly'!$B:$B,B11,'Res Normalized Monthly'!$O:$O)</f>
        <v>541974394.51871467</v>
      </c>
      <c r="H11" s="260">
        <f t="shared" ca="1" si="1"/>
        <v>29325549.003924958</v>
      </c>
      <c r="I11" s="260">
        <f t="shared" ca="1" si="2"/>
        <v>512648845.5147897</v>
      </c>
      <c r="J11" s="260"/>
      <c r="K11" s="260">
        <f t="shared" ca="1" si="3"/>
        <v>512648845.5147897</v>
      </c>
      <c r="M11" s="258">
        <f t="shared" si="20"/>
        <v>2021</v>
      </c>
      <c r="N11" s="260">
        <f>SUMIF('Monthly Data'!$B:$B,M11,'Monthly Data'!H:H)</f>
        <v>119245755.00000001</v>
      </c>
      <c r="O11" s="260">
        <f ca="1">SUMIF('Monthly Data'!$B:$B,M11,'Monthly Data'!I:I)</f>
        <v>6868617.9604984438</v>
      </c>
      <c r="P11" s="260">
        <f t="shared" ca="1" si="4"/>
        <v>126114372.96049845</v>
      </c>
      <c r="Q11" s="8"/>
      <c r="R11" s="260">
        <f ca="1">SUMIF('GS&lt;50 Normalized Monthly'!$B:$B,M11,'GS&lt;50 Normalized Monthly'!Q:$Q)</f>
        <v>126461527.45756</v>
      </c>
      <c r="S11" s="260">
        <f t="shared" ca="1" si="5"/>
        <v>6868617.9604984438</v>
      </c>
      <c r="T11" s="260">
        <f ca="1">R11-S11</f>
        <v>119592909.49706157</v>
      </c>
      <c r="U11" s="260"/>
      <c r="V11" s="260">
        <f t="shared" ca="1" si="6"/>
        <v>119592909.49706157</v>
      </c>
      <c r="X11" s="258">
        <f t="shared" si="22"/>
        <v>2021</v>
      </c>
      <c r="Y11" s="260">
        <f>SUMIF('Monthly Data'!$B:$B,X11,'Monthly Data'!L:L)</f>
        <v>310470030.40933514</v>
      </c>
      <c r="Z11" s="260">
        <f ca="1">SUMIF('Monthly Data'!$B:$B,X11,'Monthly Data'!M:M)</f>
        <v>8636151.9035762586</v>
      </c>
      <c r="AA11" s="260">
        <f t="shared" ca="1" si="7"/>
        <v>319106182.31291139</v>
      </c>
      <c r="AB11" s="8"/>
      <c r="AC11" s="260">
        <f ca="1">SUMIF('GS 50-999 Normalized Monthly'!$B:$B,X11,'GS 50-999 Normalized Monthly'!$Q:$Q)</f>
        <v>321958005.70490837</v>
      </c>
      <c r="AD11" s="260">
        <f t="shared" ca="1" si="8"/>
        <v>8636151.9035762586</v>
      </c>
      <c r="AE11" s="260">
        <f t="shared" ca="1" si="9"/>
        <v>313321853.80133212</v>
      </c>
      <c r="AF11" s="260"/>
      <c r="AG11" s="260">
        <f t="shared" ca="1" si="34"/>
        <v>313321853.80133212</v>
      </c>
      <c r="AH11" s="260">
        <f>SUMIF('Monthly Data'!$B:$B,X11,'Monthly Data'!DL:DL)</f>
        <v>6438735.9900000002</v>
      </c>
      <c r="AI11" s="260">
        <f t="shared" ca="1" si="35"/>
        <v>319760589.79133213</v>
      </c>
      <c r="AK11" s="258">
        <f t="shared" si="23"/>
        <v>2021</v>
      </c>
      <c r="AL11" s="260">
        <f>SUMIF('Monthly Data'!$B:$B,AK11,'Monthly Data'!Q:Q)</f>
        <v>70260671.590664953</v>
      </c>
      <c r="AM11" s="260">
        <f ca="1">SUMIF('Monthly Data'!$B:$B,AK11,'Monthly Data'!R:R)</f>
        <v>10396469.648205366</v>
      </c>
      <c r="AN11" s="260">
        <f t="shared" ca="1" si="11"/>
        <v>80657141.238870323</v>
      </c>
      <c r="AO11" s="260"/>
      <c r="AP11" s="260">
        <f ca="1">SUMIF('GS 1k-4,999 Normalized Monthly'!$B:$B,X11,'GS 1k-4,999 Normalized Monthly'!$O:$O)</f>
        <v>81791450.088514701</v>
      </c>
      <c r="AQ11" s="260">
        <f t="shared" ca="1" si="24"/>
        <v>10396469.648205366</v>
      </c>
      <c r="AR11" s="260">
        <f t="shared" ca="1" si="25"/>
        <v>71394980.440309331</v>
      </c>
      <c r="AS11" s="260"/>
      <c r="AT11" s="260">
        <f t="shared" ca="1" si="26"/>
        <v>71394980.440309331</v>
      </c>
      <c r="AV11" s="258">
        <f t="shared" si="27"/>
        <v>2021</v>
      </c>
      <c r="AW11" s="260">
        <f>SUMIF('Monthly Data'!$B:$B,AV11,'Monthly Data'!V:V)</f>
        <v>36146632</v>
      </c>
      <c r="AX11" s="260">
        <f ca="1">SUMIF('Monthly Data'!$B:$B,AV11,'Monthly Data'!W:W)</f>
        <v>323627.69424030435</v>
      </c>
      <c r="AY11" s="260">
        <f t="shared" ca="1" si="12"/>
        <v>36470259.694240302</v>
      </c>
      <c r="AZ11" s="260"/>
      <c r="BA11" s="260">
        <f ca="1">SUMIF('Large Use Normalized Monthly'!$B:$B,AV11,'Large Use Normalized Monthly'!$U:$U)</f>
        <v>34651140.000258423</v>
      </c>
      <c r="BB11" s="260">
        <f t="shared" ca="1" si="28"/>
        <v>323627.69424030435</v>
      </c>
      <c r="BC11" s="260">
        <f t="shared" ca="1" si="29"/>
        <v>34327512.306018122</v>
      </c>
      <c r="BD11" s="260"/>
      <c r="BE11" s="260">
        <f t="shared" ca="1" si="30"/>
        <v>34327512.306018122</v>
      </c>
      <c r="BG11" s="258">
        <f t="shared" si="31"/>
        <v>2021</v>
      </c>
      <c r="BH11" s="260">
        <f>SUMIF('Monthly Data'!$B:$B,BG11,'Monthly Data'!AA:AA)</f>
        <v>4352366.9999999981</v>
      </c>
      <c r="BI11" s="260">
        <f>'Customer Count'!W10</f>
        <v>14037.833333333334</v>
      </c>
      <c r="BJ11" s="260">
        <f t="shared" si="13"/>
        <v>310.0454960998253</v>
      </c>
      <c r="BK11" s="260">
        <f t="shared" si="36"/>
        <v>4352366.9999999981</v>
      </c>
      <c r="BM11" s="258">
        <f t="shared" si="32"/>
        <v>2021</v>
      </c>
      <c r="BN11" s="260">
        <f>SUMIF('Monthly Data'!$B:$B,BM11,'Monthly Data'!AD:AD)</f>
        <v>26915.1</v>
      </c>
      <c r="BO11" s="260">
        <f>'Customer Count'!AA10</f>
        <v>19</v>
      </c>
      <c r="BP11" s="260">
        <f t="shared" si="15"/>
        <v>1416.5842105263157</v>
      </c>
      <c r="BQ11" s="260">
        <f t="shared" si="16"/>
        <v>26915.1</v>
      </c>
      <c r="BS11" s="258">
        <f t="shared" si="33"/>
        <v>2021</v>
      </c>
      <c r="BT11" s="260">
        <f>SUMIF('Monthly Data'!$B:$B,BS11,'Monthly Data'!AG:AG)</f>
        <v>2615361</v>
      </c>
      <c r="BU11" s="260">
        <f>'Customer Count'!AE10</f>
        <v>251.41666666666666</v>
      </c>
      <c r="BV11" s="260">
        <f t="shared" si="17"/>
        <v>10402.496519721579</v>
      </c>
      <c r="BW11" s="260">
        <f t="shared" si="18"/>
        <v>2615361</v>
      </c>
      <c r="CA11" s="231"/>
    </row>
    <row r="12" spans="2:79" x14ac:dyDescent="0.25">
      <c r="B12" s="258">
        <f t="shared" si="19"/>
        <v>2022</v>
      </c>
      <c r="C12" s="260">
        <f>SUMIF('Monthly Data'!$B:$B,B12,'Monthly Data'!D:D)</f>
        <v>507634502.00000006</v>
      </c>
      <c r="D12" s="260">
        <f ca="1">SUMIF('Monthly Data'!$B:$B,B12,'Monthly Data'!E:E)</f>
        <v>29500616.951188017</v>
      </c>
      <c r="E12" s="260">
        <f t="shared" ca="1" si="0"/>
        <v>537135118.95118809</v>
      </c>
      <c r="F12" s="8"/>
      <c r="G12" s="260">
        <f ca="1">SUMIF('Res Normalized Monthly'!$B:$B,B12,'Res Normalized Monthly'!$O:$O)</f>
        <v>545859488.20181513</v>
      </c>
      <c r="H12" s="260">
        <f t="shared" ca="1" si="1"/>
        <v>29500616.951188017</v>
      </c>
      <c r="I12" s="260">
        <f t="shared" ca="1" si="2"/>
        <v>516358871.2506271</v>
      </c>
      <c r="J12" s="260"/>
      <c r="K12" s="260">
        <f t="shared" ca="1" si="3"/>
        <v>516358871.2506271</v>
      </c>
      <c r="M12" s="258">
        <f t="shared" si="20"/>
        <v>2022</v>
      </c>
      <c r="N12" s="260">
        <f>SUMIF('Monthly Data'!$B:$B,M12,'Monthly Data'!H:H)</f>
        <v>126198741.00000001</v>
      </c>
      <c r="O12" s="260">
        <f ca="1">SUMIF('Monthly Data'!$B:$B,M12,'Monthly Data'!I:I)</f>
        <v>8005623.6327129779</v>
      </c>
      <c r="P12" s="260">
        <f t="shared" ca="1" si="4"/>
        <v>134204364.63271299</v>
      </c>
      <c r="Q12" s="8"/>
      <c r="R12" s="260">
        <f ca="1">SUMIF('GS&lt;50 Normalized Monthly'!$B:$B,M12,'GS&lt;50 Normalized Monthly'!Q:$Q)</f>
        <v>131768877.26448224</v>
      </c>
      <c r="S12" s="260">
        <f t="shared" ca="1" si="5"/>
        <v>8005623.6327129779</v>
      </c>
      <c r="T12" s="260">
        <f ca="1">R12-S12</f>
        <v>123763253.63176927</v>
      </c>
      <c r="U12" s="260"/>
      <c r="V12" s="260">
        <f t="shared" ca="1" si="6"/>
        <v>123763253.63176927</v>
      </c>
      <c r="X12" s="258">
        <f t="shared" si="22"/>
        <v>2022</v>
      </c>
      <c r="Y12" s="260">
        <f>SUMIF('Monthly Data'!$B:$B,X12,'Monthly Data'!L:L)</f>
        <v>342060680.01827008</v>
      </c>
      <c r="Z12" s="260">
        <f ca="1">SUMIF('Monthly Data'!$B:$B,X12,'Monthly Data'!M:M)</f>
        <v>10681542.257982444</v>
      </c>
      <c r="AA12" s="260">
        <f t="shared" ca="1" si="7"/>
        <v>352742222.27625251</v>
      </c>
      <c r="AB12" s="8"/>
      <c r="AC12" s="260">
        <f ca="1">SUMIF('GS 50-999 Normalized Monthly'!$B:$B,X12,'GS 50-999 Normalized Monthly'!$Q:$Q)</f>
        <v>333281601.54866946</v>
      </c>
      <c r="AD12" s="260">
        <f t="shared" ca="1" si="8"/>
        <v>10681542.257982444</v>
      </c>
      <c r="AE12" s="260">
        <f t="shared" ca="1" si="9"/>
        <v>322600059.29068702</v>
      </c>
      <c r="AF12" s="260"/>
      <c r="AG12" s="260">
        <f t="shared" ca="1" si="34"/>
        <v>322600059.29068702</v>
      </c>
      <c r="AH12" s="260">
        <f>SUMIF('Monthly Data'!$B:$B,X12,'Monthly Data'!DL:DL)</f>
        <v>6436207.1599999992</v>
      </c>
      <c r="AI12" s="260">
        <f t="shared" ca="1" si="35"/>
        <v>329036266.45068705</v>
      </c>
      <c r="AK12" s="258">
        <f t="shared" si="23"/>
        <v>2022</v>
      </c>
      <c r="AL12" s="260">
        <f>SUMIF('Monthly Data'!$B:$B,AK12,'Monthly Data'!Q:Q)</f>
        <v>81816679.460561812</v>
      </c>
      <c r="AM12" s="260">
        <f ca="1">SUMIF('Monthly Data'!$B:$B,AK12,'Monthly Data'!R:R)</f>
        <v>10770035.63865887</v>
      </c>
      <c r="AN12" s="260">
        <f t="shared" ca="1" si="11"/>
        <v>92586715.099220678</v>
      </c>
      <c r="AO12" s="260"/>
      <c r="AP12" s="260">
        <f ca="1">SUMIF('GS 1k-4,999 Normalized Monthly'!$B:$B,X12,'GS 1k-4,999 Normalized Monthly'!$O:$O)</f>
        <v>88005937.557263196</v>
      </c>
      <c r="AQ12" s="260">
        <f t="shared" ca="1" si="24"/>
        <v>10770035.63865887</v>
      </c>
      <c r="AR12" s="260">
        <f t="shared" ca="1" si="25"/>
        <v>77235901.918604329</v>
      </c>
      <c r="AS12" s="260"/>
      <c r="AT12" s="260">
        <f t="shared" ca="1" si="26"/>
        <v>77235901.918604329</v>
      </c>
      <c r="AV12" s="258">
        <f t="shared" si="27"/>
        <v>2022</v>
      </c>
      <c r="AW12" s="260">
        <f>SUMIF('Monthly Data'!$B:$B,AV12,'Monthly Data'!V:V)</f>
        <v>33850160</v>
      </c>
      <c r="AX12" s="260">
        <f ca="1">SUMIF('Monthly Data'!$B:$B,AV12,'Monthly Data'!W:W)</f>
        <v>414744.45476607588</v>
      </c>
      <c r="AY12" s="260">
        <f t="shared" ca="1" si="12"/>
        <v>34264904.454766072</v>
      </c>
      <c r="AZ12" s="260"/>
      <c r="BA12" s="260">
        <f ca="1">SUMIF('Large Use Normalized Monthly'!$B:$B,AV12,'Large Use Normalized Monthly'!$U:$U)</f>
        <v>36117300.378154024</v>
      </c>
      <c r="BB12" s="260">
        <f t="shared" ca="1" si="28"/>
        <v>414744.45476607588</v>
      </c>
      <c r="BC12" s="260">
        <f t="shared" ca="1" si="29"/>
        <v>35702555.923387952</v>
      </c>
      <c r="BD12" s="260"/>
      <c r="BE12" s="260">
        <f t="shared" ca="1" si="30"/>
        <v>35702555.923387952</v>
      </c>
      <c r="BG12" s="258">
        <f t="shared" si="31"/>
        <v>2022</v>
      </c>
      <c r="BH12" s="260">
        <f>SUMIF('Monthly Data'!$B:$B,BG12,'Monthly Data'!AA:AA)</f>
        <v>4432743</v>
      </c>
      <c r="BI12" s="260">
        <f>'Customer Count'!W11</f>
        <v>14204</v>
      </c>
      <c r="BJ12" s="260">
        <f t="shared" si="13"/>
        <v>312.07709096029288</v>
      </c>
      <c r="BK12" s="260">
        <f t="shared" si="36"/>
        <v>4432743</v>
      </c>
      <c r="BM12" s="258">
        <f t="shared" si="32"/>
        <v>2022</v>
      </c>
      <c r="BN12" s="260">
        <f>SUMIF('Monthly Data'!$B:$B,BM12,'Monthly Data'!AD:AD)</f>
        <v>26915.1</v>
      </c>
      <c r="BO12" s="260">
        <f>'Customer Count'!AA11</f>
        <v>19</v>
      </c>
      <c r="BP12" s="260">
        <f t="shared" si="15"/>
        <v>1416.5842105263157</v>
      </c>
      <c r="BQ12" s="260">
        <f t="shared" si="16"/>
        <v>26915.1</v>
      </c>
      <c r="BS12" s="258">
        <f t="shared" si="33"/>
        <v>2022</v>
      </c>
      <c r="BT12" s="260">
        <f>SUMIF('Monthly Data'!$B:$B,BS12,'Monthly Data'!AG:AG)</f>
        <v>2750057</v>
      </c>
      <c r="BU12" s="260">
        <f>'Customer Count'!AE11</f>
        <v>252.66666666666666</v>
      </c>
      <c r="BV12" s="260">
        <f t="shared" si="17"/>
        <v>10884.130606860159</v>
      </c>
      <c r="BW12" s="260">
        <f t="shared" si="18"/>
        <v>2750057</v>
      </c>
      <c r="CA12" s="231"/>
    </row>
    <row r="13" spans="2:79" x14ac:dyDescent="0.25">
      <c r="B13" s="258">
        <f t="shared" si="19"/>
        <v>2023</v>
      </c>
      <c r="C13" s="260">
        <f>SUMIF('Monthly Data'!$B:$B,B13,'Monthly Data'!D:D)</f>
        <v>515036055.76324266</v>
      </c>
      <c r="D13" s="260">
        <f ca="1">SUMIF('Monthly Data'!$B:$B,B13,'Monthly Data'!E:E)</f>
        <v>29653776.32883602</v>
      </c>
      <c r="E13" s="260">
        <f t="shared" ca="1" si="0"/>
        <v>544689832.09207869</v>
      </c>
      <c r="F13" s="260"/>
      <c r="G13" s="260">
        <f ca="1">SUMIF('Res Normalized Monthly'!$B:$B,B13,'Res Normalized Monthly'!$O:$O)</f>
        <v>551146004.63135195</v>
      </c>
      <c r="H13" s="260">
        <f t="shared" ca="1" si="1"/>
        <v>29653776.32883602</v>
      </c>
      <c r="I13" s="260">
        <f t="shared" ca="1" si="2"/>
        <v>521492228.30251592</v>
      </c>
      <c r="J13" s="260"/>
      <c r="K13" s="260">
        <f t="shared" ca="1" si="3"/>
        <v>521492228.30251592</v>
      </c>
      <c r="M13" s="258">
        <f t="shared" si="20"/>
        <v>2023</v>
      </c>
      <c r="N13" s="260">
        <f>SUMIF('Monthly Data'!$B:$B,M13,'Monthly Data'!H:H)</f>
        <v>126694932.13</v>
      </c>
      <c r="O13" s="260">
        <f ca="1">SUMIF('Monthly Data'!$B:$B,M13,'Monthly Data'!I:I)</f>
        <v>8942512.5232708063</v>
      </c>
      <c r="P13" s="260">
        <f t="shared" ca="1" si="4"/>
        <v>135637444.65327081</v>
      </c>
      <c r="Q13" s="260"/>
      <c r="R13" s="260">
        <f ca="1">SUMIF('GS&lt;50 Normalized Monthly'!$B:$B,M13,'GS&lt;50 Normalized Monthly'!Q:$Q)</f>
        <v>138077055.20041618</v>
      </c>
      <c r="S13" s="260">
        <f t="shared" ca="1" si="5"/>
        <v>8942512.5232708063</v>
      </c>
      <c r="T13" s="260">
        <f ca="1">R13-S13</f>
        <v>129134542.67714538</v>
      </c>
      <c r="U13" s="260"/>
      <c r="V13" s="260">
        <f t="shared" ca="1" si="6"/>
        <v>129134542.67714538</v>
      </c>
      <c r="X13" s="258">
        <f t="shared" si="22"/>
        <v>2023</v>
      </c>
      <c r="Y13" s="260">
        <f>SUMIF('Monthly Data'!$B:$B,X13,'Monthly Data'!L:L)</f>
        <v>321367374.95395875</v>
      </c>
      <c r="Z13" s="260">
        <f ca="1">SUMIF('Monthly Data'!$B:$B,X13,'Monthly Data'!M:M)</f>
        <v>12477506.8221408</v>
      </c>
      <c r="AA13" s="260">
        <f t="shared" ca="1" si="7"/>
        <v>333844881.77609956</v>
      </c>
      <c r="AB13" s="260"/>
      <c r="AC13" s="260">
        <f ca="1">SUMIF('GS 50-999 Normalized Monthly'!$B:$B,X13,'GS 50-999 Normalized Monthly'!$Q:$Q)</f>
        <v>343114337.04016</v>
      </c>
      <c r="AD13" s="260">
        <f t="shared" ca="1" si="8"/>
        <v>12477506.8221408</v>
      </c>
      <c r="AE13" s="260">
        <f t="shared" ca="1" si="9"/>
        <v>330636830.21801919</v>
      </c>
      <c r="AF13" s="260"/>
      <c r="AG13" s="260">
        <f t="shared" ca="1" si="34"/>
        <v>330636830.21801919</v>
      </c>
      <c r="AH13" s="260">
        <f>SUMIF('Monthly Data'!$B:$B,X13,'Monthly Data'!DL:DL)</f>
        <v>6210683.4100000001</v>
      </c>
      <c r="AI13" s="260">
        <f t="shared" ca="1" si="35"/>
        <v>336847513.62801921</v>
      </c>
      <c r="AK13" s="258">
        <f t="shared" si="23"/>
        <v>2023</v>
      </c>
      <c r="AL13" s="260">
        <f>SUMIF('Monthly Data'!$B:$B,AK13,'Monthly Data'!Q:Q)</f>
        <v>77073500.362002477</v>
      </c>
      <c r="AM13" s="260">
        <f ca="1">SUMIF('Monthly Data'!$B:$B,AK13,'Monthly Data'!R:R)</f>
        <v>11315787.568566125</v>
      </c>
      <c r="AN13" s="260">
        <f t="shared" ca="1" si="11"/>
        <v>88389287.930568606</v>
      </c>
      <c r="AO13" s="260"/>
      <c r="AP13" s="260">
        <f ca="1">SUMIF('GS 1k-4,999 Normalized Monthly'!$B:$B,X13,'GS 1k-4,999 Normalized Monthly'!$O:$O)</f>
        <v>91879548.942518219</v>
      </c>
      <c r="AQ13" s="260">
        <f t="shared" ca="1" si="24"/>
        <v>11315787.568566125</v>
      </c>
      <c r="AR13" s="260">
        <f t="shared" ca="1" si="25"/>
        <v>80563761.373952091</v>
      </c>
      <c r="AS13" s="260"/>
      <c r="AT13" s="260">
        <f t="shared" ca="1" si="26"/>
        <v>80563761.373952091</v>
      </c>
      <c r="AV13" s="258">
        <f t="shared" si="27"/>
        <v>2023</v>
      </c>
      <c r="AW13" s="260">
        <f>SUMIF('Monthly Data'!$B:$B,AV13,'Monthly Data'!V:V)</f>
        <v>33850160.000000007</v>
      </c>
      <c r="AX13" s="260">
        <f ca="1">SUMIF('Monthly Data'!$B:$B,AV13,'Monthly Data'!W:W)</f>
        <v>517198.52568385785</v>
      </c>
      <c r="AY13" s="260">
        <f t="shared" ca="1" si="12"/>
        <v>34367358.525683865</v>
      </c>
      <c r="AZ13" s="260"/>
      <c r="BA13" s="260">
        <f ca="1">SUMIF('Large Use Normalized Monthly'!$B:$B,AV13,'Large Use Normalized Monthly'!$U:$U)</f>
        <v>37790092.508940101</v>
      </c>
      <c r="BB13" s="260">
        <f t="shared" ca="1" si="28"/>
        <v>517198.52568385785</v>
      </c>
      <c r="BC13" s="260">
        <f t="shared" ca="1" si="29"/>
        <v>37272893.983256243</v>
      </c>
      <c r="BD13" s="260"/>
      <c r="BE13" s="260">
        <f t="shared" ca="1" si="30"/>
        <v>37272893.983256243</v>
      </c>
      <c r="BG13" s="258">
        <f t="shared" si="31"/>
        <v>2023</v>
      </c>
      <c r="BH13" s="260">
        <f>SUMIF('Monthly Data'!$B:$B,BG13,'Monthly Data'!AA:AA)</f>
        <v>4495190.04</v>
      </c>
      <c r="BI13" s="260">
        <f>'Customer Count'!W12</f>
        <v>14384.333333333334</v>
      </c>
      <c r="BJ13" s="260">
        <f t="shared" si="13"/>
        <v>312.50596992097883</v>
      </c>
      <c r="BK13" s="260">
        <f t="shared" si="36"/>
        <v>4495190.04</v>
      </c>
      <c r="BM13" s="258">
        <f t="shared" si="32"/>
        <v>2023</v>
      </c>
      <c r="BN13" s="260">
        <f>SUMIF('Monthly Data'!$B:$B,BM13,'Monthly Data'!AD:AD)</f>
        <v>26915.1</v>
      </c>
      <c r="BO13" s="260">
        <f>'Customer Count'!AA12</f>
        <v>19</v>
      </c>
      <c r="BP13" s="260">
        <f t="shared" si="15"/>
        <v>1416.5842105263157</v>
      </c>
      <c r="BQ13" s="260">
        <f t="shared" si="16"/>
        <v>26915.1</v>
      </c>
      <c r="BS13" s="258">
        <f t="shared" si="33"/>
        <v>2023</v>
      </c>
      <c r="BT13" s="260">
        <f>SUMIF('Monthly Data'!$B:$B,BS13,'Monthly Data'!AG:AG)</f>
        <v>2811443</v>
      </c>
      <c r="BU13" s="260">
        <f>'Customer Count'!AE12</f>
        <v>259.25</v>
      </c>
      <c r="BV13" s="260">
        <f t="shared" si="17"/>
        <v>10844.524590163934</v>
      </c>
      <c r="BW13" s="260">
        <f t="shared" si="18"/>
        <v>2811443</v>
      </c>
      <c r="CA13" s="231"/>
    </row>
    <row r="14" spans="2:79" s="244" customFormat="1" x14ac:dyDescent="0.25">
      <c r="B14" s="258">
        <f t="shared" si="19"/>
        <v>2024</v>
      </c>
      <c r="C14" s="260">
        <f>SUMIF('Monthly Data'!$B:$B,B14,'Monthly Data'!D:D)</f>
        <v>521985566.99999994</v>
      </c>
      <c r="D14" s="260">
        <f ca="1">SUMIF('Monthly Data'!$B:$B,B14,'Monthly Data'!E:E)</f>
        <v>30767232.034155205</v>
      </c>
      <c r="E14" s="260">
        <f t="shared" ca="1" si="0"/>
        <v>552752799.03415513</v>
      </c>
      <c r="F14" s="8"/>
      <c r="G14" s="260">
        <f ca="1">SUMIF('Res Normalized Monthly'!$B:$B,B14,'Res Normalized Monthly'!$O:$O)</f>
        <v>560569549.19384456</v>
      </c>
      <c r="H14" s="260">
        <f t="shared" ca="1" si="1"/>
        <v>30767232.034155205</v>
      </c>
      <c r="I14" s="260">
        <f t="shared" ca="1" si="2"/>
        <v>529802317.15968937</v>
      </c>
      <c r="J14" s="260"/>
      <c r="K14" s="260">
        <f ca="1">I14+J14</f>
        <v>529802317.15968937</v>
      </c>
      <c r="M14" s="258">
        <f t="shared" si="20"/>
        <v>2024</v>
      </c>
      <c r="N14" s="260">
        <f>SUMIF('Monthly Data'!$B:$B,M14,'Monthly Data'!H:H)</f>
        <v>131348675</v>
      </c>
      <c r="O14" s="260">
        <f ca="1">SUMIF('Monthly Data'!$B:$B,M14,'Monthly Data'!I:I)</f>
        <v>9978626.72635502</v>
      </c>
      <c r="P14" s="260">
        <f t="shared" ca="1" si="4"/>
        <v>141327301.72635502</v>
      </c>
      <c r="Q14" s="260"/>
      <c r="R14" s="260">
        <f ca="1">SUMIF('GS&lt;50 Normalized Monthly'!$B:$B,M14,'GS&lt;50 Normalized Monthly'!Q:$Q)</f>
        <v>138963755.40990922</v>
      </c>
      <c r="S14" s="260">
        <f t="shared" ca="1" si="5"/>
        <v>9978626.72635502</v>
      </c>
      <c r="T14" s="260">
        <f ca="1">R14-S14</f>
        <v>128985128.6835542</v>
      </c>
      <c r="U14" s="260"/>
      <c r="V14" s="260">
        <f ca="1">T14+U14</f>
        <v>128985128.6835542</v>
      </c>
      <c r="W14" s="1"/>
      <c r="X14" s="258">
        <f t="shared" si="22"/>
        <v>2024</v>
      </c>
      <c r="Y14" s="260">
        <f>SUMIF('Monthly Data'!$B:$B,X14,'Monthly Data'!L:L)</f>
        <v>316661892.99999994</v>
      </c>
      <c r="Z14" s="260">
        <f ca="1">SUMIF('Monthly Data'!$B:$B,X14,'Monthly Data'!M:M)</f>
        <v>14195316.037998686</v>
      </c>
      <c r="AA14" s="260">
        <f t="shared" ca="1" si="7"/>
        <v>330857209.03799862</v>
      </c>
      <c r="AB14" s="260"/>
      <c r="AC14" s="260">
        <f ca="1">SUMIF('GS 50-999 Normalized Monthly'!$B:$B,X14,'GS 50-999 Normalized Monthly'!$Q:$Q)</f>
        <v>344863389.29040772</v>
      </c>
      <c r="AD14" s="260">
        <f t="shared" ca="1" si="8"/>
        <v>14195316.037998686</v>
      </c>
      <c r="AE14" s="260">
        <f t="shared" ca="1" si="9"/>
        <v>330668073.25240904</v>
      </c>
      <c r="AF14" s="260"/>
      <c r="AG14" s="260">
        <f t="shared" ca="1" si="34"/>
        <v>330668073.25240904</v>
      </c>
      <c r="AH14" s="260">
        <f>SUMIF('Monthly Data'!$B:$B,X14,'Monthly Data'!DL:DL)</f>
        <v>6210989.5600000005</v>
      </c>
      <c r="AI14" s="260">
        <f t="shared" ca="1" si="35"/>
        <v>336879062.81240904</v>
      </c>
      <c r="AJ14" s="1"/>
      <c r="AK14" s="258">
        <f t="shared" si="23"/>
        <v>2024</v>
      </c>
      <c r="AL14" s="260">
        <f>SUMIF('Monthly Data'!$B:$B,AK14,'Monthly Data'!Q:Q)</f>
        <v>81507757</v>
      </c>
      <c r="AM14" s="260">
        <f ca="1">SUMIF('Monthly Data'!$B:$B,AK14,'Monthly Data'!R:R)</f>
        <v>12646208.332555251</v>
      </c>
      <c r="AN14" s="260">
        <f t="shared" ca="1" si="11"/>
        <v>94153965.332555249</v>
      </c>
      <c r="AO14" s="260"/>
      <c r="AP14" s="260">
        <f ca="1">SUMIF('GS 1k-4,999 Normalized Monthly'!$B:$B,X14,'GS 1k-4,999 Normalized Monthly'!$O:$O)</f>
        <v>92618521.862034649</v>
      </c>
      <c r="AQ14" s="260">
        <f t="shared" ca="1" si="24"/>
        <v>12646208.332555251</v>
      </c>
      <c r="AR14" s="260">
        <f t="shared" ca="1" si="25"/>
        <v>79972313.529479399</v>
      </c>
      <c r="AS14" s="260"/>
      <c r="AT14" s="260">
        <f t="shared" ca="1" si="26"/>
        <v>79972313.529479399</v>
      </c>
      <c r="AU14" s="1"/>
      <c r="AV14" s="258">
        <f t="shared" si="27"/>
        <v>2024</v>
      </c>
      <c r="AW14" s="260">
        <f>SUMIF('Monthly Data'!$B:$B,AV14,'Monthly Data'!V:V)</f>
        <v>39718185</v>
      </c>
      <c r="AX14" s="260">
        <f ca="1">SUMIF('Monthly Data'!$B:$B,AV14,'Monthly Data'!W:W)</f>
        <v>661569.17556152958</v>
      </c>
      <c r="AY14" s="260">
        <f t="shared" ca="1" si="12"/>
        <v>40379754.175561532</v>
      </c>
      <c r="AZ14" s="260"/>
      <c r="BA14" s="260">
        <f ca="1">SUMIF('Large Use Normalized Monthly'!$B:$B,AV14,'Large Use Normalized Monthly'!$U:$U)</f>
        <v>37412010.110788673</v>
      </c>
      <c r="BB14" s="260">
        <f t="shared" ca="1" si="28"/>
        <v>661569.17556152958</v>
      </c>
      <c r="BC14" s="260">
        <f t="shared" ca="1" si="29"/>
        <v>36750440.935227141</v>
      </c>
      <c r="BD14" s="260"/>
      <c r="BE14" s="260">
        <f t="shared" ca="1" si="30"/>
        <v>36750440.935227141</v>
      </c>
      <c r="BF14" s="1"/>
      <c r="BG14" s="258">
        <f t="shared" si="31"/>
        <v>2024</v>
      </c>
      <c r="BH14" s="260">
        <f>SUMIF('Monthly Data'!$B:$B,BG14,'Monthly Data'!AA:AA)</f>
        <v>4498710.0000000009</v>
      </c>
      <c r="BI14" s="260">
        <f>'Customer Count'!W13</f>
        <v>14446.083333333334</v>
      </c>
      <c r="BJ14" s="260">
        <f>BH14/BI14</f>
        <v>311.41382035499822</v>
      </c>
      <c r="BK14" s="260">
        <f t="shared" si="36"/>
        <v>4498710.0000000009</v>
      </c>
      <c r="BL14" s="1"/>
      <c r="BM14" s="258">
        <f t="shared" si="32"/>
        <v>2024</v>
      </c>
      <c r="BN14" s="260">
        <f>SUMIF('Monthly Data'!$B:$B,BM14,'Monthly Data'!AD:AD)</f>
        <v>22593</v>
      </c>
      <c r="BO14" s="260">
        <f>'Customer Count'!AA13</f>
        <v>19</v>
      </c>
      <c r="BP14" s="260">
        <f t="shared" si="15"/>
        <v>1189.1052631578948</v>
      </c>
      <c r="BQ14" s="260">
        <f t="shared" si="16"/>
        <v>22593</v>
      </c>
      <c r="BR14" s="1"/>
      <c r="BS14" s="258">
        <f t="shared" si="33"/>
        <v>2024</v>
      </c>
      <c r="BT14" s="260">
        <f>SUMIF('Monthly Data'!$B:$B,BS14,'Monthly Data'!AG:AG)</f>
        <v>2859026.0000000005</v>
      </c>
      <c r="BU14" s="260">
        <f>'Customer Count'!AE13</f>
        <v>259.5</v>
      </c>
      <c r="BV14" s="260">
        <f t="shared" si="17"/>
        <v>11017.441233140657</v>
      </c>
      <c r="BW14" s="260">
        <f t="shared" si="18"/>
        <v>2859026.0000000005</v>
      </c>
    </row>
    <row r="15" spans="2:79" s="244" customFormat="1" x14ac:dyDescent="0.25">
      <c r="B15" s="9">
        <f>B14+1</f>
        <v>2025</v>
      </c>
      <c r="C15" s="9"/>
      <c r="D15" s="9"/>
      <c r="E15" s="9"/>
      <c r="F15" s="9"/>
      <c r="G15" s="8">
        <f ca="1">SUMIF('Res Normalized Monthly'!$B:$B,B15,'Res Normalized Monthly'!$O:$O)</f>
        <v>570814011.79204154</v>
      </c>
      <c r="H15" s="8">
        <f ca="1">CDM!M28</f>
        <v>30423648.344270725</v>
      </c>
      <c r="I15" s="8">
        <f t="shared" ca="1" si="2"/>
        <v>540390363.44777083</v>
      </c>
      <c r="J15" s="8">
        <f ca="1">'Total Additional-Lost Loads'!D16</f>
        <v>3375679.7901044874</v>
      </c>
      <c r="K15" s="8">
        <f ca="1">I15+J15</f>
        <v>543766043.23787534</v>
      </c>
      <c r="L15" s="245"/>
      <c r="M15" s="9">
        <f>M14+1</f>
        <v>2025</v>
      </c>
      <c r="N15" s="9"/>
      <c r="O15" s="9"/>
      <c r="P15" s="9"/>
      <c r="Q15" s="9"/>
      <c r="R15" s="8">
        <f ca="1">SUMIF('GS&lt;50 Normalized Monthly'!$B:$B,M15,'GS&lt;50 Normalized Monthly'!Q:$Q)</f>
        <v>136828713.43710113</v>
      </c>
      <c r="S15" s="8">
        <f ca="1">CDM!N28</f>
        <v>9298051.7731024548</v>
      </c>
      <c r="T15" s="8">
        <f t="shared" ca="1" si="21"/>
        <v>127530661.66399866</v>
      </c>
      <c r="U15" s="8">
        <f ca="1">'Total Additional-Lost Loads'!D17</f>
        <v>649075.77592276083</v>
      </c>
      <c r="V15" s="8">
        <f ca="1">T15+U15</f>
        <v>128179737.43992142</v>
      </c>
      <c r="X15" s="9">
        <f>X14+1</f>
        <v>2025</v>
      </c>
      <c r="Y15" s="9"/>
      <c r="Z15" s="9"/>
      <c r="AA15" s="9"/>
      <c r="AB15" s="9"/>
      <c r="AC15" s="8">
        <f ca="1">SUMIF('GS 50-999 Normalized Monthly'!$B:$B,X15,'GS 50-999 Normalized Monthly'!$Q:$Q)</f>
        <v>344784456.0821296</v>
      </c>
      <c r="AD15" s="8">
        <f ca="1">CDM!O28</f>
        <v>13577001.024403486</v>
      </c>
      <c r="AE15" s="8">
        <f t="shared" ca="1" si="9"/>
        <v>331207455.05772609</v>
      </c>
      <c r="AF15" s="8">
        <f>'Total Additional-Lost Loads'!D18</f>
        <v>214296.00640515657</v>
      </c>
      <c r="AG15" s="8">
        <f t="shared" ca="1" si="34"/>
        <v>331421751.06413126</v>
      </c>
      <c r="AH15" s="8">
        <f>AH14</f>
        <v>6210989.5600000005</v>
      </c>
      <c r="AI15" s="8">
        <f t="shared" ca="1" si="35"/>
        <v>337632740.62413126</v>
      </c>
      <c r="AJ15" s="1"/>
      <c r="AK15" s="9">
        <f t="shared" si="23"/>
        <v>2025</v>
      </c>
      <c r="AL15" s="8"/>
      <c r="AM15" s="8"/>
      <c r="AN15" s="8"/>
      <c r="AO15" s="8"/>
      <c r="AP15" s="8">
        <f ca="1">SUMIF('GS 1k-4,999 Normalized Monthly'!$B:$B,X15,'GS 1k-4,999 Normalized Monthly'!$O:$O)</f>
        <v>93009939.482260704</v>
      </c>
      <c r="AQ15" s="8">
        <f ca="1">CDM!P28</f>
        <v>12169724.379837707</v>
      </c>
      <c r="AR15" s="8">
        <f t="shared" ca="1" si="25"/>
        <v>80840215.102422997</v>
      </c>
      <c r="AS15" s="8">
        <f>'Total Additional-Lost Loads'!D18</f>
        <v>214296.00640515657</v>
      </c>
      <c r="AT15" s="8">
        <f t="shared" ca="1" si="26"/>
        <v>81054511.108828157</v>
      </c>
      <c r="AV15" s="9">
        <f t="shared" si="27"/>
        <v>2025</v>
      </c>
      <c r="AW15" s="8"/>
      <c r="AX15" s="8"/>
      <c r="AY15" s="8"/>
      <c r="AZ15" s="8"/>
      <c r="BA15" s="8">
        <f ca="1">SUMIF('Large Use Normalized Monthly'!$B:$B,AV15,'Large Use Normalized Monthly'!$U:$U)</f>
        <v>36895237.425914533</v>
      </c>
      <c r="BB15" s="8">
        <f ca="1">CDM!Q28</f>
        <v>660904.57544029912</v>
      </c>
      <c r="BC15" s="8">
        <f t="shared" ca="1" si="29"/>
        <v>36234332.850474231</v>
      </c>
      <c r="BD15" s="8">
        <f>'Total Additional-Lost Loads'!D20</f>
        <v>17171.262953820151</v>
      </c>
      <c r="BE15" s="8">
        <f t="shared" ca="1" si="30"/>
        <v>36251504.113428049</v>
      </c>
      <c r="BG15" s="9">
        <f>BG14+1</f>
        <v>2025</v>
      </c>
      <c r="BH15" s="9"/>
      <c r="BI15" s="8">
        <f>'Customer Count'!W18</f>
        <v>14528.911584442207</v>
      </c>
      <c r="BJ15" s="8">
        <f>AVERAGE(BJ12:BJ14)</f>
        <v>311.99896041208996</v>
      </c>
      <c r="BK15" s="8">
        <f t="shared" si="14"/>
        <v>4533005.3102651397</v>
      </c>
      <c r="BM15" s="9">
        <f t="shared" si="32"/>
        <v>2025</v>
      </c>
      <c r="BN15" s="9"/>
      <c r="BO15" s="8">
        <f>'Customer Count'!AA18</f>
        <v>19</v>
      </c>
      <c r="BP15" s="8">
        <f>AVERAGE(BP12:BP14)</f>
        <v>1340.757894736842</v>
      </c>
      <c r="BQ15" s="8">
        <f>BP15*BO15</f>
        <v>25474.399999999998</v>
      </c>
      <c r="BS15" s="9">
        <f>BS14+1</f>
        <v>2025</v>
      </c>
      <c r="BT15" s="9"/>
      <c r="BU15" s="8">
        <f>'Customer Count'!AE18</f>
        <v>263.83585228188821</v>
      </c>
      <c r="BV15" s="8">
        <f>AVERAGE(BV12:BV14)</f>
        <v>10915.365476721583</v>
      </c>
      <c r="BW15" s="8">
        <f t="shared" si="18"/>
        <v>2879864.7535191379</v>
      </c>
    </row>
    <row r="16" spans="2:79" s="244" customFormat="1" x14ac:dyDescent="0.25">
      <c r="B16" s="9">
        <f>B15+1</f>
        <v>2026</v>
      </c>
      <c r="C16" s="9"/>
      <c r="D16" s="9"/>
      <c r="E16" s="9"/>
      <c r="F16" s="9"/>
      <c r="G16" s="8">
        <f ca="1">SUMIF('Res Normalized Monthly'!$B:$B,B16,'Res Normalized Monthly'!$O:$O)</f>
        <v>579983046.83148968</v>
      </c>
      <c r="H16" s="8">
        <f ca="1">CDM!M29</f>
        <v>30113205.235588811</v>
      </c>
      <c r="I16" s="8">
        <f t="shared" ca="1" si="2"/>
        <v>549869841.59590089</v>
      </c>
      <c r="J16" s="8">
        <f ca="1">'Total Additional-Lost Loads'!E16</f>
        <v>7002966.0857700054</v>
      </c>
      <c r="K16" s="8">
        <f ca="1">I16+J16</f>
        <v>556872807.6816709</v>
      </c>
      <c r="M16" s="9">
        <f>M15+1</f>
        <v>2026</v>
      </c>
      <c r="N16" s="9"/>
      <c r="O16" s="9"/>
      <c r="P16" s="9"/>
      <c r="Q16" s="9"/>
      <c r="R16" s="8">
        <f ca="1">SUMIF('GS&lt;50 Normalized Monthly'!$B:$B,M16,'GS&lt;50 Normalized Monthly'!Q:$Q)</f>
        <v>137679565.93393588</v>
      </c>
      <c r="S16" s="8">
        <f ca="1">CDM!N29</f>
        <v>8753509.2851200663</v>
      </c>
      <c r="T16" s="8">
        <f t="shared" ca="1" si="21"/>
        <v>128926056.64881581</v>
      </c>
      <c r="U16" s="8">
        <f ca="1">'Total Additional-Lost Loads'!E17</f>
        <v>1350845.7018350572</v>
      </c>
      <c r="V16" s="8">
        <f ca="1">T16+U16</f>
        <v>130276902.35065086</v>
      </c>
      <c r="X16" s="9">
        <f>X15+1</f>
        <v>2026</v>
      </c>
      <c r="Y16" s="9"/>
      <c r="Z16" s="9"/>
      <c r="AA16" s="9"/>
      <c r="AB16" s="9"/>
      <c r="AC16" s="8">
        <f ca="1">SUMIF('GS 50-999 Normalized Monthly'!$B:$B,X16,'GS 50-999 Normalized Monthly'!$Q:$Q)</f>
        <v>345452241.23846954</v>
      </c>
      <c r="AD16" s="8">
        <f ca="1">CDM!O29</f>
        <v>13211144.60098196</v>
      </c>
      <c r="AE16" s="8">
        <f t="shared" ca="1" si="9"/>
        <v>332241096.63748759</v>
      </c>
      <c r="AF16" s="8">
        <f>'Total Additional-Lost Loads'!E18</f>
        <v>474538.30543778761</v>
      </c>
      <c r="AG16" s="8">
        <f t="shared" ca="1" si="34"/>
        <v>332715634.94292539</v>
      </c>
      <c r="AH16" s="8">
        <f>AH15</f>
        <v>6210989.5600000005</v>
      </c>
      <c r="AI16" s="8">
        <f t="shared" ca="1" si="35"/>
        <v>338926624.5029254</v>
      </c>
      <c r="AJ16" s="1"/>
      <c r="AK16" s="9">
        <f t="shared" si="23"/>
        <v>2026</v>
      </c>
      <c r="AL16" s="8"/>
      <c r="AM16" s="8"/>
      <c r="AN16" s="8"/>
      <c r="AO16" s="8"/>
      <c r="AP16" s="8">
        <f ca="1">SUMIF('GS 1k-4,999 Normalized Monthly'!$B:$B,X16,'GS 1k-4,999 Normalized Monthly'!$O:$O)</f>
        <v>93369857.811119437</v>
      </c>
      <c r="AQ16" s="8">
        <f ca="1">CDM!P29</f>
        <v>12092333.972915361</v>
      </c>
      <c r="AR16" s="8">
        <f t="shared" ca="1" si="25"/>
        <v>81277523.838204071</v>
      </c>
      <c r="AS16" s="8">
        <f>'Total Additional-Lost Loads'!E19</f>
        <v>313546.65194242046</v>
      </c>
      <c r="AT16" s="8">
        <f t="shared" ca="1" si="26"/>
        <v>81591070.490146488</v>
      </c>
      <c r="AV16" s="9">
        <f t="shared" si="27"/>
        <v>2026</v>
      </c>
      <c r="AW16" s="8"/>
      <c r="AX16" s="8"/>
      <c r="AY16" s="8"/>
      <c r="AZ16" s="8"/>
      <c r="BA16" s="8">
        <f ca="1">SUMIF('Large Use Normalized Monthly'!$B:$B,AV16,'Large Use Normalized Monthly'!$U:$U)</f>
        <v>36478641.265597075</v>
      </c>
      <c r="BB16" s="8">
        <f ca="1">CDM!Q29</f>
        <v>652621.62095760205</v>
      </c>
      <c r="BC16" s="8">
        <f t="shared" ca="1" si="29"/>
        <v>35826019.64463947</v>
      </c>
      <c r="BD16" s="8">
        <f>'Total Additional-Lost Loads'!E20</f>
        <v>36185.106675106603</v>
      </c>
      <c r="BE16" s="8">
        <f t="shared" ca="1" si="30"/>
        <v>35862204.751314573</v>
      </c>
      <c r="BG16" s="9">
        <f>BG15+1</f>
        <v>2026</v>
      </c>
      <c r="BH16" s="9"/>
      <c r="BI16" s="8">
        <f>'Customer Count'!W19</f>
        <v>14728.069044096936</v>
      </c>
      <c r="BJ16" s="8">
        <f>BJ15</f>
        <v>311.99896041208996</v>
      </c>
      <c r="BK16" s="8">
        <f t="shared" si="14"/>
        <v>4595142.2306357278</v>
      </c>
      <c r="BM16" s="9">
        <f t="shared" si="32"/>
        <v>2026</v>
      </c>
      <c r="BN16" s="9"/>
      <c r="BO16" s="8">
        <f>'Customer Count'!AA19</f>
        <v>19</v>
      </c>
      <c r="BP16" s="8">
        <f>BP15</f>
        <v>1340.757894736842</v>
      </c>
      <c r="BQ16" s="8">
        <f t="shared" si="16"/>
        <v>25474.399999999998</v>
      </c>
      <c r="BS16" s="9">
        <f>BS15+1</f>
        <v>2026</v>
      </c>
      <c r="BT16" s="9"/>
      <c r="BU16" s="8">
        <f>'Customer Count'!AE19</f>
        <v>265.56946520375328</v>
      </c>
      <c r="BV16" s="8">
        <f>BV15</f>
        <v>10915.365476721583</v>
      </c>
      <c r="BW16" s="8">
        <f t="shared" si="18"/>
        <v>2898787.7721564621</v>
      </c>
      <c r="BY16" s="16"/>
    </row>
    <row r="17" spans="33:33" x14ac:dyDescent="0.25">
      <c r="AG17" s="8"/>
    </row>
    <row r="44" spans="2:58" x14ac:dyDescent="0.25">
      <c r="B44" s="492" t="s">
        <v>389</v>
      </c>
      <c r="C44" s="492"/>
      <c r="D44" s="492"/>
      <c r="E44" s="492"/>
      <c r="F44" s="492"/>
      <c r="G44" s="492"/>
      <c r="H44" s="492"/>
      <c r="I44" s="492"/>
      <c r="J44" s="492"/>
      <c r="K44" s="492"/>
      <c r="M44" s="492" t="s">
        <v>410</v>
      </c>
      <c r="N44" s="492"/>
      <c r="O44" s="492"/>
      <c r="P44" s="492"/>
      <c r="Q44" s="492"/>
      <c r="R44" s="492"/>
      <c r="S44" s="492"/>
      <c r="T44" s="492"/>
      <c r="U44" s="492"/>
      <c r="V44" s="492"/>
      <c r="X44" s="492" t="s">
        <v>432</v>
      </c>
      <c r="Y44" s="492"/>
      <c r="Z44" s="492"/>
      <c r="AA44" s="492"/>
      <c r="AB44" s="492"/>
      <c r="AC44" s="492"/>
      <c r="AD44" s="492"/>
      <c r="AE44" s="492"/>
      <c r="AF44" s="492"/>
      <c r="AG44" s="492"/>
      <c r="AH44" s="157"/>
      <c r="AI44" s="157"/>
      <c r="AK44" s="492" t="s">
        <v>412</v>
      </c>
      <c r="AL44" s="492"/>
      <c r="AM44" s="492"/>
      <c r="AN44" s="492"/>
      <c r="AO44" s="492"/>
      <c r="AP44" s="492"/>
      <c r="AQ44" s="492"/>
      <c r="AR44" s="492"/>
      <c r="AS44" s="492"/>
      <c r="AT44" s="492"/>
      <c r="AV44" s="492" t="s">
        <v>413</v>
      </c>
      <c r="AW44" s="492"/>
      <c r="AX44" s="492"/>
      <c r="AY44" s="492"/>
      <c r="AZ44" s="492"/>
      <c r="BA44" s="492"/>
      <c r="BB44" s="492"/>
      <c r="BC44" s="492"/>
      <c r="BD44" s="492"/>
      <c r="BE44" s="492"/>
    </row>
    <row r="45" spans="2:58" ht="39.6" x14ac:dyDescent="0.25">
      <c r="B45" s="160" t="s">
        <v>1</v>
      </c>
      <c r="C45" s="160" t="s">
        <v>416</v>
      </c>
      <c r="D45" s="160" t="s">
        <v>417</v>
      </c>
      <c r="E45" s="160" t="s">
        <v>418</v>
      </c>
      <c r="F45" s="160"/>
      <c r="G45" s="160" t="s">
        <v>419</v>
      </c>
      <c r="H45" s="160" t="s">
        <v>417</v>
      </c>
      <c r="I45" s="160" t="s">
        <v>420</v>
      </c>
      <c r="J45" s="160" t="s">
        <v>421</v>
      </c>
      <c r="K45" s="160" t="s">
        <v>422</v>
      </c>
      <c r="L45" s="243"/>
      <c r="M45" s="160" t="s">
        <v>1</v>
      </c>
      <c r="N45" s="160" t="s">
        <v>416</v>
      </c>
      <c r="O45" s="160" t="s">
        <v>417</v>
      </c>
      <c r="P45" s="160" t="s">
        <v>418</v>
      </c>
      <c r="Q45" s="160"/>
      <c r="R45" s="160" t="s">
        <v>423</v>
      </c>
      <c r="S45" s="160" t="s">
        <v>417</v>
      </c>
      <c r="T45" s="160" t="s">
        <v>420</v>
      </c>
      <c r="U45" s="160" t="s">
        <v>421</v>
      </c>
      <c r="V45" s="160" t="s">
        <v>422</v>
      </c>
      <c r="W45" s="243"/>
      <c r="X45" s="160" t="s">
        <v>1</v>
      </c>
      <c r="Y45" s="160" t="s">
        <v>416</v>
      </c>
      <c r="Z45" s="160" t="s">
        <v>417</v>
      </c>
      <c r="AA45" s="160" t="s">
        <v>418</v>
      </c>
      <c r="AB45" s="160"/>
      <c r="AC45" s="160" t="s">
        <v>419</v>
      </c>
      <c r="AD45" s="160" t="s">
        <v>417</v>
      </c>
      <c r="AE45" s="160" t="s">
        <v>420</v>
      </c>
      <c r="AF45" s="160" t="s">
        <v>424</v>
      </c>
      <c r="AG45" s="160" t="s">
        <v>422</v>
      </c>
      <c r="AH45" s="160" t="s">
        <v>543</v>
      </c>
      <c r="AI45" s="160" t="s">
        <v>545</v>
      </c>
      <c r="AK45" s="160" t="s">
        <v>1</v>
      </c>
      <c r="AL45" s="160" t="s">
        <v>416</v>
      </c>
      <c r="AM45" s="160" t="s">
        <v>417</v>
      </c>
      <c r="AN45" s="160" t="s">
        <v>418</v>
      </c>
      <c r="AO45" s="160"/>
      <c r="AP45" s="160" t="s">
        <v>419</v>
      </c>
      <c r="AQ45" s="160" t="s">
        <v>417</v>
      </c>
      <c r="AR45" s="160" t="s">
        <v>420</v>
      </c>
      <c r="AS45" s="160" t="s">
        <v>424</v>
      </c>
      <c r="AT45" s="160" t="s">
        <v>422</v>
      </c>
      <c r="AV45" s="160" t="s">
        <v>1</v>
      </c>
      <c r="AW45" s="160" t="s">
        <v>416</v>
      </c>
      <c r="AX45" s="160" t="s">
        <v>417</v>
      </c>
      <c r="AY45" s="160" t="s">
        <v>418</v>
      </c>
      <c r="AZ45" s="160"/>
      <c r="BA45" s="160" t="s">
        <v>419</v>
      </c>
      <c r="BB45" s="160" t="s">
        <v>417</v>
      </c>
      <c r="BC45" s="160" t="s">
        <v>420</v>
      </c>
      <c r="BD45" s="160" t="s">
        <v>424</v>
      </c>
      <c r="BE45" s="160" t="s">
        <v>422</v>
      </c>
    </row>
    <row r="46" spans="2:58" s="246" customFormat="1" x14ac:dyDescent="0.25">
      <c r="B46" s="201"/>
      <c r="C46" s="201" t="s">
        <v>303</v>
      </c>
      <c r="D46" s="201" t="s">
        <v>305</v>
      </c>
      <c r="E46" s="201" t="s">
        <v>426</v>
      </c>
      <c r="F46" s="201"/>
      <c r="G46" s="201" t="s">
        <v>309</v>
      </c>
      <c r="H46" s="201" t="s">
        <v>427</v>
      </c>
      <c r="I46" s="201" t="s">
        <v>428</v>
      </c>
      <c r="J46" s="201" t="s">
        <v>429</v>
      </c>
      <c r="K46" s="201" t="s">
        <v>430</v>
      </c>
      <c r="M46" s="201"/>
      <c r="N46" s="201" t="s">
        <v>303</v>
      </c>
      <c r="O46" s="201" t="s">
        <v>305</v>
      </c>
      <c r="P46" s="201" t="s">
        <v>426</v>
      </c>
      <c r="Q46" s="201"/>
      <c r="R46" s="201" t="s">
        <v>309</v>
      </c>
      <c r="S46" s="201" t="s">
        <v>427</v>
      </c>
      <c r="T46" s="201" t="s">
        <v>428</v>
      </c>
      <c r="U46" s="201" t="s">
        <v>429</v>
      </c>
      <c r="V46" s="201" t="s">
        <v>430</v>
      </c>
      <c r="X46" s="201"/>
      <c r="Y46" s="201" t="s">
        <v>303</v>
      </c>
      <c r="Z46" s="201" t="s">
        <v>305</v>
      </c>
      <c r="AA46" s="201" t="s">
        <v>426</v>
      </c>
      <c r="AB46" s="201"/>
      <c r="AC46" s="201" t="s">
        <v>309</v>
      </c>
      <c r="AD46" s="201" t="s">
        <v>427</v>
      </c>
      <c r="AE46" s="201" t="s">
        <v>428</v>
      </c>
      <c r="AF46" s="201" t="s">
        <v>429</v>
      </c>
      <c r="AG46" s="201" t="s">
        <v>430</v>
      </c>
      <c r="AH46" s="156" t="s">
        <v>352</v>
      </c>
      <c r="AI46" s="156" t="s">
        <v>544</v>
      </c>
      <c r="AJ46" s="1"/>
      <c r="AK46" s="201"/>
      <c r="AL46" s="201" t="s">
        <v>303</v>
      </c>
      <c r="AM46" s="201" t="s">
        <v>305</v>
      </c>
      <c r="AN46" s="201" t="s">
        <v>426</v>
      </c>
      <c r="AO46" s="201"/>
      <c r="AP46" s="201" t="s">
        <v>309</v>
      </c>
      <c r="AQ46" s="201" t="s">
        <v>427</v>
      </c>
      <c r="AR46" s="201" t="s">
        <v>428</v>
      </c>
      <c r="AS46" s="201" t="s">
        <v>429</v>
      </c>
      <c r="AT46" s="201" t="s">
        <v>430</v>
      </c>
      <c r="AU46" s="1"/>
      <c r="AV46" s="201"/>
      <c r="AW46" s="201" t="s">
        <v>303</v>
      </c>
      <c r="AX46" s="201" t="s">
        <v>305</v>
      </c>
      <c r="AY46" s="201" t="s">
        <v>426</v>
      </c>
      <c r="AZ46" s="201"/>
      <c r="BA46" s="201" t="s">
        <v>309</v>
      </c>
      <c r="BB46" s="201" t="s">
        <v>427</v>
      </c>
      <c r="BC46" s="201" t="s">
        <v>428</v>
      </c>
      <c r="BD46" s="201" t="s">
        <v>429</v>
      </c>
      <c r="BE46" s="201" t="s">
        <v>430</v>
      </c>
    </row>
    <row r="47" spans="2:58" x14ac:dyDescent="0.25">
      <c r="B47" s="258">
        <v>2015</v>
      </c>
      <c r="C47" s="260">
        <f>SUMIF('Monthly Data'!$B:$B,B47,'Monthly Data'!D:D)</f>
        <v>479266200.99999982</v>
      </c>
      <c r="D47" s="260">
        <f>SUMIF('Monthly Data'!$B:$B,B47,'Monthly Data'!E:E)</f>
        <v>1745859</v>
      </c>
      <c r="E47" s="260">
        <f t="shared" ref="E47:E55" si="37">C47+D47</f>
        <v>481012059.99999982</v>
      </c>
      <c r="F47" s="260"/>
      <c r="G47" s="260">
        <f ca="1">SUMIF('Res Normalized Monthly WN'!$B:$B,B47,'Res Normalized Monthly WN'!$R:$R)</f>
        <v>477930583.40813684</v>
      </c>
      <c r="H47" s="260">
        <f t="shared" ref="H47:H55" si="38">D47</f>
        <v>1745859</v>
      </c>
      <c r="I47" s="260">
        <f t="shared" ref="I47:I55" ca="1" si="39">G47-H47</f>
        <v>476184724.40813684</v>
      </c>
      <c r="J47" s="260"/>
      <c r="K47" s="260">
        <f t="shared" ref="K47:K55" ca="1" si="40">I47+J47</f>
        <v>476184724.40813684</v>
      </c>
      <c r="L47" s="4"/>
      <c r="M47" s="258">
        <v>2015</v>
      </c>
      <c r="N47" s="260">
        <f>SUMIF('Monthly Data'!$B:$B,M47,'Monthly Data'!H:H)</f>
        <v>134383174.00000003</v>
      </c>
      <c r="O47" s="260">
        <f>SUMIF('Monthly Data'!$B:$B,M47,'Monthly Data'!I:I)</f>
        <v>515127.62000000005</v>
      </c>
      <c r="P47" s="260">
        <f t="shared" ref="P47:P55" si="41">N47+O47</f>
        <v>134898301.62000003</v>
      </c>
      <c r="Q47" s="260"/>
      <c r="R47" s="260">
        <f ca="1">SUMIF('GS&lt;50 Normalized Monthly WN'!$B:$B,M47,'GS&lt;50 Normalized Monthly WN'!S:$S)</f>
        <v>134831684.18678597</v>
      </c>
      <c r="S47" s="260">
        <f t="shared" ref="S47:S54" si="42">O47</f>
        <v>515127.62000000005</v>
      </c>
      <c r="T47" s="260">
        <f t="shared" ref="T47:T58" ca="1" si="43">R47-S47</f>
        <v>134316556.56678596</v>
      </c>
      <c r="U47" s="260"/>
      <c r="V47" s="260">
        <f t="shared" ref="V47:V55" ca="1" si="44">T47+U47</f>
        <v>134316556.56678596</v>
      </c>
      <c r="W47" s="4"/>
      <c r="X47" s="258">
        <v>2015</v>
      </c>
      <c r="Y47" s="260">
        <f>SUMIF('Monthly Data'!$B:$B,X47,'Monthly Data'!L:L)</f>
        <v>331248131.3818177</v>
      </c>
      <c r="Z47" s="260">
        <f>SUMIF('Monthly Data'!$B:$B,X47,'Monthly Data'!M:M)</f>
        <v>718467.47000000009</v>
      </c>
      <c r="AA47" s="260">
        <f t="shared" ref="AA47:AA55" si="45">Y47+Z47</f>
        <v>331966598.85181773</v>
      </c>
      <c r="AB47" s="260"/>
      <c r="AC47" s="260">
        <f ca="1">SUMIF('GS50-999 Normalized Monthly WN'!$B:$B,X47,'GS50-999 Normalized Monthly WN'!$S:$S)</f>
        <v>330299758.88417631</v>
      </c>
      <c r="AD47" s="260">
        <f t="shared" ref="AD47:AD55" si="46">Z47</f>
        <v>718467.47000000009</v>
      </c>
      <c r="AE47" s="260">
        <f t="shared" ref="AE47:AE55" ca="1" si="47">AC47-AD47</f>
        <v>329581291.41417629</v>
      </c>
      <c r="AF47" s="260"/>
      <c r="AG47" s="260">
        <f t="shared" ref="AG47:AG58" ca="1" si="48">AE47+AF47</f>
        <v>329581291.41417629</v>
      </c>
      <c r="AH47" s="260"/>
      <c r="AI47" s="260">
        <f t="shared" ref="AI47:AI48" ca="1" si="49">AH47+AG47</f>
        <v>329581291.41417629</v>
      </c>
      <c r="AK47" s="258">
        <v>2015</v>
      </c>
      <c r="AL47" s="260">
        <f>SUMIF('Monthly Data'!$B:$B,AK47,'Monthly Data'!Q:Q)</f>
        <v>81262023.618182287</v>
      </c>
      <c r="AM47" s="260">
        <f>SUMIF('Monthly Data'!$B:$B,AK47,'Monthly Data'!R:R)</f>
        <v>4825418.41</v>
      </c>
      <c r="AN47" s="260">
        <f t="shared" ref="AN47:AN56" si="50">AL47+AM47</f>
        <v>86087442.028182283</v>
      </c>
      <c r="AO47" s="260"/>
      <c r="AP47" s="260">
        <f ca="1">SUMIF('GS 1k-4,999 Normalized Mont WN'!$B:$B,X47,'GS 1k-4,999 Normalized Mont WN'!$P:$P)</f>
        <v>86901805.334176049</v>
      </c>
      <c r="AQ47" s="260">
        <f>AM47</f>
        <v>4825418.41</v>
      </c>
      <c r="AR47" s="260">
        <f ca="1">AP47-AQ47</f>
        <v>82076386.924176052</v>
      </c>
      <c r="AS47" s="260"/>
      <c r="AT47" s="260">
        <f ca="1">AR47+AS47</f>
        <v>82076386.924176052</v>
      </c>
      <c r="AV47" s="258">
        <v>2015</v>
      </c>
      <c r="AW47" s="260">
        <f>SUMIF('Monthly Data'!$B:$B,AV47,'Monthly Data'!V:V)</f>
        <v>41948975.999999993</v>
      </c>
      <c r="AX47" s="260">
        <f>SUMIF('Monthly Data'!$B:$B,AV47,'Monthly Data'!W:W)</f>
        <v>0</v>
      </c>
      <c r="AY47" s="260">
        <f t="shared" ref="AY47:AY56" si="51">AW47+AX47</f>
        <v>41948975.999999993</v>
      </c>
      <c r="AZ47" s="260"/>
      <c r="BA47" s="260">
        <f ca="1">SUMIF('Large Use Normalized Monthl WN'!$B:$B,AV47,'Large Use Normalized Monthl WN'!$W:$W)</f>
        <v>42011671.280006714</v>
      </c>
      <c r="BB47" s="260">
        <f>AX47</f>
        <v>0</v>
      </c>
      <c r="BC47" s="260">
        <f ca="1">BA47-BB47</f>
        <v>42011671.280006714</v>
      </c>
      <c r="BD47" s="260"/>
      <c r="BE47" s="260">
        <f ca="1">BC47+BD47</f>
        <v>42011671.280006714</v>
      </c>
      <c r="BF47" s="4"/>
    </row>
    <row r="48" spans="2:58" x14ac:dyDescent="0.25">
      <c r="B48" s="258">
        <f t="shared" ref="B48:B56" si="52">B47+1</f>
        <v>2016</v>
      </c>
      <c r="C48" s="260">
        <f>SUMIF('Monthly Data'!$B:$B,B48,'Monthly Data'!D:D)</f>
        <v>477527824.00000006</v>
      </c>
      <c r="D48" s="260">
        <f>SUMIF('Monthly Data'!$B:$B,B48,'Monthly Data'!E:E)</f>
        <v>8129504.5</v>
      </c>
      <c r="E48" s="260">
        <f t="shared" si="37"/>
        <v>485657328.50000006</v>
      </c>
      <c r="F48" s="260"/>
      <c r="G48" s="260">
        <f ca="1">SUMIF('Res Normalized Monthly WN'!$B:$B,B48,'Res Normalized Monthly WN'!$R:$R)</f>
        <v>479975405.59613615</v>
      </c>
      <c r="H48" s="260">
        <f t="shared" si="38"/>
        <v>8129504.5</v>
      </c>
      <c r="I48" s="260">
        <f t="shared" ca="1" si="39"/>
        <v>471845901.09613615</v>
      </c>
      <c r="J48" s="260"/>
      <c r="K48" s="260">
        <f t="shared" ca="1" si="40"/>
        <v>471845901.09613615</v>
      </c>
      <c r="L48" s="4"/>
      <c r="M48" s="258">
        <f t="shared" ref="M48:M56" si="53">M47+1</f>
        <v>2016</v>
      </c>
      <c r="N48" s="260">
        <f>SUMIF('Monthly Data'!$B:$B,M48,'Monthly Data'!H:H)</f>
        <v>131950149.00000001</v>
      </c>
      <c r="O48" s="260">
        <f>SUMIF('Monthly Data'!$B:$B,M48,'Monthly Data'!I:I)</f>
        <v>2242271.165</v>
      </c>
      <c r="P48" s="260">
        <f t="shared" si="41"/>
        <v>134192420.16500002</v>
      </c>
      <c r="Q48" s="260"/>
      <c r="R48" s="260">
        <f ca="1">SUMIF('GS&lt;50 Normalized Monthly WN'!$B:$B,M48,'GS&lt;50 Normalized Monthly WN'!S:$S)</f>
        <v>133025226.40170933</v>
      </c>
      <c r="S48" s="260">
        <f t="shared" si="42"/>
        <v>2242271.165</v>
      </c>
      <c r="T48" s="260">
        <f t="shared" ca="1" si="43"/>
        <v>130782955.23670933</v>
      </c>
      <c r="U48" s="260"/>
      <c r="V48" s="260">
        <f t="shared" ca="1" si="44"/>
        <v>130782955.23670933</v>
      </c>
      <c r="W48" s="4"/>
      <c r="X48" s="258">
        <f t="shared" ref="X48:X56" si="54">X47+1</f>
        <v>2016</v>
      </c>
      <c r="Y48" s="260">
        <f>SUMIF('Monthly Data'!$B:$B,X48,'Monthly Data'!L:L)</f>
        <v>336135880.18643844</v>
      </c>
      <c r="Z48" s="260">
        <f>SUMIF('Monthly Data'!$B:$B,X48,'Monthly Data'!M:M)</f>
        <v>2246980.33</v>
      </c>
      <c r="AA48" s="260">
        <f t="shared" si="45"/>
        <v>338382860.51643842</v>
      </c>
      <c r="AB48" s="260"/>
      <c r="AC48" s="260">
        <f ca="1">SUMIF('GS50-999 Normalized Monthly WN'!$B:$B,X48,'GS50-999 Normalized Monthly WN'!$S:$S)</f>
        <v>336011480.29041922</v>
      </c>
      <c r="AD48" s="260">
        <f t="shared" si="46"/>
        <v>2246980.33</v>
      </c>
      <c r="AE48" s="260">
        <f t="shared" ca="1" si="47"/>
        <v>333764499.96041924</v>
      </c>
      <c r="AF48" s="260"/>
      <c r="AG48" s="260">
        <f t="shared" ca="1" si="48"/>
        <v>333764499.96041924</v>
      </c>
      <c r="AH48" s="260"/>
      <c r="AI48" s="260">
        <f t="shared" ca="1" si="49"/>
        <v>333764499.96041924</v>
      </c>
      <c r="AK48" s="258">
        <f t="shared" ref="AK48:AK58" si="55">AK47+1</f>
        <v>2016</v>
      </c>
      <c r="AL48" s="260">
        <f>SUMIF('Monthly Data'!$B:$B,AK48,'Monthly Data'!Q:Q)</f>
        <v>84479483.913561568</v>
      </c>
      <c r="AM48" s="260">
        <f>SUMIF('Monthly Data'!$B:$B,AK48,'Monthly Data'!R:R)</f>
        <v>9958131.004999999</v>
      </c>
      <c r="AN48" s="260">
        <f t="shared" si="50"/>
        <v>94437614.918561563</v>
      </c>
      <c r="AO48" s="260"/>
      <c r="AP48" s="260">
        <f ca="1">SUMIF('GS 1k-4,999 Normalized Mont WN'!$B:$B,X48,'GS 1k-4,999 Normalized Mont WN'!$P:$P)</f>
        <v>93537420.693797156</v>
      </c>
      <c r="AQ48" s="260">
        <f t="shared" ref="AQ48:AQ56" si="56">AM48</f>
        <v>9958131.004999999</v>
      </c>
      <c r="AR48" s="260">
        <f t="shared" ref="AR48:AR58" ca="1" si="57">AP48-AQ48</f>
        <v>83579289.688797161</v>
      </c>
      <c r="AS48" s="260"/>
      <c r="AT48" s="260">
        <f t="shared" ref="AT48:AT58" ca="1" si="58">AR48+AS48</f>
        <v>83579289.688797161</v>
      </c>
      <c r="AV48" s="258">
        <f t="shared" ref="AV48:AV58" si="59">AV47+1</f>
        <v>2016</v>
      </c>
      <c r="AW48" s="260">
        <f>SUMIF('Monthly Data'!$B:$B,AV48,'Monthly Data'!V:V)</f>
        <v>41438245.999999993</v>
      </c>
      <c r="AX48" s="260">
        <f>SUMIF('Monthly Data'!$B:$B,AV48,'Monthly Data'!W:W)</f>
        <v>0</v>
      </c>
      <c r="AY48" s="260">
        <f t="shared" si="51"/>
        <v>41438245.999999993</v>
      </c>
      <c r="AZ48" s="260"/>
      <c r="BA48" s="260">
        <f ca="1">SUMIF('Large Use Normalized Monthl WN'!$B:$B,AV48,'Large Use Normalized Monthl WN'!$W:$W)</f>
        <v>41251016.34396904</v>
      </c>
      <c r="BB48" s="260">
        <f t="shared" ref="BB48:BB56" si="60">AX48</f>
        <v>0</v>
      </c>
      <c r="BC48" s="260">
        <f t="shared" ref="BC48:BC58" ca="1" si="61">BA48-BB48</f>
        <v>41251016.34396904</v>
      </c>
      <c r="BD48" s="260"/>
      <c r="BE48" s="260">
        <f t="shared" ref="BE48:BE58" ca="1" si="62">BC48+BD48</f>
        <v>41251016.34396904</v>
      </c>
      <c r="BF48" s="4"/>
    </row>
    <row r="49" spans="2:58" x14ac:dyDescent="0.25">
      <c r="B49" s="258">
        <f t="shared" si="52"/>
        <v>2017</v>
      </c>
      <c r="C49" s="260">
        <f>SUMIF('Monthly Data'!$B:$B,B49,'Monthly Data'!D:D)</f>
        <v>464513659.08580053</v>
      </c>
      <c r="D49" s="260">
        <f>SUMIF('Monthly Data'!$B:$B,B49,'Monthly Data'!E:E)</f>
        <v>21218883.500000004</v>
      </c>
      <c r="E49" s="260">
        <f t="shared" si="37"/>
        <v>485732542.58580053</v>
      </c>
      <c r="F49" s="260"/>
      <c r="G49" s="260">
        <f ca="1">SUMIF('Res Normalized Monthly WN'!$B:$B,B49,'Res Normalized Monthly WN'!$R:$R)</f>
        <v>493193521.50293279</v>
      </c>
      <c r="H49" s="260">
        <f t="shared" si="38"/>
        <v>21218883.500000004</v>
      </c>
      <c r="I49" s="260">
        <f t="shared" ca="1" si="39"/>
        <v>471974638.00293279</v>
      </c>
      <c r="J49" s="260"/>
      <c r="K49" s="260">
        <f t="shared" ca="1" si="40"/>
        <v>471974638.00293279</v>
      </c>
      <c r="L49" s="4"/>
      <c r="M49" s="258">
        <f t="shared" si="53"/>
        <v>2017</v>
      </c>
      <c r="N49" s="260">
        <f>SUMIF('Monthly Data'!$B:$B,M49,'Monthly Data'!H:H)</f>
        <v>128640162</v>
      </c>
      <c r="O49" s="260">
        <f>SUMIF('Monthly Data'!$B:$B,M49,'Monthly Data'!I:I)</f>
        <v>4711924.9122964684</v>
      </c>
      <c r="P49" s="260">
        <f t="shared" si="41"/>
        <v>133352086.91229647</v>
      </c>
      <c r="Q49" s="260"/>
      <c r="R49" s="260">
        <f ca="1">SUMIF('GS&lt;50 Normalized Monthly WN'!$B:$B,M49,'GS&lt;50 Normalized Monthly WN'!S:$S)</f>
        <v>134931533.41686761</v>
      </c>
      <c r="S49" s="260">
        <f t="shared" si="42"/>
        <v>4711924.9122964684</v>
      </c>
      <c r="T49" s="260">
        <f t="shared" ca="1" si="43"/>
        <v>130219608.50457114</v>
      </c>
      <c r="U49" s="260"/>
      <c r="V49" s="260">
        <f t="shared" ca="1" si="44"/>
        <v>130219608.50457114</v>
      </c>
      <c r="W49" s="4"/>
      <c r="X49" s="258">
        <f t="shared" si="54"/>
        <v>2017</v>
      </c>
      <c r="Y49" s="260">
        <f>SUMIF('Monthly Data'!$B:$B,X49,'Monthly Data'!L:L)</f>
        <v>344049960.45204061</v>
      </c>
      <c r="Z49" s="260">
        <f>SUMIF('Monthly Data'!$B:$B,X49,'Monthly Data'!M:M)</f>
        <v>4819230.9586269651</v>
      </c>
      <c r="AA49" s="260">
        <f t="shared" si="45"/>
        <v>348869191.4106676</v>
      </c>
      <c r="AB49" s="260"/>
      <c r="AC49" s="260">
        <f ca="1">SUMIF('GS50-999 Normalized Monthly WN'!$B:$B,X49,'GS50-999 Normalized Monthly WN'!$S:$S)</f>
        <v>352073489.64595705</v>
      </c>
      <c r="AD49" s="260">
        <f t="shared" si="46"/>
        <v>4819230.9586269651</v>
      </c>
      <c r="AE49" s="260">
        <f t="shared" ca="1" si="47"/>
        <v>347254258.68733007</v>
      </c>
      <c r="AF49" s="260"/>
      <c r="AG49" s="260">
        <f t="shared" ca="1" si="48"/>
        <v>347254258.68733007</v>
      </c>
      <c r="AH49" s="260">
        <f>SUMIF('Monthly Data'!$B:$B,X49,'Monthly Data'!DL:DL)</f>
        <v>7037827.54</v>
      </c>
      <c r="AI49" s="260">
        <f ca="1">AH49+AG49</f>
        <v>354292086.22733009</v>
      </c>
      <c r="AK49" s="258">
        <f t="shared" si="55"/>
        <v>2017</v>
      </c>
      <c r="AL49" s="260">
        <f>SUMIF('Monthly Data'!$B:$B,AK49,'Monthly Data'!Q:Q)</f>
        <v>82458080.47410427</v>
      </c>
      <c r="AM49" s="260">
        <f>SUMIF('Monthly Data'!$B:$B,AK49,'Monthly Data'!R:R)</f>
        <v>10265409.998426484</v>
      </c>
      <c r="AN49" s="260">
        <f t="shared" si="50"/>
        <v>92723490.472530752</v>
      </c>
      <c r="AO49" s="260"/>
      <c r="AP49" s="260">
        <f ca="1">SUMIF('GS 1k-4,999 Normalized Mont WN'!$B:$B,X49,'GS 1k-4,999 Normalized Mont WN'!$P:$P)</f>
        <v>93692992.228767946</v>
      </c>
      <c r="AQ49" s="260">
        <f t="shared" si="56"/>
        <v>10265409.998426484</v>
      </c>
      <c r="AR49" s="260">
        <f t="shared" ca="1" si="57"/>
        <v>83427582.230341464</v>
      </c>
      <c r="AS49" s="260"/>
      <c r="AT49" s="260">
        <f t="shared" ca="1" si="58"/>
        <v>83427582.230341464</v>
      </c>
      <c r="AV49" s="258">
        <f t="shared" si="59"/>
        <v>2017</v>
      </c>
      <c r="AW49" s="260">
        <f>SUMIF('Monthly Data'!$B:$B,AV49,'Monthly Data'!V:V)</f>
        <v>37536243</v>
      </c>
      <c r="AX49" s="260">
        <f>SUMIF('Monthly Data'!$B:$B,AV49,'Monthly Data'!W:W)</f>
        <v>139443.67499999999</v>
      </c>
      <c r="AY49" s="260">
        <f t="shared" si="51"/>
        <v>37675686.674999997</v>
      </c>
      <c r="AZ49" s="260"/>
      <c r="BA49" s="260">
        <f ca="1">SUMIF('Large Use Normalized Monthl WN'!$B:$B,AV49,'Large Use Normalized Monthl WN'!$W:$W)</f>
        <v>37897561.492115833</v>
      </c>
      <c r="BB49" s="260">
        <f t="shared" si="60"/>
        <v>139443.67499999999</v>
      </c>
      <c r="BC49" s="260">
        <f t="shared" ca="1" si="61"/>
        <v>37758117.817115836</v>
      </c>
      <c r="BD49" s="260"/>
      <c r="BE49" s="260">
        <f t="shared" ca="1" si="62"/>
        <v>37758117.817115836</v>
      </c>
      <c r="BF49" s="4"/>
    </row>
    <row r="50" spans="2:58" x14ac:dyDescent="0.25">
      <c r="B50" s="258">
        <f t="shared" si="52"/>
        <v>2018</v>
      </c>
      <c r="C50" s="260">
        <f>SUMIF('Monthly Data'!$B:$B,B50,'Monthly Data'!D:D)</f>
        <v>483410781.91419953</v>
      </c>
      <c r="D50" s="260">
        <f>SUMIF('Monthly Data'!$B:$B,B50,'Monthly Data'!E:E)</f>
        <v>27652754.856041782</v>
      </c>
      <c r="E50" s="260">
        <f t="shared" si="37"/>
        <v>511063536.77024132</v>
      </c>
      <c r="F50" s="8"/>
      <c r="G50" s="260">
        <f ca="1">SUMIF('Res Normalized Monthly WN'!$B:$B,B50,'Res Normalized Monthly WN'!$R:$R)</f>
        <v>496478661.00888073</v>
      </c>
      <c r="H50" s="260">
        <f t="shared" si="38"/>
        <v>27652754.856041782</v>
      </c>
      <c r="I50" s="260">
        <f t="shared" ca="1" si="39"/>
        <v>468825906.15283895</v>
      </c>
      <c r="J50" s="260"/>
      <c r="K50" s="260">
        <f t="shared" ca="1" si="40"/>
        <v>468825906.15283895</v>
      </c>
      <c r="L50" s="4"/>
      <c r="M50" s="258">
        <f t="shared" si="53"/>
        <v>2018</v>
      </c>
      <c r="N50" s="260">
        <f>SUMIF('Monthly Data'!$B:$B,M50,'Monthly Data'!H:H)</f>
        <v>134207593</v>
      </c>
      <c r="O50" s="260">
        <f>SUMIF('Monthly Data'!$B:$B,M50,'Monthly Data'!I:I)</f>
        <v>6398722.2314855205</v>
      </c>
      <c r="P50" s="260">
        <f t="shared" si="41"/>
        <v>140606315.23148552</v>
      </c>
      <c r="Q50" s="8"/>
      <c r="R50" s="260">
        <f ca="1">SUMIF('GS&lt;50 Normalized Monthly WN'!$B:$B,M50,'GS&lt;50 Normalized Monthly WN'!S:$S)</f>
        <v>137888732.93778703</v>
      </c>
      <c r="S50" s="260">
        <f t="shared" si="42"/>
        <v>6398722.2314855205</v>
      </c>
      <c r="T50" s="260">
        <f t="shared" ca="1" si="43"/>
        <v>131490010.70630151</v>
      </c>
      <c r="U50" s="260"/>
      <c r="V50" s="260">
        <f t="shared" ca="1" si="44"/>
        <v>131490010.70630151</v>
      </c>
      <c r="W50" s="4"/>
      <c r="X50" s="258">
        <f t="shared" si="54"/>
        <v>2018</v>
      </c>
      <c r="Y50" s="260">
        <f>SUMIF('Monthly Data'!$B:$B,X50,'Monthly Data'!L:L)</f>
        <v>324633082.5551976</v>
      </c>
      <c r="Z50" s="260">
        <f>SUMIF('Monthly Data'!$B:$B,X50,'Monthly Data'!M:M)</f>
        <v>7226093.9416703666</v>
      </c>
      <c r="AA50" s="260">
        <f t="shared" si="45"/>
        <v>331859176.49686795</v>
      </c>
      <c r="AB50" s="8"/>
      <c r="AC50" s="260">
        <f ca="1">SUMIF('GS50-999 Normalized Monthly WN'!$B:$B,X50,'GS50-999 Normalized Monthly WN'!$S:$S)</f>
        <v>324820196.76769185</v>
      </c>
      <c r="AD50" s="260">
        <f t="shared" si="46"/>
        <v>7226093.9416703666</v>
      </c>
      <c r="AE50" s="260">
        <f t="shared" ca="1" si="47"/>
        <v>317594102.82602149</v>
      </c>
      <c r="AF50" s="260"/>
      <c r="AG50" s="260">
        <f t="shared" ca="1" si="48"/>
        <v>317594102.82602149</v>
      </c>
      <c r="AH50" s="260">
        <f>SUMIF('Monthly Data'!$B:$B,X50,'Monthly Data'!DL:DL)</f>
        <v>6881329.080000001</v>
      </c>
      <c r="AI50" s="260">
        <f t="shared" ref="AI50:AI57" ca="1" si="63">AH50+AG50</f>
        <v>324475431.90602148</v>
      </c>
      <c r="AK50" s="258">
        <f t="shared" si="55"/>
        <v>2018</v>
      </c>
      <c r="AL50" s="260">
        <f>SUMIF('Monthly Data'!$B:$B,AK50,'Monthly Data'!Q:Q)</f>
        <v>76765563.974827826</v>
      </c>
      <c r="AM50" s="260">
        <f>SUMIF('Monthly Data'!$B:$B,AK50,'Monthly Data'!R:R)</f>
        <v>10267066.018426483</v>
      </c>
      <c r="AN50" s="260">
        <f t="shared" si="50"/>
        <v>87032629.993254304</v>
      </c>
      <c r="AO50" s="260"/>
      <c r="AP50" s="260">
        <f ca="1">SUMIF('GS 1k-4,999 Normalized Mont WN'!$B:$B,X50,'GS 1k-4,999 Normalized Mont WN'!$P:$P)</f>
        <v>86017195.866369158</v>
      </c>
      <c r="AQ50" s="260">
        <f t="shared" si="56"/>
        <v>10267066.018426483</v>
      </c>
      <c r="AR50" s="260">
        <f t="shared" ca="1" si="57"/>
        <v>75750129.84794268</v>
      </c>
      <c r="AS50" s="260"/>
      <c r="AT50" s="260">
        <f t="shared" ca="1" si="58"/>
        <v>75750129.84794268</v>
      </c>
      <c r="AV50" s="258">
        <f t="shared" si="59"/>
        <v>2018</v>
      </c>
      <c r="AW50" s="260">
        <f>SUMIF('Monthly Data'!$B:$B,AV50,'Monthly Data'!V:V)</f>
        <v>44873420</v>
      </c>
      <c r="AX50" s="260">
        <f>SUMIF('Monthly Data'!$B:$B,AV50,'Monthly Data'!W:W)</f>
        <v>278914.11666666676</v>
      </c>
      <c r="AY50" s="260">
        <f t="shared" si="51"/>
        <v>45152334.116666667</v>
      </c>
      <c r="AZ50" s="260"/>
      <c r="BA50" s="260">
        <f ca="1">SUMIF('Large Use Normalized Monthl WN'!$B:$B,AV50,'Large Use Normalized Monthl WN'!$W:$W)</f>
        <v>44858391.743185356</v>
      </c>
      <c r="BB50" s="260">
        <f t="shared" si="60"/>
        <v>278914.11666666676</v>
      </c>
      <c r="BC50" s="260">
        <f t="shared" ca="1" si="61"/>
        <v>44579477.626518689</v>
      </c>
      <c r="BD50" s="260"/>
      <c r="BE50" s="260">
        <f t="shared" ca="1" si="62"/>
        <v>44579477.626518689</v>
      </c>
      <c r="BF50" s="4"/>
    </row>
    <row r="51" spans="2:58" x14ac:dyDescent="0.25">
      <c r="B51" s="258">
        <f t="shared" si="52"/>
        <v>2019</v>
      </c>
      <c r="C51" s="260">
        <f>SUMIF('Monthly Data'!$B:$B,B51,'Monthly Data'!D:D)</f>
        <v>482531157.99999994</v>
      </c>
      <c r="D51" s="260">
        <f>SUMIF('Monthly Data'!$B:$B,B51,'Monthly Data'!E:E)</f>
        <v>29232189.000000007</v>
      </c>
      <c r="E51" s="260">
        <f t="shared" si="37"/>
        <v>511763346.99999994</v>
      </c>
      <c r="F51" s="8"/>
      <c r="G51" s="260">
        <f ca="1">SUMIF('Res Normalized Monthly WN'!$B:$B,B51,'Res Normalized Monthly WN'!$R:$R)</f>
        <v>508627721.79848683</v>
      </c>
      <c r="H51" s="260">
        <f t="shared" si="38"/>
        <v>29232189.000000007</v>
      </c>
      <c r="I51" s="260">
        <f t="shared" ca="1" si="39"/>
        <v>479395532.79848683</v>
      </c>
      <c r="J51" s="260"/>
      <c r="K51" s="260">
        <f t="shared" ca="1" si="40"/>
        <v>479395532.79848683</v>
      </c>
      <c r="L51" s="4"/>
      <c r="M51" s="258">
        <f t="shared" si="53"/>
        <v>2019</v>
      </c>
      <c r="N51" s="260">
        <f>SUMIF('Monthly Data'!$B:$B,M51,'Monthly Data'!H:H)</f>
        <v>117191070.00000001</v>
      </c>
      <c r="O51" s="260">
        <f>SUMIF('Monthly Data'!$B:$B,M51,'Monthly Data'!I:I)</f>
        <v>6673753.7377930023</v>
      </c>
      <c r="P51" s="260">
        <f t="shared" si="41"/>
        <v>123864823.73779301</v>
      </c>
      <c r="Q51" s="8"/>
      <c r="R51" s="260">
        <f ca="1">SUMIF('GS&lt;50 Normalized Monthly WN'!$B:$B,M51,'GS&lt;50 Normalized Monthly WN'!S:$S)</f>
        <v>123162404.40497735</v>
      </c>
      <c r="S51" s="260">
        <f t="shared" si="42"/>
        <v>6673753.7377930023</v>
      </c>
      <c r="T51" s="260">
        <f t="shared" ca="1" si="43"/>
        <v>116488650.66718435</v>
      </c>
      <c r="U51" s="260"/>
      <c r="V51" s="260">
        <f t="shared" ca="1" si="44"/>
        <v>116488650.66718435</v>
      </c>
      <c r="W51" s="4"/>
      <c r="X51" s="258">
        <f t="shared" si="54"/>
        <v>2019</v>
      </c>
      <c r="Y51" s="260">
        <f>SUMIF('Monthly Data'!$B:$B,X51,'Monthly Data'!L:L)</f>
        <v>328874818.72622365</v>
      </c>
      <c r="Z51" s="260">
        <f>SUMIF('Monthly Data'!$B:$B,X51,'Monthly Data'!M:M)</f>
        <v>7815669.4940469246</v>
      </c>
      <c r="AA51" s="260">
        <f t="shared" si="45"/>
        <v>336690488.22027057</v>
      </c>
      <c r="AB51" s="8"/>
      <c r="AC51" s="260">
        <f ca="1">SUMIF('GS50-999 Normalized Monthly WN'!$B:$B,X51,'GS50-999 Normalized Monthly WN'!$S:$S)</f>
        <v>333222334.58883011</v>
      </c>
      <c r="AD51" s="260">
        <f t="shared" si="46"/>
        <v>7815669.4940469246</v>
      </c>
      <c r="AE51" s="260">
        <f t="shared" ca="1" si="47"/>
        <v>325406665.09478319</v>
      </c>
      <c r="AF51" s="260"/>
      <c r="AG51" s="260">
        <f t="shared" ca="1" si="48"/>
        <v>325406665.09478319</v>
      </c>
      <c r="AH51" s="260">
        <f>SUMIF('Monthly Data'!$B:$B,X51,'Monthly Data'!DL:DL)</f>
        <v>6533878.75</v>
      </c>
      <c r="AI51" s="260">
        <f t="shared" ca="1" si="63"/>
        <v>331940543.84478319</v>
      </c>
      <c r="AK51" s="258">
        <f t="shared" si="55"/>
        <v>2019</v>
      </c>
      <c r="AL51" s="260">
        <f>SUMIF('Monthly Data'!$B:$B,AK51,'Monthly Data'!Q:Q)</f>
        <v>76875274.273776412</v>
      </c>
      <c r="AM51" s="260">
        <f>SUMIF('Monthly Data'!$B:$B,AK51,'Monthly Data'!R:R)</f>
        <v>10267066.018426485</v>
      </c>
      <c r="AN51" s="260">
        <f t="shared" si="50"/>
        <v>87142340.29220289</v>
      </c>
      <c r="AO51" s="260"/>
      <c r="AP51" s="260">
        <f ca="1">SUMIF('GS 1k-4,999 Normalized Mont WN'!$B:$B,X51,'GS 1k-4,999 Normalized Mont WN'!$P:$P)</f>
        <v>87799145.839306474</v>
      </c>
      <c r="AQ51" s="260">
        <f t="shared" si="56"/>
        <v>10267066.018426485</v>
      </c>
      <c r="AR51" s="260">
        <f t="shared" ca="1" si="57"/>
        <v>77532079.820879996</v>
      </c>
      <c r="AS51" s="260"/>
      <c r="AT51" s="260">
        <f t="shared" ca="1" si="58"/>
        <v>77532079.820879996</v>
      </c>
      <c r="AV51" s="258">
        <f t="shared" si="59"/>
        <v>2019</v>
      </c>
      <c r="AW51" s="260">
        <f>SUMIF('Monthly Data'!$B:$B,AV51,'Monthly Data'!V:V)</f>
        <v>38878938</v>
      </c>
      <c r="AX51" s="260">
        <f>SUMIF('Monthly Data'!$B:$B,AV51,'Monthly Data'!W:W)</f>
        <v>278694.2333333334</v>
      </c>
      <c r="AY51" s="260">
        <f t="shared" si="51"/>
        <v>39157632.233333334</v>
      </c>
      <c r="AZ51" s="260"/>
      <c r="BA51" s="260">
        <f ca="1">SUMIF('Large Use Normalized Monthl WN'!$B:$B,AV51,'Large Use Normalized Monthl WN'!$W:$W)</f>
        <v>39227806.680510491</v>
      </c>
      <c r="BB51" s="260">
        <f t="shared" si="60"/>
        <v>278694.2333333334</v>
      </c>
      <c r="BC51" s="260">
        <f t="shared" ca="1" si="61"/>
        <v>38949112.447177157</v>
      </c>
      <c r="BD51" s="260"/>
      <c r="BE51" s="260">
        <f t="shared" ca="1" si="62"/>
        <v>38949112.447177157</v>
      </c>
      <c r="BF51" s="4"/>
    </row>
    <row r="52" spans="2:58" x14ac:dyDescent="0.25">
      <c r="B52" s="258">
        <f t="shared" si="52"/>
        <v>2020</v>
      </c>
      <c r="C52" s="260">
        <f>SUMIF('Monthly Data'!$B:$B,B52,'Monthly Data'!D:D)</f>
        <v>515808015</v>
      </c>
      <c r="D52" s="260">
        <f>SUMIF('Monthly Data'!$B:$B,B52,'Monthly Data'!E:E)</f>
        <v>29230323.999999996</v>
      </c>
      <c r="E52" s="260">
        <f t="shared" si="37"/>
        <v>545038339</v>
      </c>
      <c r="F52" s="260"/>
      <c r="G52" s="260">
        <f ca="1">SUMIF('Res Normalized Monthly WN'!$B:$B,B52,'Res Normalized Monthly WN'!$R:$R)</f>
        <v>546759303.81643105</v>
      </c>
      <c r="H52" s="260">
        <f t="shared" si="38"/>
        <v>29230323.999999996</v>
      </c>
      <c r="I52" s="260">
        <f t="shared" ca="1" si="39"/>
        <v>517528979.81643105</v>
      </c>
      <c r="J52" s="260"/>
      <c r="K52" s="260">
        <f t="shared" ca="1" si="40"/>
        <v>517528979.81643105</v>
      </c>
      <c r="L52" s="4"/>
      <c r="M52" s="258">
        <f t="shared" si="53"/>
        <v>2020</v>
      </c>
      <c r="N52" s="260">
        <f>SUMIF('Monthly Data'!$B:$B,M52,'Monthly Data'!H:H)</f>
        <v>115055107</v>
      </c>
      <c r="O52" s="260">
        <f>SUMIF('Monthly Data'!$B:$B,M52,'Monthly Data'!I:I)</f>
        <v>6585301.5072964681</v>
      </c>
      <c r="P52" s="260">
        <f t="shared" si="41"/>
        <v>121640408.50729647</v>
      </c>
      <c r="Q52" s="260"/>
      <c r="R52" s="260">
        <f ca="1">SUMIF('GS&lt;50 Normalized Monthly WN'!$B:$B,M52,'GS&lt;50 Normalized Monthly WN'!S:$S)</f>
        <v>121129087.46409236</v>
      </c>
      <c r="S52" s="260">
        <f t="shared" si="42"/>
        <v>6585301.5072964681</v>
      </c>
      <c r="T52" s="260">
        <f t="shared" ca="1" si="43"/>
        <v>114543785.95679589</v>
      </c>
      <c r="U52" s="260"/>
      <c r="V52" s="260">
        <f t="shared" ca="1" si="44"/>
        <v>114543785.95679589</v>
      </c>
      <c r="W52" s="4"/>
      <c r="X52" s="258">
        <f t="shared" si="54"/>
        <v>2020</v>
      </c>
      <c r="Y52" s="260">
        <f>SUMIF('Monthly Data'!$B:$B,X52,'Monthly Data'!L:L)</f>
        <v>304515885.12731272</v>
      </c>
      <c r="Z52" s="260">
        <f>SUMIF('Monthly Data'!$B:$B,X52,'Monthly Data'!M:M)</f>
        <v>7784984.8386269622</v>
      </c>
      <c r="AA52" s="260">
        <f t="shared" si="45"/>
        <v>312300869.9659397</v>
      </c>
      <c r="AB52" s="260"/>
      <c r="AC52" s="260">
        <f ca="1">SUMIF('GS50-999 Normalized Monthly WN'!$B:$B,X52,'GS50-999 Normalized Monthly WN'!$S:$S)</f>
        <v>311999081.33645248</v>
      </c>
      <c r="AD52" s="260">
        <f t="shared" si="46"/>
        <v>7784984.8386269622</v>
      </c>
      <c r="AE52" s="260">
        <f t="shared" ca="1" si="47"/>
        <v>304214096.4978255</v>
      </c>
      <c r="AF52" s="260"/>
      <c r="AG52" s="260">
        <f t="shared" ca="1" si="48"/>
        <v>304214096.4978255</v>
      </c>
      <c r="AH52" s="260">
        <f>SUMIF('Monthly Data'!$B:$B,X52,'Monthly Data'!DL:DL)</f>
        <v>6595333.6099999994</v>
      </c>
      <c r="AI52" s="260">
        <f t="shared" ca="1" si="63"/>
        <v>310809430.10782552</v>
      </c>
      <c r="AK52" s="258">
        <f t="shared" si="55"/>
        <v>2020</v>
      </c>
      <c r="AL52" s="260">
        <f>SUMIF('Monthly Data'!$B:$B,AK52,'Monthly Data'!Q:Q)</f>
        <v>70871831.87268728</v>
      </c>
      <c r="AM52" s="260">
        <f>SUMIF('Monthly Data'!$B:$B,AK52,'Monthly Data'!R:R)</f>
        <v>10266934.348426484</v>
      </c>
      <c r="AN52" s="260">
        <f t="shared" si="50"/>
        <v>81138766.221113771</v>
      </c>
      <c r="AO52" s="260"/>
      <c r="AP52" s="260">
        <f ca="1">SUMIF('GS 1k-4,999 Normalized Mont WN'!$B:$B,X52,'GS 1k-4,999 Normalized Mont WN'!$P:$P)</f>
        <v>80446491.162310734</v>
      </c>
      <c r="AQ52" s="260">
        <f t="shared" si="56"/>
        <v>10266934.348426484</v>
      </c>
      <c r="AR52" s="260">
        <f t="shared" ca="1" si="57"/>
        <v>70179556.813884258</v>
      </c>
      <c r="AS52" s="260"/>
      <c r="AT52" s="260">
        <f t="shared" ca="1" si="58"/>
        <v>70179556.813884258</v>
      </c>
      <c r="AV52" s="258">
        <f t="shared" si="59"/>
        <v>2020</v>
      </c>
      <c r="AW52" s="260">
        <f>SUMIF('Monthly Data'!$B:$B,AV52,'Monthly Data'!V:V)</f>
        <v>30798516</v>
      </c>
      <c r="AX52" s="260">
        <f>SUMIF('Monthly Data'!$B:$B,AV52,'Monthly Data'!W:W)</f>
        <v>278474.34999999998</v>
      </c>
      <c r="AY52" s="260">
        <f t="shared" si="51"/>
        <v>31076990.350000001</v>
      </c>
      <c r="AZ52" s="260"/>
      <c r="BA52" s="260">
        <f ca="1">SUMIF('Large Use Normalized Monthl WN'!$B:$B,AV52,'Large Use Normalized Monthl WN'!$W:$W)</f>
        <v>31027894.403630864</v>
      </c>
      <c r="BB52" s="260">
        <f t="shared" si="60"/>
        <v>278474.34999999998</v>
      </c>
      <c r="BC52" s="260">
        <f t="shared" ca="1" si="61"/>
        <v>30749420.053630862</v>
      </c>
      <c r="BD52" s="260"/>
      <c r="BE52" s="260">
        <f t="shared" ca="1" si="62"/>
        <v>30749420.053630862</v>
      </c>
      <c r="BF52" s="4"/>
    </row>
    <row r="53" spans="2:58" x14ac:dyDescent="0.25">
      <c r="B53" s="258">
        <f t="shared" si="52"/>
        <v>2021</v>
      </c>
      <c r="C53" s="260">
        <f>SUMIF('Monthly Data'!$B:$B,B53,'Monthly Data'!D:D)</f>
        <v>512708990.99999994</v>
      </c>
      <c r="D53" s="260">
        <f ca="1">SUMIF('Monthly Data'!$B:$B,B53,'Monthly Data'!E:E)</f>
        <v>29325549.003924958</v>
      </c>
      <c r="E53" s="260">
        <f t="shared" ca="1" si="37"/>
        <v>542034540.00392485</v>
      </c>
      <c r="F53" s="8"/>
      <c r="G53" s="260">
        <f ca="1">SUMIF('Res Normalized Monthly WN'!$B:$B,B53,'Res Normalized Monthly WN'!$R:$R)</f>
        <v>541867372.71503544</v>
      </c>
      <c r="H53" s="260">
        <f t="shared" ca="1" si="38"/>
        <v>29325549.003924958</v>
      </c>
      <c r="I53" s="260">
        <f t="shared" ca="1" si="39"/>
        <v>512541823.71111047</v>
      </c>
      <c r="J53" s="260"/>
      <c r="K53" s="260">
        <f t="shared" ca="1" si="40"/>
        <v>512541823.71111047</v>
      </c>
      <c r="L53" s="4"/>
      <c r="M53" s="258">
        <f t="shared" si="53"/>
        <v>2021</v>
      </c>
      <c r="N53" s="260">
        <f>SUMIF('Monthly Data'!$B:$B,M53,'Monthly Data'!H:H)</f>
        <v>119245755.00000001</v>
      </c>
      <c r="O53" s="260">
        <f ca="1">SUMIF('Monthly Data'!$B:$B,M53,'Monthly Data'!I:I)</f>
        <v>6868617.9604984438</v>
      </c>
      <c r="P53" s="260">
        <f t="shared" ca="1" si="41"/>
        <v>126114372.96049845</v>
      </c>
      <c r="Q53" s="8"/>
      <c r="R53" s="260">
        <f ca="1">SUMIF('GS&lt;50 Normalized Monthly WN'!$B:$B,M53,'GS&lt;50 Normalized Monthly WN'!S:$S)</f>
        <v>126211052.04086807</v>
      </c>
      <c r="S53" s="260">
        <f t="shared" ca="1" si="42"/>
        <v>6868617.9604984438</v>
      </c>
      <c r="T53" s="260">
        <f t="shared" ca="1" si="43"/>
        <v>119342434.08036964</v>
      </c>
      <c r="U53" s="260"/>
      <c r="V53" s="260">
        <f t="shared" ca="1" si="44"/>
        <v>119342434.08036964</v>
      </c>
      <c r="W53" s="4"/>
      <c r="X53" s="258">
        <f t="shared" si="54"/>
        <v>2021</v>
      </c>
      <c r="Y53" s="260">
        <f>SUMIF('Monthly Data'!$B:$B,X53,'Monthly Data'!L:L)</f>
        <v>310470030.40933514</v>
      </c>
      <c r="Z53" s="260">
        <f ca="1">SUMIF('Monthly Data'!$B:$B,X53,'Monthly Data'!M:M)</f>
        <v>8636151.9035762586</v>
      </c>
      <c r="AA53" s="260">
        <f t="shared" ca="1" si="45"/>
        <v>319106182.31291139</v>
      </c>
      <c r="AB53" s="8"/>
      <c r="AC53" s="260">
        <f ca="1">SUMIF('GS50-999 Normalized Monthly WN'!$B:$B,X53,'GS50-999 Normalized Monthly WN'!$S:$S)</f>
        <v>320363131.33185291</v>
      </c>
      <c r="AD53" s="260">
        <f t="shared" ca="1" si="46"/>
        <v>8636151.9035762586</v>
      </c>
      <c r="AE53" s="260">
        <f t="shared" ca="1" si="47"/>
        <v>311726979.42827666</v>
      </c>
      <c r="AF53" s="260"/>
      <c r="AG53" s="260">
        <f t="shared" ca="1" si="48"/>
        <v>311726979.42827666</v>
      </c>
      <c r="AH53" s="260">
        <f>SUMIF('Monthly Data'!$B:$B,X53,'Monthly Data'!DL:DL)</f>
        <v>6438735.9900000002</v>
      </c>
      <c r="AI53" s="260">
        <f t="shared" ca="1" si="63"/>
        <v>318165715.41827667</v>
      </c>
      <c r="AK53" s="258">
        <f t="shared" si="55"/>
        <v>2021</v>
      </c>
      <c r="AL53" s="260">
        <f>SUMIF('Monthly Data'!$B:$B,AK53,'Monthly Data'!Q:Q)</f>
        <v>70260671.590664953</v>
      </c>
      <c r="AM53" s="260">
        <f ca="1">SUMIF('Monthly Data'!$B:$B,AK53,'Monthly Data'!R:R)</f>
        <v>10396469.648205366</v>
      </c>
      <c r="AN53" s="260">
        <f t="shared" ca="1" si="50"/>
        <v>80657141.238870323</v>
      </c>
      <c r="AO53" s="260"/>
      <c r="AP53" s="260">
        <f ca="1">SUMIF('GS 1k-4,999 Normalized Mont WN'!$B:$B,X53,'GS 1k-4,999 Normalized Mont WN'!$P:$P)</f>
        <v>80170871.202040881</v>
      </c>
      <c r="AQ53" s="260">
        <f t="shared" ca="1" si="56"/>
        <v>10396469.648205366</v>
      </c>
      <c r="AR53" s="260">
        <f t="shared" ca="1" si="57"/>
        <v>69774401.553835511</v>
      </c>
      <c r="AS53" s="260"/>
      <c r="AT53" s="260">
        <f t="shared" ca="1" si="58"/>
        <v>69774401.553835511</v>
      </c>
      <c r="AV53" s="258">
        <f t="shared" si="59"/>
        <v>2021</v>
      </c>
      <c r="AW53" s="260">
        <f>SUMIF('Monthly Data'!$B:$B,AV53,'Monthly Data'!V:V)</f>
        <v>36146632</v>
      </c>
      <c r="AX53" s="260">
        <f ca="1">SUMIF('Monthly Data'!$B:$B,AV53,'Monthly Data'!W:W)</f>
        <v>323627.69424030435</v>
      </c>
      <c r="AY53" s="260">
        <f t="shared" ca="1" si="51"/>
        <v>36470259.694240302</v>
      </c>
      <c r="AZ53" s="260"/>
      <c r="BA53" s="260">
        <f ca="1">SUMIF('Large Use Normalized Monthl WN'!$B:$B,AV53,'Large Use Normalized Monthl WN'!$W:$W)</f>
        <v>36390023.714664057</v>
      </c>
      <c r="BB53" s="260">
        <f t="shared" ca="1" si="60"/>
        <v>323627.69424030435</v>
      </c>
      <c r="BC53" s="260">
        <f t="shared" ca="1" si="61"/>
        <v>36066396.020423755</v>
      </c>
      <c r="BD53" s="260"/>
      <c r="BE53" s="260">
        <f t="shared" ca="1" si="62"/>
        <v>36066396.020423755</v>
      </c>
      <c r="BF53" s="4"/>
    </row>
    <row r="54" spans="2:58" x14ac:dyDescent="0.25">
      <c r="B54" s="258">
        <f t="shared" si="52"/>
        <v>2022</v>
      </c>
      <c r="C54" s="260">
        <f>SUMIF('Monthly Data'!$B:$B,B54,'Monthly Data'!D:D)</f>
        <v>507634502.00000006</v>
      </c>
      <c r="D54" s="260">
        <f ca="1">SUMIF('Monthly Data'!$B:$B,B54,'Monthly Data'!E:E)</f>
        <v>29500616.951188017</v>
      </c>
      <c r="E54" s="260">
        <f t="shared" ca="1" si="37"/>
        <v>537135118.95118809</v>
      </c>
      <c r="F54" s="8"/>
      <c r="G54" s="260">
        <f ca="1">SUMIF('Res Normalized Monthly WN'!$B:$B,B54,'Res Normalized Monthly WN'!$R:$R)</f>
        <v>534196422.7342031</v>
      </c>
      <c r="H54" s="260">
        <f t="shared" ca="1" si="38"/>
        <v>29500616.951188017</v>
      </c>
      <c r="I54" s="260">
        <f t="shared" ca="1" si="39"/>
        <v>504695805.78301507</v>
      </c>
      <c r="J54" s="260"/>
      <c r="K54" s="260">
        <f t="shared" ca="1" si="40"/>
        <v>504695805.78301507</v>
      </c>
      <c r="L54" s="4"/>
      <c r="M54" s="258">
        <f t="shared" si="53"/>
        <v>2022</v>
      </c>
      <c r="N54" s="260">
        <f>SUMIF('Monthly Data'!$B:$B,M54,'Monthly Data'!H:H)</f>
        <v>126198741.00000001</v>
      </c>
      <c r="O54" s="260">
        <f ca="1">SUMIF('Monthly Data'!$B:$B,M54,'Monthly Data'!I:I)</f>
        <v>8005623.6327129779</v>
      </c>
      <c r="P54" s="260">
        <f t="shared" ca="1" si="41"/>
        <v>134204364.63271299</v>
      </c>
      <c r="Q54" s="8"/>
      <c r="R54" s="260">
        <f ca="1">SUMIF('GS&lt;50 Normalized Monthly WN'!$B:$B,M54,'GS&lt;50 Normalized Monthly WN'!S:$S)</f>
        <v>133735613.93532746</v>
      </c>
      <c r="S54" s="260">
        <f t="shared" ca="1" si="42"/>
        <v>8005623.6327129779</v>
      </c>
      <c r="T54" s="260">
        <f t="shared" ca="1" si="43"/>
        <v>125729990.30261448</v>
      </c>
      <c r="U54" s="260"/>
      <c r="V54" s="260">
        <f t="shared" ca="1" si="44"/>
        <v>125729990.30261448</v>
      </c>
      <c r="W54" s="4"/>
      <c r="X54" s="258">
        <f t="shared" si="54"/>
        <v>2022</v>
      </c>
      <c r="Y54" s="260">
        <f>SUMIF('Monthly Data'!$B:$B,X54,'Monthly Data'!L:L)</f>
        <v>342060680.01827008</v>
      </c>
      <c r="Z54" s="260">
        <f ca="1">SUMIF('Monthly Data'!$B:$B,X54,'Monthly Data'!M:M)</f>
        <v>10681542.257982444</v>
      </c>
      <c r="AA54" s="260">
        <f t="shared" ca="1" si="45"/>
        <v>352742222.27625251</v>
      </c>
      <c r="AB54" s="8"/>
      <c r="AC54" s="260">
        <f ca="1">SUMIF('GS50-999 Normalized Monthly WN'!$B:$B,X54,'GS50-999 Normalized Monthly WN'!$S:$S)</f>
        <v>351078898.94876093</v>
      </c>
      <c r="AD54" s="260">
        <f t="shared" ca="1" si="46"/>
        <v>10681542.257982444</v>
      </c>
      <c r="AE54" s="260">
        <f t="shared" ca="1" si="47"/>
        <v>340397356.69077849</v>
      </c>
      <c r="AF54" s="260"/>
      <c r="AG54" s="260">
        <f t="shared" ca="1" si="48"/>
        <v>340397356.69077849</v>
      </c>
      <c r="AH54" s="260">
        <f>SUMIF('Monthly Data'!$B:$B,X54,'Monthly Data'!DL:DL)</f>
        <v>6436207.1599999992</v>
      </c>
      <c r="AI54" s="260">
        <f t="shared" ca="1" si="63"/>
        <v>346833563.85077852</v>
      </c>
      <c r="AK54" s="258">
        <f t="shared" si="55"/>
        <v>2022</v>
      </c>
      <c r="AL54" s="260">
        <f>SUMIF('Monthly Data'!$B:$B,AK54,'Monthly Data'!Q:Q)</f>
        <v>81816679.460561812</v>
      </c>
      <c r="AM54" s="260">
        <f ca="1">SUMIF('Monthly Data'!$B:$B,AK54,'Monthly Data'!R:R)</f>
        <v>10770035.63865887</v>
      </c>
      <c r="AN54" s="260">
        <f t="shared" ca="1" si="50"/>
        <v>92586715.099220678</v>
      </c>
      <c r="AO54" s="260"/>
      <c r="AP54" s="260">
        <f ca="1">SUMIF('GS 1k-4,999 Normalized Mont WN'!$B:$B,X54,'GS 1k-4,999 Normalized Mont WN'!$P:$P)</f>
        <v>92751073.755052686</v>
      </c>
      <c r="AQ54" s="260">
        <f t="shared" ca="1" si="56"/>
        <v>10770035.63865887</v>
      </c>
      <c r="AR54" s="260">
        <f t="shared" ca="1" si="57"/>
        <v>81981038.116393819</v>
      </c>
      <c r="AS54" s="260"/>
      <c r="AT54" s="260">
        <f t="shared" ca="1" si="58"/>
        <v>81981038.116393819</v>
      </c>
      <c r="AV54" s="258">
        <f t="shared" si="59"/>
        <v>2022</v>
      </c>
      <c r="AW54" s="260">
        <f>SUMIF('Monthly Data'!$B:$B,AV54,'Monthly Data'!V:V)</f>
        <v>33850160</v>
      </c>
      <c r="AX54" s="260">
        <f ca="1">SUMIF('Monthly Data'!$B:$B,AV54,'Monthly Data'!W:W)</f>
        <v>414744.45476607588</v>
      </c>
      <c r="AY54" s="260">
        <f t="shared" ca="1" si="51"/>
        <v>34264904.454766072</v>
      </c>
      <c r="AZ54" s="260"/>
      <c r="BA54" s="260">
        <f ca="1">SUMIF('Large Use Normalized Monthl WN'!$B:$B,AV54,'Large Use Normalized Monthl WN'!$W:$W)</f>
        <v>34250060.016836122</v>
      </c>
      <c r="BB54" s="260">
        <f t="shared" ca="1" si="60"/>
        <v>414744.45476607588</v>
      </c>
      <c r="BC54" s="260">
        <f t="shared" ca="1" si="61"/>
        <v>33835315.562070049</v>
      </c>
      <c r="BD54" s="260"/>
      <c r="BE54" s="260">
        <f t="shared" ca="1" si="62"/>
        <v>33835315.562070049</v>
      </c>
      <c r="BF54" s="4"/>
    </row>
    <row r="55" spans="2:58" x14ac:dyDescent="0.25">
      <c r="B55" s="258">
        <f t="shared" si="52"/>
        <v>2023</v>
      </c>
      <c r="C55" s="260">
        <f>SUMIF('Monthly Data'!$B:$B,B55,'Monthly Data'!D:D)</f>
        <v>515036055.76324266</v>
      </c>
      <c r="D55" s="260">
        <f ca="1">SUMIF('Monthly Data'!$B:$B,B55,'Monthly Data'!E:E)</f>
        <v>29653776.32883602</v>
      </c>
      <c r="E55" s="260">
        <f t="shared" ca="1" si="37"/>
        <v>544689832.09207869</v>
      </c>
      <c r="F55" s="260"/>
      <c r="G55" s="260">
        <f ca="1">SUMIF('Res Normalized Monthly WN'!$B:$B,B55,'Res Normalized Monthly WN'!$R:$R)</f>
        <v>555261722.39818954</v>
      </c>
      <c r="H55" s="260">
        <f t="shared" ca="1" si="38"/>
        <v>29653776.32883602</v>
      </c>
      <c r="I55" s="260">
        <f t="shared" ca="1" si="39"/>
        <v>525607946.06935352</v>
      </c>
      <c r="J55" s="260"/>
      <c r="K55" s="260">
        <f t="shared" ca="1" si="40"/>
        <v>525607946.06935352</v>
      </c>
      <c r="L55" s="4"/>
      <c r="M55" s="258">
        <f t="shared" si="53"/>
        <v>2023</v>
      </c>
      <c r="N55" s="260">
        <f>SUMIF('Monthly Data'!$B:$B,M55,'Monthly Data'!H:H)</f>
        <v>126694932.13</v>
      </c>
      <c r="O55" s="260">
        <f ca="1">SUMIF('Monthly Data'!$B:$B,M55,'Monthly Data'!I:I)</f>
        <v>8942512.5232708063</v>
      </c>
      <c r="P55" s="260">
        <f t="shared" ca="1" si="41"/>
        <v>135637444.65327081</v>
      </c>
      <c r="Q55" s="260"/>
      <c r="R55" s="260">
        <f ca="1">SUMIF('GS&lt;50 Normalized Monthly WN'!$B:$B,M55,'GS&lt;50 Normalized Monthly WN'!S:$S)</f>
        <v>137675880.44954243</v>
      </c>
      <c r="S55" s="260">
        <f ca="1">O55</f>
        <v>8942512.5232708063</v>
      </c>
      <c r="T55" s="260">
        <f t="shared" ca="1" si="43"/>
        <v>128733367.92627163</v>
      </c>
      <c r="U55" s="260"/>
      <c r="V55" s="260">
        <f t="shared" ca="1" si="44"/>
        <v>128733367.92627163</v>
      </c>
      <c r="W55" s="4"/>
      <c r="X55" s="258">
        <f t="shared" si="54"/>
        <v>2023</v>
      </c>
      <c r="Y55" s="260">
        <f>SUMIF('Monthly Data'!$B:$B,X55,'Monthly Data'!L:L)</f>
        <v>321367374.95395875</v>
      </c>
      <c r="Z55" s="260">
        <f ca="1">SUMIF('Monthly Data'!$B:$B,X55,'Monthly Data'!M:M)</f>
        <v>12477506.8221408</v>
      </c>
      <c r="AA55" s="260">
        <f t="shared" ca="1" si="45"/>
        <v>333844881.77609956</v>
      </c>
      <c r="AB55" s="260"/>
      <c r="AC55" s="260">
        <f ca="1">SUMIF('GS50-999 Normalized Monthly WN'!$B:$B,X55,'GS50-999 Normalized Monthly WN'!$S:$S)</f>
        <v>339800244.34116364</v>
      </c>
      <c r="AD55" s="260">
        <f t="shared" ca="1" si="46"/>
        <v>12477506.8221408</v>
      </c>
      <c r="AE55" s="260">
        <f t="shared" ca="1" si="47"/>
        <v>327322737.51902282</v>
      </c>
      <c r="AF55" s="260"/>
      <c r="AG55" s="260">
        <f t="shared" ca="1" si="48"/>
        <v>327322737.51902282</v>
      </c>
      <c r="AH55" s="260">
        <f>SUMIF('Monthly Data'!$B:$B,X55,'Monthly Data'!DL:DL)</f>
        <v>6210683.4100000001</v>
      </c>
      <c r="AI55" s="260">
        <f t="shared" ca="1" si="63"/>
        <v>333533420.92902285</v>
      </c>
      <c r="AK55" s="258">
        <f t="shared" si="55"/>
        <v>2023</v>
      </c>
      <c r="AL55" s="260">
        <f>SUMIF('Monthly Data'!$B:$B,AK55,'Monthly Data'!Q:Q)</f>
        <v>77073500.362002477</v>
      </c>
      <c r="AM55" s="260">
        <f ca="1">SUMIF('Monthly Data'!$B:$B,AK55,'Monthly Data'!R:R)</f>
        <v>11315787.568566125</v>
      </c>
      <c r="AN55" s="260">
        <f t="shared" ca="1" si="50"/>
        <v>88389287.930568606</v>
      </c>
      <c r="AO55" s="260"/>
      <c r="AP55" s="260">
        <f ca="1">SUMIF('GS 1k-4,999 Normalized Mont WN'!$B:$B,X55,'GS 1k-4,999 Normalized Mont WN'!$P:$P)</f>
        <v>88866898.559220448</v>
      </c>
      <c r="AQ55" s="260">
        <f t="shared" ca="1" si="56"/>
        <v>11315787.568566125</v>
      </c>
      <c r="AR55" s="260">
        <f t="shared" ca="1" si="57"/>
        <v>77551110.99065432</v>
      </c>
      <c r="AS55" s="260"/>
      <c r="AT55" s="260">
        <f t="shared" ca="1" si="58"/>
        <v>77551110.99065432</v>
      </c>
      <c r="AV55" s="258">
        <f t="shared" si="59"/>
        <v>2023</v>
      </c>
      <c r="AW55" s="260">
        <f>SUMIF('Monthly Data'!$B:$B,AV55,'Monthly Data'!V:V)</f>
        <v>33850160.000000007</v>
      </c>
      <c r="AX55" s="260">
        <f ca="1">SUMIF('Monthly Data'!$B:$B,AV55,'Monthly Data'!W:W)</f>
        <v>517198.52568385785</v>
      </c>
      <c r="AY55" s="260">
        <f t="shared" ca="1" si="51"/>
        <v>34367358.525683865</v>
      </c>
      <c r="AZ55" s="260"/>
      <c r="BA55" s="260">
        <f ca="1">SUMIF('Large Use Normalized Monthl WN'!$B:$B,AV55,'Large Use Normalized Monthl WN'!$W:$W)</f>
        <v>34538849.043435469</v>
      </c>
      <c r="BB55" s="260">
        <f t="shared" ca="1" si="60"/>
        <v>517198.52568385785</v>
      </c>
      <c r="BC55" s="260">
        <f t="shared" ca="1" si="61"/>
        <v>34021650.517751612</v>
      </c>
      <c r="BD55" s="260"/>
      <c r="BE55" s="260">
        <f t="shared" ca="1" si="62"/>
        <v>34021650.517751612</v>
      </c>
      <c r="BF55" s="4"/>
    </row>
    <row r="56" spans="2:58" x14ac:dyDescent="0.25">
      <c r="B56" s="258">
        <f t="shared" si="52"/>
        <v>2024</v>
      </c>
      <c r="C56" s="260">
        <f>SUMIF('Monthly Data'!$B:$B,B56,'Monthly Data'!D:D)</f>
        <v>521985566.99999994</v>
      </c>
      <c r="D56" s="260">
        <f ca="1">SUMIF('Monthly Data'!$B:$B,B56,'Monthly Data'!E:E)</f>
        <v>30767232.034155205</v>
      </c>
      <c r="E56" s="260">
        <f ca="1">C56+D56</f>
        <v>552752799.03415513</v>
      </c>
      <c r="F56" s="260"/>
      <c r="G56" s="260">
        <f ca="1">SUMIF('Res Normalized Monthly WN'!$B:$B,B56,'Res Normalized Monthly WN'!$R:$R)</f>
        <v>562588728.95895648</v>
      </c>
      <c r="H56" s="260">
        <f ca="1">D56</f>
        <v>30767232.034155205</v>
      </c>
      <c r="I56" s="260">
        <f ca="1">G56-H56</f>
        <v>531821496.92480129</v>
      </c>
      <c r="J56" s="260"/>
      <c r="K56" s="260">
        <f ca="1">I56+J56</f>
        <v>531821496.92480129</v>
      </c>
      <c r="L56" s="4"/>
      <c r="M56" s="258">
        <f t="shared" si="53"/>
        <v>2024</v>
      </c>
      <c r="N56" s="260">
        <f>SUMIF('Monthly Data'!$B:$B,M56,'Monthly Data'!H:H)</f>
        <v>131348675</v>
      </c>
      <c r="O56" s="260">
        <f ca="1">SUMIF('Monthly Data'!$B:$B,M56,'Monthly Data'!I:I)</f>
        <v>9978626.72635502</v>
      </c>
      <c r="P56" s="260">
        <f ca="1">N56+O56</f>
        <v>141327301.72635502</v>
      </c>
      <c r="Q56" s="260"/>
      <c r="R56" s="260">
        <f ca="1">SUMIF('GS&lt;50 Normalized Monthly WN'!$B:$B,M56,'GS&lt;50 Normalized Monthly WN'!S:$S)</f>
        <v>143246624.90875113</v>
      </c>
      <c r="S56" s="260">
        <f ca="1">O56</f>
        <v>9978626.72635502</v>
      </c>
      <c r="T56" s="260">
        <f ca="1">R56-S56</f>
        <v>133267998.18239611</v>
      </c>
      <c r="U56" s="260"/>
      <c r="V56" s="260">
        <f ca="1">T56+U56</f>
        <v>133267998.18239611</v>
      </c>
      <c r="W56" s="4"/>
      <c r="X56" s="258">
        <f t="shared" si="54"/>
        <v>2024</v>
      </c>
      <c r="Y56" s="260">
        <f>SUMIF('Monthly Data'!$B:$B,X56,'Monthly Data'!L:L)</f>
        <v>316661892.99999994</v>
      </c>
      <c r="Z56" s="260">
        <f ca="1">SUMIF('Monthly Data'!$B:$B,X56,'Monthly Data'!M:M)</f>
        <v>14195316.037998686</v>
      </c>
      <c r="AA56" s="260">
        <f ca="1">Y56+Z56</f>
        <v>330857209.03799862</v>
      </c>
      <c r="AB56" s="260"/>
      <c r="AC56" s="260">
        <f ca="1">SUMIF('GS50-999 Normalized Monthly WN'!$B:$B,X56,'GS50-999 Normalized Monthly WN'!$S:$S)</f>
        <v>336951064.72995925</v>
      </c>
      <c r="AD56" s="260">
        <f ca="1">Z56</f>
        <v>14195316.037998686</v>
      </c>
      <c r="AE56" s="260">
        <f ca="1">AC56-AD56</f>
        <v>322755748.69196057</v>
      </c>
      <c r="AF56" s="260"/>
      <c r="AG56" s="260">
        <f t="shared" ca="1" si="48"/>
        <v>322755748.69196057</v>
      </c>
      <c r="AH56" s="260">
        <f>SUMIF('Monthly Data'!$B:$B,X56,'Monthly Data'!DL:DL)</f>
        <v>6210989.5600000005</v>
      </c>
      <c r="AI56" s="260">
        <f t="shared" ca="1" si="63"/>
        <v>328966738.25196058</v>
      </c>
      <c r="AK56" s="258">
        <f t="shared" si="55"/>
        <v>2024</v>
      </c>
      <c r="AL56" s="260">
        <f>SUMIF('Monthly Data'!$B:$B,AK56,'Monthly Data'!Q:Q)</f>
        <v>81507757</v>
      </c>
      <c r="AM56" s="260">
        <f ca="1">SUMIF('Monthly Data'!$B:$B,AK56,'Monthly Data'!R:R)</f>
        <v>12646208.332555251</v>
      </c>
      <c r="AN56" s="260">
        <f t="shared" ca="1" si="50"/>
        <v>94153965.332555249</v>
      </c>
      <c r="AO56" s="260"/>
      <c r="AP56" s="260">
        <f ca="1">SUMIF('GS 1k-4,999 Normalized Mont WN'!$B:$B,X56,'GS 1k-4,999 Normalized Mont WN'!$P:$P)</f>
        <v>94165498.886018872</v>
      </c>
      <c r="AQ56" s="260">
        <f t="shared" ca="1" si="56"/>
        <v>12646208.332555251</v>
      </c>
      <c r="AR56" s="260">
        <f t="shared" ca="1" si="57"/>
        <v>81519290.553463623</v>
      </c>
      <c r="AS56" s="260"/>
      <c r="AT56" s="260">
        <f t="shared" ca="1" si="58"/>
        <v>81519290.553463623</v>
      </c>
      <c r="AV56" s="258">
        <f t="shared" si="59"/>
        <v>2024</v>
      </c>
      <c r="AW56" s="260">
        <f>SUMIF('Monthly Data'!$B:$B,AV56,'Monthly Data'!V:V)</f>
        <v>39718185</v>
      </c>
      <c r="AX56" s="260">
        <f ca="1">SUMIF('Monthly Data'!$B:$B,AV56,'Monthly Data'!W:W)</f>
        <v>661569.17556152958</v>
      </c>
      <c r="AY56" s="260">
        <f t="shared" ca="1" si="51"/>
        <v>40379754.175561532</v>
      </c>
      <c r="AZ56" s="260"/>
      <c r="BA56" s="260">
        <f ca="1">SUMIF('Large Use Normalized Monthl WN'!$B:$B,AV56,'Large Use Normalized Monthl WN'!$W:$W)</f>
        <v>40478867.506897829</v>
      </c>
      <c r="BB56" s="260">
        <f t="shared" ca="1" si="60"/>
        <v>661569.17556152958</v>
      </c>
      <c r="BC56" s="260">
        <f t="shared" ca="1" si="61"/>
        <v>39817298.331336297</v>
      </c>
      <c r="BD56" s="260"/>
      <c r="BE56" s="260">
        <f t="shared" ca="1" si="62"/>
        <v>39817298.331336297</v>
      </c>
      <c r="BF56" s="4"/>
    </row>
    <row r="57" spans="2:58" x14ac:dyDescent="0.25">
      <c r="B57" s="9">
        <f>B56+1</f>
        <v>2025</v>
      </c>
      <c r="C57" s="9"/>
      <c r="D57" s="9"/>
      <c r="E57" s="9"/>
      <c r="F57" s="9"/>
      <c r="G57" s="8">
        <f ca="1">SUMIF('Res Normalized Monthly WN'!$B:$B,B57,'Res Normalized Monthly WN'!$R:$R)</f>
        <v>570814011.79204154</v>
      </c>
      <c r="H57" s="8">
        <f ca="1">CDM!M28</f>
        <v>30423648.344270725</v>
      </c>
      <c r="I57" s="8">
        <f ca="1">G57-H57</f>
        <v>540390363.44777083</v>
      </c>
      <c r="J57" s="8">
        <f ca="1">'Total Additional-Lost Loads'!D16</f>
        <v>3375679.7901044874</v>
      </c>
      <c r="K57" s="8">
        <f ca="1">I57+J57</f>
        <v>543766043.23787534</v>
      </c>
      <c r="L57" s="4"/>
      <c r="M57" s="9">
        <f>M56+1</f>
        <v>2025</v>
      </c>
      <c r="N57" s="9"/>
      <c r="O57" s="9"/>
      <c r="P57" s="9"/>
      <c r="Q57" s="9"/>
      <c r="R57" s="8">
        <f ca="1">SUMIF('GS&lt;50 Normalized Monthly WN'!$B:$B,M57,'GS&lt;50 Normalized Monthly WN'!S:$S)</f>
        <v>136828713.43710113</v>
      </c>
      <c r="S57" s="8">
        <f ca="1">CDM!N28</f>
        <v>9298051.7731024548</v>
      </c>
      <c r="T57" s="8">
        <f t="shared" ca="1" si="43"/>
        <v>127530661.66399866</v>
      </c>
      <c r="U57" s="8">
        <f ca="1">'Total Additional-Lost Loads'!D17</f>
        <v>649075.77592276083</v>
      </c>
      <c r="V57" s="8">
        <f ca="1">T57+U57</f>
        <v>128179737.43992142</v>
      </c>
      <c r="W57" s="4"/>
      <c r="X57" s="9">
        <f>X56+1</f>
        <v>2025</v>
      </c>
      <c r="Y57" s="9"/>
      <c r="Z57" s="9"/>
      <c r="AA57" s="9"/>
      <c r="AB57" s="9"/>
      <c r="AC57" s="8">
        <f ca="1">SUMIF('GS50-999 Normalized Monthly WN'!$B:$B,X57,'GS50-999 Normalized Monthly WN'!$S:$S)</f>
        <v>344784456.0821296</v>
      </c>
      <c r="AD57" s="8">
        <f ca="1">CDM!O28</f>
        <v>13577001.024403486</v>
      </c>
      <c r="AE57" s="8">
        <f ca="1">AC57-AD57</f>
        <v>331207455.05772609</v>
      </c>
      <c r="AF57" s="8">
        <f>'Total Additional-Lost Loads'!D18+'Total Additional-Lost Loads'!D28</f>
        <v>214296.00640515657</v>
      </c>
      <c r="AG57" s="8">
        <f t="shared" ca="1" si="48"/>
        <v>331421751.06413126</v>
      </c>
      <c r="AH57" s="8">
        <f>AH56</f>
        <v>6210989.5600000005</v>
      </c>
      <c r="AI57" s="8">
        <f t="shared" ca="1" si="63"/>
        <v>337632740.62413126</v>
      </c>
      <c r="AK57" s="9">
        <f t="shared" si="55"/>
        <v>2025</v>
      </c>
      <c r="AL57" s="8"/>
      <c r="AM57" s="8"/>
      <c r="AN57" s="8"/>
      <c r="AO57" s="8"/>
      <c r="AP57" s="8">
        <f ca="1">SUMIF('GS 1k-4,999 Normalized Mont WN'!$B:$B,X57,'GS 1k-4,999 Normalized Mont WN'!$P:$P)</f>
        <v>93009939.482260704</v>
      </c>
      <c r="AQ57" s="8">
        <f ca="1">AQ15</f>
        <v>12169724.379837707</v>
      </c>
      <c r="AR57" s="8">
        <f t="shared" ca="1" si="57"/>
        <v>80840215.102422997</v>
      </c>
      <c r="AS57" s="8">
        <f>AS15</f>
        <v>214296.00640515657</v>
      </c>
      <c r="AT57" s="8">
        <f t="shared" ca="1" si="58"/>
        <v>81054511.108828157</v>
      </c>
      <c r="AV57" s="9">
        <f t="shared" si="59"/>
        <v>2025</v>
      </c>
      <c r="AW57" s="8"/>
      <c r="AX57" s="8"/>
      <c r="AY57" s="8"/>
      <c r="AZ57" s="8"/>
      <c r="BA57" s="8">
        <f ca="1">SUMIF('Large Use Normalized Monthl WN'!$B:$B,AV57,'Large Use Normalized Monthl WN'!$W:$W)</f>
        <v>36895237.425914533</v>
      </c>
      <c r="BB57" s="8">
        <f ca="1">BB15</f>
        <v>660904.57544029912</v>
      </c>
      <c r="BC57" s="8">
        <f t="shared" ca="1" si="61"/>
        <v>36234332.850474231</v>
      </c>
      <c r="BD57" s="8">
        <f>BD15</f>
        <v>17171.262953820151</v>
      </c>
      <c r="BE57" s="8">
        <f t="shared" ca="1" si="62"/>
        <v>36251504.113428049</v>
      </c>
      <c r="BF57" s="4"/>
    </row>
    <row r="58" spans="2:58" x14ac:dyDescent="0.25">
      <c r="B58" s="9">
        <f>B57+1</f>
        <v>2026</v>
      </c>
      <c r="C58" s="9"/>
      <c r="D58" s="9"/>
      <c r="E58" s="9"/>
      <c r="F58" s="9"/>
      <c r="G58" s="8">
        <f ca="1">SUMIF('Res Normalized Monthly WN'!$B:$B,B58,'Res Normalized Monthly WN'!$R:$R)</f>
        <v>579983046.83148968</v>
      </c>
      <c r="H58" s="8">
        <f ca="1">CDM!M29</f>
        <v>30113205.235588811</v>
      </c>
      <c r="I58" s="8">
        <f ca="1">G58-H58</f>
        <v>549869841.59590089</v>
      </c>
      <c r="J58" s="8">
        <f ca="1">'Total Additional-Lost Loads'!E16</f>
        <v>7002966.0857700054</v>
      </c>
      <c r="K58" s="8">
        <f ca="1">I58+J58</f>
        <v>556872807.6816709</v>
      </c>
      <c r="L58" s="4"/>
      <c r="M58" s="9">
        <f>M57+1</f>
        <v>2026</v>
      </c>
      <c r="N58" s="9"/>
      <c r="O58" s="9"/>
      <c r="P58" s="9"/>
      <c r="Q58" s="9"/>
      <c r="R58" s="8">
        <f ca="1">SUMIF('GS&lt;50 Normalized Monthly WN'!$B:$B,M58,'GS&lt;50 Normalized Monthly WN'!S:$S)</f>
        <v>137679565.93393588</v>
      </c>
      <c r="S58" s="8">
        <f ca="1">CDM!N29</f>
        <v>8753509.2851200663</v>
      </c>
      <c r="T58" s="8">
        <f t="shared" ca="1" si="43"/>
        <v>128926056.64881581</v>
      </c>
      <c r="U58" s="8">
        <f ca="1">'Total Additional-Lost Loads'!E17</f>
        <v>1350845.7018350572</v>
      </c>
      <c r="V58" s="8">
        <f ca="1">T58+U58</f>
        <v>130276902.35065086</v>
      </c>
      <c r="W58" s="4"/>
      <c r="X58" s="9">
        <f>X57+1</f>
        <v>2026</v>
      </c>
      <c r="Y58" s="9"/>
      <c r="Z58" s="9"/>
      <c r="AA58" s="9"/>
      <c r="AB58" s="9"/>
      <c r="AC58" s="8">
        <f ca="1">SUMIF('GS50-999 Normalized Monthly WN'!$B:$B,X58,'GS50-999 Normalized Monthly WN'!$S:$S)</f>
        <v>345452241.23846954</v>
      </c>
      <c r="AD58" s="8">
        <f ca="1">CDM!O29</f>
        <v>13211144.60098196</v>
      </c>
      <c r="AE58" s="8">
        <f ca="1">AC58-AD58</f>
        <v>332241096.63748759</v>
      </c>
      <c r="AF58" s="8">
        <f>'Total Additional-Lost Loads'!E18+'Total Additional-Lost Loads'!E28</f>
        <v>474538.30543778761</v>
      </c>
      <c r="AG58" s="8">
        <f t="shared" ca="1" si="48"/>
        <v>332715634.94292539</v>
      </c>
      <c r="AH58" s="8">
        <f>AH57</f>
        <v>6210989.5600000005</v>
      </c>
      <c r="AI58" s="8">
        <f ca="1">AH58+AG58</f>
        <v>338926624.5029254</v>
      </c>
      <c r="AK58" s="9">
        <f t="shared" si="55"/>
        <v>2026</v>
      </c>
      <c r="AL58" s="8"/>
      <c r="AM58" s="8"/>
      <c r="AN58" s="8"/>
      <c r="AO58" s="8"/>
      <c r="AP58" s="8">
        <f ca="1">SUMIF('GS 1k-4,999 Normalized Mont WN'!$B:$B,X58,'GS 1k-4,999 Normalized Mont WN'!$P:$P)</f>
        <v>93369857.811119437</v>
      </c>
      <c r="AQ58" s="8">
        <f ca="1">AQ16</f>
        <v>12092333.972915361</v>
      </c>
      <c r="AR58" s="8">
        <f t="shared" ca="1" si="57"/>
        <v>81277523.838204071</v>
      </c>
      <c r="AS58" s="8">
        <f>AS16</f>
        <v>313546.65194242046</v>
      </c>
      <c r="AT58" s="8">
        <f t="shared" ca="1" si="58"/>
        <v>81591070.490146488</v>
      </c>
      <c r="AV58" s="9">
        <f t="shared" si="59"/>
        <v>2026</v>
      </c>
      <c r="AW58" s="8"/>
      <c r="AX58" s="8"/>
      <c r="AY58" s="8"/>
      <c r="AZ58" s="8"/>
      <c r="BA58" s="8">
        <f ca="1">SUMIF('Large Use Normalized Monthl WN'!$B:$B,AV58,'Large Use Normalized Monthl WN'!$W:$W)</f>
        <v>36478641.265597075</v>
      </c>
      <c r="BB58" s="8">
        <f ca="1">BB16</f>
        <v>652621.62095760205</v>
      </c>
      <c r="BC58" s="8">
        <f t="shared" ca="1" si="61"/>
        <v>35826019.64463947</v>
      </c>
      <c r="BD58" s="8">
        <f>BD16</f>
        <v>36185.106675106603</v>
      </c>
      <c r="BE58" s="8">
        <f t="shared" ca="1" si="62"/>
        <v>35862204.751314573</v>
      </c>
      <c r="BF58" s="4"/>
    </row>
  </sheetData>
  <mergeCells count="13">
    <mergeCell ref="B44:K44"/>
    <mergeCell ref="M44:V44"/>
    <mergeCell ref="X44:AG44"/>
    <mergeCell ref="BG2:BK2"/>
    <mergeCell ref="BS2:BW2"/>
    <mergeCell ref="B2:K2"/>
    <mergeCell ref="M2:V2"/>
    <mergeCell ref="X2:AG2"/>
    <mergeCell ref="AK2:AT2"/>
    <mergeCell ref="AK44:AT44"/>
    <mergeCell ref="AV2:BE2"/>
    <mergeCell ref="AV44:BE44"/>
    <mergeCell ref="BM2:BQ2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/>
  <dimension ref="A2:BE65"/>
  <sheetViews>
    <sheetView topLeftCell="A43" workbookViewId="0">
      <selection activeCell="G64" sqref="G64"/>
    </sheetView>
  </sheetViews>
  <sheetFormatPr defaultColWidth="8.88671875" defaultRowHeight="13.2" x14ac:dyDescent="0.25"/>
  <cols>
    <col min="1" max="1" width="7" style="1" customWidth="1"/>
    <col min="2" max="2" width="5.77734375" style="1" bestFit="1" customWidth="1"/>
    <col min="3" max="3" width="11.6640625" style="1" bestFit="1" customWidth="1"/>
    <col min="4" max="4" width="11.44140625" style="1" customWidth="1"/>
    <col min="5" max="6" width="6.109375" style="1" customWidth="1"/>
    <col min="7" max="7" width="11.6640625" style="1" bestFit="1" customWidth="1"/>
    <col min="8" max="8" width="10.77734375" style="1" bestFit="1" customWidth="1"/>
    <col min="9" max="9" width="6.6640625" style="1" customWidth="1"/>
    <col min="10" max="10" width="5.77734375" style="1" bestFit="1" customWidth="1"/>
    <col min="11" max="11" width="11.6640625" style="1" bestFit="1" customWidth="1"/>
    <col min="12" max="12" width="12.77734375" style="1" customWidth="1"/>
    <col min="13" max="15" width="7.6640625" style="1" customWidth="1"/>
    <col min="16" max="16" width="9.6640625" style="1" customWidth="1"/>
    <col min="17" max="19" width="7.6640625" style="1" customWidth="1"/>
    <col min="20" max="20" width="9" style="1" customWidth="1"/>
    <col min="21" max="21" width="7.6640625" style="1" customWidth="1"/>
    <col min="22" max="22" width="5.77734375" style="1" bestFit="1" customWidth="1"/>
    <col min="23" max="23" width="11.6640625" style="1" bestFit="1" customWidth="1"/>
    <col min="24" max="24" width="10.77734375" style="1" bestFit="1" customWidth="1"/>
    <col min="25" max="29" width="8.33203125" style="1" customWidth="1"/>
    <col min="30" max="30" width="5.77734375" style="1" bestFit="1" customWidth="1"/>
    <col min="31" max="31" width="11.6640625" style="1" bestFit="1" customWidth="1"/>
    <col min="32" max="32" width="9.6640625" style="1" bestFit="1" customWidth="1"/>
    <col min="33" max="16384" width="8.88671875" style="1"/>
  </cols>
  <sheetData>
    <row r="2" spans="2:33" ht="13.2" customHeight="1" x14ac:dyDescent="0.25">
      <c r="B2" s="492" t="s">
        <v>189</v>
      </c>
      <c r="C2" s="492"/>
      <c r="D2" s="493" t="s">
        <v>433</v>
      </c>
      <c r="E2" s="286"/>
      <c r="F2" s="492" t="s">
        <v>395</v>
      </c>
      <c r="G2" s="492"/>
      <c r="H2" s="493" t="s">
        <v>433</v>
      </c>
      <c r="I2" s="286"/>
      <c r="J2" s="492" t="s">
        <v>434</v>
      </c>
      <c r="K2" s="492"/>
      <c r="L2" s="493" t="s">
        <v>433</v>
      </c>
      <c r="M2" s="286"/>
      <c r="N2" s="492" t="s">
        <v>299</v>
      </c>
      <c r="O2" s="492"/>
      <c r="P2" s="493" t="s">
        <v>433</v>
      </c>
      <c r="Q2" s="286"/>
      <c r="R2" s="492" t="s">
        <v>115</v>
      </c>
      <c r="S2" s="492"/>
      <c r="T2" s="493" t="s">
        <v>433</v>
      </c>
      <c r="U2" s="286"/>
      <c r="V2" s="492" t="s">
        <v>435</v>
      </c>
      <c r="W2" s="492"/>
      <c r="X2" s="493" t="s">
        <v>433</v>
      </c>
      <c r="Y2" s="286"/>
      <c r="Z2" s="492" t="s">
        <v>117</v>
      </c>
      <c r="AA2" s="492"/>
      <c r="AB2" s="493" t="s">
        <v>433</v>
      </c>
      <c r="AC2" s="286"/>
      <c r="AD2" s="492" t="s">
        <v>194</v>
      </c>
      <c r="AE2" s="492"/>
      <c r="AF2" s="493" t="s">
        <v>433</v>
      </c>
      <c r="AG2" s="286"/>
    </row>
    <row r="3" spans="2:33" x14ac:dyDescent="0.25">
      <c r="B3" s="158" t="s">
        <v>1</v>
      </c>
      <c r="C3" s="158" t="s">
        <v>436</v>
      </c>
      <c r="D3" s="493"/>
      <c r="E3" s="286"/>
      <c r="F3" s="158" t="s">
        <v>1</v>
      </c>
      <c r="G3" s="158" t="s">
        <v>436</v>
      </c>
      <c r="H3" s="493"/>
      <c r="I3" s="286"/>
      <c r="J3" s="158" t="s">
        <v>1</v>
      </c>
      <c r="K3" s="158" t="s">
        <v>436</v>
      </c>
      <c r="L3" s="493"/>
      <c r="M3" s="286"/>
      <c r="N3" s="158" t="s">
        <v>1</v>
      </c>
      <c r="O3" s="158" t="s">
        <v>436</v>
      </c>
      <c r="P3" s="493"/>
      <c r="Q3" s="286"/>
      <c r="R3" s="158" t="s">
        <v>1</v>
      </c>
      <c r="S3" s="158" t="s">
        <v>436</v>
      </c>
      <c r="T3" s="493"/>
      <c r="U3" s="286"/>
      <c r="V3" s="158" t="s">
        <v>1</v>
      </c>
      <c r="W3" s="158" t="s">
        <v>540</v>
      </c>
      <c r="X3" s="493"/>
      <c r="Y3" s="286"/>
      <c r="Z3" s="158" t="s">
        <v>1</v>
      </c>
      <c r="AA3" s="158" t="s">
        <v>540</v>
      </c>
      <c r="AB3" s="493"/>
      <c r="AC3" s="286"/>
      <c r="AD3" s="158" t="s">
        <v>1</v>
      </c>
      <c r="AE3" s="158" t="s">
        <v>540</v>
      </c>
      <c r="AF3" s="493"/>
      <c r="AG3" s="286"/>
    </row>
    <row r="4" spans="2:33" x14ac:dyDescent="0.25">
      <c r="B4" s="286">
        <v>2015</v>
      </c>
      <c r="C4" s="290">
        <f>AVERAGEIF('Monthly Data'!B:B,B4,'Monthly Data'!G:G)</f>
        <v>48571.666666666664</v>
      </c>
      <c r="D4" s="297"/>
      <c r="E4" s="10"/>
      <c r="F4" s="286">
        <v>2015</v>
      </c>
      <c r="G4" s="290">
        <f>AVERAGEIF('Monthly Data'!B:B,B4,'Monthly Data'!K:K)</f>
        <v>4020</v>
      </c>
      <c r="H4" s="297"/>
      <c r="I4" s="10"/>
      <c r="J4" s="286">
        <v>2015</v>
      </c>
      <c r="K4" s="290">
        <f>AVERAGEIF('Monthly Data'!B:B,B4,'Monthly Data'!P:P)</f>
        <v>509.25</v>
      </c>
      <c r="L4" s="297"/>
      <c r="M4" s="10"/>
      <c r="N4" s="286">
        <v>2015</v>
      </c>
      <c r="O4" s="290">
        <f>AVERAGEIF('Monthly Data'!B:B,N4,'Monthly Data'!U:U)</f>
        <v>12.5</v>
      </c>
      <c r="P4" s="297"/>
      <c r="Q4" s="10"/>
      <c r="R4" s="286">
        <v>2015</v>
      </c>
      <c r="S4" s="290">
        <f>AVERAGEIF('Monthly Data'!B:B,R4,'Monthly Data'!Z:Z)</f>
        <v>1</v>
      </c>
      <c r="T4" s="297"/>
      <c r="U4" s="10"/>
      <c r="V4" s="286">
        <v>2015</v>
      </c>
      <c r="W4" s="290">
        <f>AVERAGEIF('Monthly Data'!B:B,B4,'Monthly Data'!AC:AC)</f>
        <v>12676.166666666666</v>
      </c>
      <c r="X4" s="297"/>
      <c r="Y4" s="10"/>
      <c r="Z4" s="286">
        <v>2015</v>
      </c>
      <c r="AA4" s="290">
        <f>AVERAGEIF('Monthly Data'!B:B,Z4,'Monthly Data'!AF:AF)</f>
        <v>25</v>
      </c>
      <c r="AB4" s="297"/>
      <c r="AC4" s="10"/>
      <c r="AD4" s="286">
        <v>2015</v>
      </c>
      <c r="AE4" s="290">
        <f>AVERAGEIF('Monthly Data'!B:B,B4,'Monthly Data'!AH:AH)</f>
        <v>257.83333333333331</v>
      </c>
      <c r="AF4" s="297"/>
      <c r="AG4" s="10"/>
    </row>
    <row r="5" spans="2:33" x14ac:dyDescent="0.25">
      <c r="B5" s="286">
        <f t="shared" ref="B5:B15" si="0">B4+1</f>
        <v>2016</v>
      </c>
      <c r="C5" s="290">
        <f>AVERAGEIF('Monthly Data'!B:B,B5,'Monthly Data'!G:G)</f>
        <v>49247.25</v>
      </c>
      <c r="D5" s="297">
        <f t="shared" ref="D5:D13" si="1">C5/C4</f>
        <v>1.0139090004460762</v>
      </c>
      <c r="E5" s="10"/>
      <c r="F5" s="286">
        <f t="shared" ref="F5:F13" si="2">F4+1</f>
        <v>2016</v>
      </c>
      <c r="G5" s="290">
        <f>AVERAGEIF('Monthly Data'!B:B,B5,'Monthly Data'!K:K)</f>
        <v>4149.75</v>
      </c>
      <c r="H5" s="297">
        <f t="shared" ref="H5:H13" si="3">G5/G4</f>
        <v>1.032276119402985</v>
      </c>
      <c r="I5" s="10"/>
      <c r="J5" s="286">
        <f t="shared" ref="J5:J13" si="4">J4+1</f>
        <v>2016</v>
      </c>
      <c r="K5" s="290">
        <f>AVERAGEIF('Monthly Data'!B:B,B5,'Monthly Data'!P:P)</f>
        <v>517.58333333333337</v>
      </c>
      <c r="L5" s="297">
        <f t="shared" ref="L5:L13" si="5">K5/K4</f>
        <v>1.0163639338897072</v>
      </c>
      <c r="M5" s="10"/>
      <c r="N5" s="286">
        <f t="shared" ref="N5:N15" si="6">N4+1</f>
        <v>2016</v>
      </c>
      <c r="O5" s="290">
        <f>AVERAGEIF('Monthly Data'!B:B,N5,'Monthly Data'!U:U)</f>
        <v>12.833333333333334</v>
      </c>
      <c r="P5" s="297">
        <f t="shared" ref="P5:P13" si="7">O5/O4</f>
        <v>1.0266666666666666</v>
      </c>
      <c r="Q5" s="10"/>
      <c r="R5" s="286">
        <f t="shared" ref="R5:R15" si="8">R4+1</f>
        <v>2016</v>
      </c>
      <c r="S5" s="290">
        <f>AVERAGEIF('Monthly Data'!B:B,R5,'Monthly Data'!Z:Z)</f>
        <v>1</v>
      </c>
      <c r="T5" s="297">
        <f t="shared" ref="T5:T13" si="9">S5/S4</f>
        <v>1</v>
      </c>
      <c r="U5" s="10"/>
      <c r="V5" s="286">
        <f t="shared" ref="V5:V13" si="10">V4+1</f>
        <v>2016</v>
      </c>
      <c r="W5" s="290">
        <f>AVERAGEIF('Monthly Data'!B:B,B5,'Monthly Data'!AC:AC)</f>
        <v>12955.333333333334</v>
      </c>
      <c r="X5" s="297">
        <f t="shared" ref="X5:X13" si="11">W5/W4</f>
        <v>1.0220229564668606</v>
      </c>
      <c r="Y5" s="10"/>
      <c r="Z5" s="286">
        <f t="shared" ref="Z5:Z15" si="12">Z4+1</f>
        <v>2016</v>
      </c>
      <c r="AA5" s="290">
        <f>AVERAGEIF('Monthly Data'!B:B,Z5,'Monthly Data'!AF:AF)</f>
        <v>23</v>
      </c>
      <c r="AB5" s="297">
        <f t="shared" ref="AB5:AB13" si="13">AA5/AA4</f>
        <v>0.92</v>
      </c>
      <c r="AC5" s="10"/>
      <c r="AD5" s="286">
        <f t="shared" ref="AD5:AD13" si="14">AD4+1</f>
        <v>2016</v>
      </c>
      <c r="AE5" s="290">
        <f>AVERAGEIF('Monthly Data'!B:B,B5,'Monthly Data'!AH:AH)</f>
        <v>246.25</v>
      </c>
      <c r="AF5" s="297">
        <f t="shared" ref="AF5:AF13" si="15">AE5/AE4</f>
        <v>0.95507433742727865</v>
      </c>
      <c r="AG5" s="10"/>
    </row>
    <row r="6" spans="2:33" x14ac:dyDescent="0.25">
      <c r="B6" s="286">
        <f t="shared" si="0"/>
        <v>2017</v>
      </c>
      <c r="C6" s="290">
        <f>AVERAGEIF('Monthly Data'!B:B,B6,'Monthly Data'!G:G)</f>
        <v>52735.5</v>
      </c>
      <c r="D6" s="297">
        <f t="shared" si="1"/>
        <v>1.0708313662184183</v>
      </c>
      <c r="E6" s="10"/>
      <c r="F6" s="286">
        <f t="shared" si="2"/>
        <v>2017</v>
      </c>
      <c r="G6" s="290">
        <f>AVERAGEIF('Monthly Data'!B:B,B6,'Monthly Data'!K:K)</f>
        <v>4161.916666666667</v>
      </c>
      <c r="H6" s="297">
        <f t="shared" si="3"/>
        <v>1.0029319035283251</v>
      </c>
      <c r="I6" s="10"/>
      <c r="J6" s="286">
        <f t="shared" si="4"/>
        <v>2017</v>
      </c>
      <c r="K6" s="290">
        <f>AVERAGEIF('Monthly Data'!B:B,B6,'Monthly Data'!P:P)</f>
        <v>524</v>
      </c>
      <c r="L6" s="297">
        <f t="shared" si="5"/>
        <v>1.0123973595234261</v>
      </c>
      <c r="M6" s="10"/>
      <c r="N6" s="286">
        <f t="shared" si="6"/>
        <v>2017</v>
      </c>
      <c r="O6" s="290">
        <f>AVERAGEIF('Monthly Data'!B:B,N6,'Monthly Data'!U:U)</f>
        <v>11.833333333333334</v>
      </c>
      <c r="P6" s="297">
        <f t="shared" si="7"/>
        <v>0.92207792207792205</v>
      </c>
      <c r="Q6" s="10"/>
      <c r="R6" s="286">
        <f t="shared" si="8"/>
        <v>2017</v>
      </c>
      <c r="S6" s="290">
        <f>AVERAGEIF('Monthly Data'!B:B,R6,'Monthly Data'!Z:Z)</f>
        <v>1</v>
      </c>
      <c r="T6" s="297">
        <f t="shared" si="9"/>
        <v>1</v>
      </c>
      <c r="U6" s="10"/>
      <c r="V6" s="286">
        <f t="shared" si="10"/>
        <v>2017</v>
      </c>
      <c r="W6" s="290">
        <f>AVERAGEIF('Monthly Data'!B:B,B6,'Monthly Data'!AC:AC)</f>
        <v>13171.25</v>
      </c>
      <c r="X6" s="297">
        <f t="shared" si="11"/>
        <v>1.0166662378428446</v>
      </c>
      <c r="Y6" s="10"/>
      <c r="Z6" s="286">
        <f t="shared" si="12"/>
        <v>2017</v>
      </c>
      <c r="AA6" s="290">
        <f>AVERAGEIF('Monthly Data'!B:B,Z6,'Monthly Data'!AF:AF)</f>
        <v>23</v>
      </c>
      <c r="AB6" s="297">
        <f t="shared" si="13"/>
        <v>1</v>
      </c>
      <c r="AC6" s="10"/>
      <c r="AD6" s="286">
        <f t="shared" si="14"/>
        <v>2017</v>
      </c>
      <c r="AE6" s="290">
        <f>AVERAGEIF('Monthly Data'!B:B,B6,'Monthly Data'!AH:AH)</f>
        <v>246.08333333333334</v>
      </c>
      <c r="AF6" s="297">
        <f t="shared" si="15"/>
        <v>0.99932318104906936</v>
      </c>
      <c r="AG6" s="10"/>
    </row>
    <row r="7" spans="2:33" x14ac:dyDescent="0.25">
      <c r="B7" s="286">
        <f t="shared" si="0"/>
        <v>2018</v>
      </c>
      <c r="C7" s="290">
        <f>AVERAGEIF('Monthly Data'!B:B,B7,'Monthly Data'!G:G)</f>
        <v>53780.083333333336</v>
      </c>
      <c r="D7" s="297">
        <f t="shared" si="1"/>
        <v>1.0198079724916487</v>
      </c>
      <c r="E7" s="10"/>
      <c r="F7" s="286">
        <f t="shared" si="2"/>
        <v>2018</v>
      </c>
      <c r="G7" s="290">
        <f>AVERAGEIF('Monthly Data'!B:B,B7,'Monthly Data'!K:K)</f>
        <v>4199.333333333333</v>
      </c>
      <c r="H7" s="297">
        <f t="shared" si="3"/>
        <v>1.0089902488837272</v>
      </c>
      <c r="I7" s="10"/>
      <c r="J7" s="286">
        <f t="shared" si="4"/>
        <v>2018</v>
      </c>
      <c r="K7" s="290">
        <f>AVERAGEIF('Monthly Data'!B:B,B7,'Monthly Data'!P:P)</f>
        <v>515.41666666666663</v>
      </c>
      <c r="L7" s="297">
        <f t="shared" si="5"/>
        <v>0.98361959287531797</v>
      </c>
      <c r="M7" s="10"/>
      <c r="N7" s="286">
        <f t="shared" si="6"/>
        <v>2018</v>
      </c>
      <c r="O7" s="290">
        <f>AVERAGEIF('Monthly Data'!B:B,N7,'Monthly Data'!U:U)</f>
        <v>12</v>
      </c>
      <c r="P7" s="297">
        <f t="shared" si="7"/>
        <v>1.0140845070422535</v>
      </c>
      <c r="Q7" s="10"/>
      <c r="R7" s="286">
        <f t="shared" si="8"/>
        <v>2018</v>
      </c>
      <c r="S7" s="290">
        <f>AVERAGEIF('Monthly Data'!B:B,R7,'Monthly Data'!Z:Z)</f>
        <v>1</v>
      </c>
      <c r="T7" s="297">
        <f t="shared" si="9"/>
        <v>1</v>
      </c>
      <c r="U7" s="10"/>
      <c r="V7" s="286">
        <f t="shared" si="10"/>
        <v>2018</v>
      </c>
      <c r="W7" s="290">
        <f>AVERAGEIF('Monthly Data'!B:B,B7,'Monthly Data'!AC:AC)</f>
        <v>13827.666666666666</v>
      </c>
      <c r="X7" s="297">
        <f t="shared" si="11"/>
        <v>1.0498370820284078</v>
      </c>
      <c r="Y7" s="10"/>
      <c r="Z7" s="286">
        <f t="shared" si="12"/>
        <v>2018</v>
      </c>
      <c r="AA7" s="290">
        <f>AVERAGEIF('Monthly Data'!B:B,Z7,'Monthly Data'!AF:AF)</f>
        <v>23</v>
      </c>
      <c r="AB7" s="297">
        <f t="shared" si="13"/>
        <v>1</v>
      </c>
      <c r="AC7" s="10"/>
      <c r="AD7" s="286">
        <f t="shared" si="14"/>
        <v>2018</v>
      </c>
      <c r="AE7" s="290">
        <f>AVERAGEIF('Monthly Data'!B:B,B7,'Monthly Data'!AH:AH)</f>
        <v>247.91666666666666</v>
      </c>
      <c r="AF7" s="297">
        <f t="shared" si="15"/>
        <v>1.0074500507958009</v>
      </c>
      <c r="AG7" s="10"/>
    </row>
    <row r="8" spans="2:33" s="298" customFormat="1" ht="13.8" x14ac:dyDescent="0.25">
      <c r="B8" s="286">
        <f t="shared" si="0"/>
        <v>2019</v>
      </c>
      <c r="C8" s="290">
        <f>AVERAGEIF('Monthly Data'!B:B,B8,'Monthly Data'!G:G)</f>
        <v>54576.5</v>
      </c>
      <c r="D8" s="297">
        <f t="shared" si="1"/>
        <v>1.0148087659465013</v>
      </c>
      <c r="E8" s="10"/>
      <c r="F8" s="286">
        <f t="shared" si="2"/>
        <v>2019</v>
      </c>
      <c r="G8" s="290">
        <f>AVERAGEIF('Monthly Data'!B:B,B8,'Monthly Data'!K:K)</f>
        <v>4194.833333333333</v>
      </c>
      <c r="H8" s="297">
        <f t="shared" si="3"/>
        <v>0.99892840133354499</v>
      </c>
      <c r="I8" s="10"/>
      <c r="J8" s="286">
        <f t="shared" si="4"/>
        <v>2019</v>
      </c>
      <c r="K8" s="290">
        <f>AVERAGEIF('Monthly Data'!B:B,B8,'Monthly Data'!P:P)</f>
        <v>525.25</v>
      </c>
      <c r="L8" s="297">
        <f t="shared" si="5"/>
        <v>1.019078415521423</v>
      </c>
      <c r="M8" s="10"/>
      <c r="N8" s="286">
        <f t="shared" si="6"/>
        <v>2019</v>
      </c>
      <c r="O8" s="290">
        <f>AVERAGEIF('Monthly Data'!B:B,N8,'Monthly Data'!U:U)</f>
        <v>14</v>
      </c>
      <c r="P8" s="297">
        <f t="shared" si="7"/>
        <v>1.1666666666666667</v>
      </c>
      <c r="Q8" s="10"/>
      <c r="R8" s="286">
        <f t="shared" si="8"/>
        <v>2019</v>
      </c>
      <c r="S8" s="290">
        <f>AVERAGEIF('Monthly Data'!B:B,R8,'Monthly Data'!Z:Z)</f>
        <v>1</v>
      </c>
      <c r="T8" s="297">
        <f t="shared" si="9"/>
        <v>1</v>
      </c>
      <c r="U8" s="10"/>
      <c r="V8" s="286">
        <f t="shared" si="10"/>
        <v>2019</v>
      </c>
      <c r="W8" s="290">
        <f>AVERAGEIF('Monthly Data'!B:B,B8,'Monthly Data'!AC:AC)</f>
        <v>13934</v>
      </c>
      <c r="X8" s="297">
        <f t="shared" si="11"/>
        <v>1.0076898970662682</v>
      </c>
      <c r="Y8" s="10"/>
      <c r="Z8" s="286">
        <f t="shared" si="12"/>
        <v>2019</v>
      </c>
      <c r="AA8" s="290">
        <f>AVERAGEIF('Monthly Data'!B:B,Z8,'Monthly Data'!AF:AF)</f>
        <v>19</v>
      </c>
      <c r="AB8" s="297">
        <f t="shared" si="13"/>
        <v>0.82608695652173914</v>
      </c>
      <c r="AC8" s="10"/>
      <c r="AD8" s="286">
        <f t="shared" si="14"/>
        <v>2019</v>
      </c>
      <c r="AE8" s="290">
        <f>AVERAGEIF('Monthly Data'!B:B,B8,'Monthly Data'!AH:AH)</f>
        <v>246.75</v>
      </c>
      <c r="AF8" s="297">
        <f t="shared" si="15"/>
        <v>0.99529411764705888</v>
      </c>
      <c r="AG8" s="10"/>
    </row>
    <row r="9" spans="2:33" s="298" customFormat="1" ht="13.8" x14ac:dyDescent="0.25">
      <c r="B9" s="286">
        <f t="shared" si="0"/>
        <v>2020</v>
      </c>
      <c r="C9" s="290">
        <f>AVERAGEIF('Monthly Data'!B:B,B9,'Monthly Data'!G:G)</f>
        <v>54548.583333333336</v>
      </c>
      <c r="D9" s="297">
        <f t="shared" si="1"/>
        <v>0.99948848558140102</v>
      </c>
      <c r="E9" s="10"/>
      <c r="F9" s="286">
        <f t="shared" si="2"/>
        <v>2020</v>
      </c>
      <c r="G9" s="290">
        <f>AVERAGEIF('Monthly Data'!B:B,B9,'Monthly Data'!K:K)</f>
        <v>4211.666666666667</v>
      </c>
      <c r="H9" s="297">
        <f t="shared" si="3"/>
        <v>1.0040128729786644</v>
      </c>
      <c r="I9" s="10"/>
      <c r="J9" s="286">
        <f t="shared" si="4"/>
        <v>2020</v>
      </c>
      <c r="K9" s="290">
        <f>AVERAGEIF('Monthly Data'!B:B,B9,'Monthly Data'!P:P)</f>
        <v>537.83333333333337</v>
      </c>
      <c r="L9" s="297">
        <f t="shared" si="5"/>
        <v>1.0239568459463748</v>
      </c>
      <c r="M9" s="10"/>
      <c r="N9" s="286">
        <f t="shared" si="6"/>
        <v>2020</v>
      </c>
      <c r="O9" s="290">
        <f>AVERAGEIF('Monthly Data'!B:B,N9,'Monthly Data'!U:U)</f>
        <v>14.5</v>
      </c>
      <c r="P9" s="297">
        <f t="shared" si="7"/>
        <v>1.0357142857142858</v>
      </c>
      <c r="Q9" s="10"/>
      <c r="R9" s="286">
        <f t="shared" si="8"/>
        <v>2020</v>
      </c>
      <c r="S9" s="290">
        <f>AVERAGEIF('Monthly Data'!B:B,R9,'Monthly Data'!Z:Z)</f>
        <v>1</v>
      </c>
      <c r="T9" s="297">
        <f t="shared" si="9"/>
        <v>1</v>
      </c>
      <c r="U9" s="10"/>
      <c r="V9" s="286">
        <f t="shared" si="10"/>
        <v>2020</v>
      </c>
      <c r="W9" s="290">
        <f>AVERAGEIF('Monthly Data'!B:B,B9,'Monthly Data'!AC:AC)</f>
        <v>13979.416666666666</v>
      </c>
      <c r="X9" s="297">
        <f t="shared" si="11"/>
        <v>1.0032594134251949</v>
      </c>
      <c r="Y9" s="10"/>
      <c r="Z9" s="286">
        <f t="shared" si="12"/>
        <v>2020</v>
      </c>
      <c r="AA9" s="290">
        <f>AVERAGEIF('Monthly Data'!B:B,Z9,'Monthly Data'!AF:AF)</f>
        <v>19</v>
      </c>
      <c r="AB9" s="297">
        <f t="shared" si="13"/>
        <v>1</v>
      </c>
      <c r="AC9" s="10"/>
      <c r="AD9" s="286">
        <f t="shared" si="14"/>
        <v>2020</v>
      </c>
      <c r="AE9" s="290">
        <f>AVERAGEIF('Monthly Data'!B:B,B9,'Monthly Data'!AH:AH)</f>
        <v>253.16666666666666</v>
      </c>
      <c r="AF9" s="297">
        <f t="shared" si="15"/>
        <v>1.0260047281323876</v>
      </c>
      <c r="AG9" s="10"/>
    </row>
    <row r="10" spans="2:33" s="298" customFormat="1" ht="13.8" x14ac:dyDescent="0.25">
      <c r="B10" s="286">
        <f t="shared" si="0"/>
        <v>2021</v>
      </c>
      <c r="C10" s="290">
        <f>AVERAGEIF('Monthly Data'!B:B,B10,'Monthly Data'!G:G)</f>
        <v>55127.166666666664</v>
      </c>
      <c r="D10" s="297">
        <f t="shared" si="1"/>
        <v>1.0106067526959912</v>
      </c>
      <c r="E10" s="10"/>
      <c r="F10" s="286">
        <f t="shared" si="2"/>
        <v>2021</v>
      </c>
      <c r="G10" s="290">
        <f>AVERAGEIF('Monthly Data'!B:B,B10,'Monthly Data'!K:K)</f>
        <v>4271.083333333333</v>
      </c>
      <c r="H10" s="297">
        <f t="shared" si="3"/>
        <v>1.0141076375148397</v>
      </c>
      <c r="I10" s="10"/>
      <c r="J10" s="286">
        <f t="shared" si="4"/>
        <v>2021</v>
      </c>
      <c r="K10" s="290">
        <f>AVERAGEIF('Monthly Data'!B:B,B10,'Monthly Data'!P:P)</f>
        <v>538.41666666666663</v>
      </c>
      <c r="L10" s="297">
        <f t="shared" si="5"/>
        <v>1.0010845986984813</v>
      </c>
      <c r="M10" s="10"/>
      <c r="N10" s="286">
        <f t="shared" si="6"/>
        <v>2021</v>
      </c>
      <c r="O10" s="290">
        <f>AVERAGEIF('Monthly Data'!B:B,N10,'Monthly Data'!U:U)</f>
        <v>17</v>
      </c>
      <c r="P10" s="297">
        <f t="shared" si="7"/>
        <v>1.1724137931034482</v>
      </c>
      <c r="Q10" s="10"/>
      <c r="R10" s="286">
        <f t="shared" si="8"/>
        <v>2021</v>
      </c>
      <c r="S10" s="290">
        <f>AVERAGEIF('Monthly Data'!B:B,R10,'Monthly Data'!Z:Z)</f>
        <v>1</v>
      </c>
      <c r="T10" s="297">
        <f t="shared" si="9"/>
        <v>1</v>
      </c>
      <c r="U10" s="10"/>
      <c r="V10" s="286">
        <f t="shared" si="10"/>
        <v>2021</v>
      </c>
      <c r="W10" s="290">
        <f>AVERAGEIF('Monthly Data'!B:B,B10,'Monthly Data'!AC:AC)</f>
        <v>14037.833333333334</v>
      </c>
      <c r="X10" s="297">
        <f t="shared" si="11"/>
        <v>1.0041787628239138</v>
      </c>
      <c r="Y10" s="10"/>
      <c r="Z10" s="286">
        <f t="shared" si="12"/>
        <v>2021</v>
      </c>
      <c r="AA10" s="290">
        <f>AVERAGEIF('Monthly Data'!B:B,Z10,'Monthly Data'!AF:AF)</f>
        <v>19</v>
      </c>
      <c r="AB10" s="297">
        <f t="shared" si="13"/>
        <v>1</v>
      </c>
      <c r="AC10" s="10"/>
      <c r="AD10" s="286">
        <f t="shared" si="14"/>
        <v>2021</v>
      </c>
      <c r="AE10" s="290">
        <f>AVERAGEIF('Monthly Data'!B:B,B10,'Monthly Data'!AH:AH)</f>
        <v>251.41666666666666</v>
      </c>
      <c r="AF10" s="297">
        <f t="shared" si="15"/>
        <v>0.99308755760368661</v>
      </c>
      <c r="AG10" s="10"/>
    </row>
    <row r="11" spans="2:33" s="298" customFormat="1" ht="13.8" x14ac:dyDescent="0.25">
      <c r="B11" s="286">
        <f t="shared" si="0"/>
        <v>2022</v>
      </c>
      <c r="C11" s="290">
        <f>AVERAGEIF('Monthly Data'!B:B,B11,'Monthly Data'!G:G)</f>
        <v>55761.75</v>
      </c>
      <c r="D11" s="297">
        <f t="shared" si="1"/>
        <v>1.0115112633517049</v>
      </c>
      <c r="E11" s="10"/>
      <c r="F11" s="286">
        <f t="shared" si="2"/>
        <v>2022</v>
      </c>
      <c r="G11" s="290">
        <f>AVERAGEIF('Monthly Data'!B:B,B11,'Monthly Data'!K:K)</f>
        <v>4304.833333333333</v>
      </c>
      <c r="H11" s="297">
        <f t="shared" si="3"/>
        <v>1.0079019764696702</v>
      </c>
      <c r="I11" s="10"/>
      <c r="J11" s="286">
        <f t="shared" si="4"/>
        <v>2022</v>
      </c>
      <c r="K11" s="290">
        <f>AVERAGEIF('Monthly Data'!B:B,B11,'Monthly Data'!P:P)</f>
        <v>543.08333333333337</v>
      </c>
      <c r="L11" s="297">
        <f t="shared" si="5"/>
        <v>1.0086673889490791</v>
      </c>
      <c r="M11" s="10"/>
      <c r="N11" s="286">
        <f t="shared" si="6"/>
        <v>2022</v>
      </c>
      <c r="O11" s="290">
        <f>AVERAGEIF('Monthly Data'!B:B,N11,'Monthly Data'!U:U)</f>
        <v>18</v>
      </c>
      <c r="P11" s="297">
        <f t="shared" si="7"/>
        <v>1.0588235294117647</v>
      </c>
      <c r="Q11" s="10"/>
      <c r="R11" s="286">
        <f t="shared" si="8"/>
        <v>2022</v>
      </c>
      <c r="S11" s="290">
        <f>AVERAGEIF('Monthly Data'!B:B,R11,'Monthly Data'!Z:Z)</f>
        <v>1</v>
      </c>
      <c r="T11" s="297">
        <f t="shared" si="9"/>
        <v>1</v>
      </c>
      <c r="U11" s="10"/>
      <c r="V11" s="286">
        <f t="shared" si="10"/>
        <v>2022</v>
      </c>
      <c r="W11" s="290">
        <f>AVERAGEIF('Monthly Data'!B:B,B11,'Monthly Data'!AC:AC)</f>
        <v>14204</v>
      </c>
      <c r="X11" s="297">
        <f t="shared" si="11"/>
        <v>1.0118370593752597</v>
      </c>
      <c r="Y11" s="10"/>
      <c r="Z11" s="286">
        <f t="shared" si="12"/>
        <v>2022</v>
      </c>
      <c r="AA11" s="290">
        <f>AVERAGEIF('Monthly Data'!B:B,Z11,'Monthly Data'!AF:AF)</f>
        <v>19</v>
      </c>
      <c r="AB11" s="297">
        <f t="shared" si="13"/>
        <v>1</v>
      </c>
      <c r="AC11" s="10"/>
      <c r="AD11" s="286">
        <f t="shared" si="14"/>
        <v>2022</v>
      </c>
      <c r="AE11" s="290">
        <f>AVERAGEIF('Monthly Data'!B:B,B11,'Monthly Data'!AH:AH)</f>
        <v>252.66666666666666</v>
      </c>
      <c r="AF11" s="297">
        <f t="shared" si="15"/>
        <v>1.004971826317534</v>
      </c>
      <c r="AG11" s="10"/>
    </row>
    <row r="12" spans="2:33" s="298" customFormat="1" ht="13.8" x14ac:dyDescent="0.25">
      <c r="B12" s="286">
        <f t="shared" si="0"/>
        <v>2023</v>
      </c>
      <c r="C12" s="290">
        <f>AVERAGEIF('Monthly Data'!B:B,B12,'Monthly Data'!G:G)</f>
        <v>56980.916666666664</v>
      </c>
      <c r="D12" s="297">
        <f t="shared" si="1"/>
        <v>1.0218638523121435</v>
      </c>
      <c r="E12" s="10"/>
      <c r="F12" s="286">
        <f t="shared" si="2"/>
        <v>2023</v>
      </c>
      <c r="G12" s="290">
        <f>AVERAGEIF('Monthly Data'!B:B,B12,'Monthly Data'!K:K)</f>
        <v>4393.416666666667</v>
      </c>
      <c r="H12" s="297">
        <f t="shared" si="3"/>
        <v>1.0205776452824347</v>
      </c>
      <c r="I12" s="10"/>
      <c r="J12" s="286">
        <f t="shared" si="4"/>
        <v>2023</v>
      </c>
      <c r="K12" s="290">
        <f>AVERAGEIF('Monthly Data'!B:B,B12,'Monthly Data'!P:P)</f>
        <v>521.16666666666663</v>
      </c>
      <c r="L12" s="297">
        <f t="shared" si="5"/>
        <v>0.95964400797913141</v>
      </c>
      <c r="M12" s="10"/>
      <c r="N12" s="286">
        <f t="shared" si="6"/>
        <v>2023</v>
      </c>
      <c r="O12" s="290">
        <f>AVERAGEIF('Monthly Data'!B:B,N12,'Monthly Data'!U:U)</f>
        <v>18</v>
      </c>
      <c r="P12" s="297">
        <f t="shared" si="7"/>
        <v>1</v>
      </c>
      <c r="Q12" s="10"/>
      <c r="R12" s="286">
        <f t="shared" si="8"/>
        <v>2023</v>
      </c>
      <c r="S12" s="290">
        <f>AVERAGEIF('Monthly Data'!B:B,R12,'Monthly Data'!Z:Z)</f>
        <v>1</v>
      </c>
      <c r="T12" s="297">
        <f t="shared" si="9"/>
        <v>1</v>
      </c>
      <c r="U12" s="10"/>
      <c r="V12" s="286">
        <f t="shared" si="10"/>
        <v>2023</v>
      </c>
      <c r="W12" s="290">
        <f>AVERAGEIF('Monthly Data'!B:B,B12,'Monthly Data'!AC:AC)</f>
        <v>14384.333333333334</v>
      </c>
      <c r="X12" s="297">
        <f t="shared" si="11"/>
        <v>1.0126959541913076</v>
      </c>
      <c r="Y12" s="10"/>
      <c r="Z12" s="286">
        <f t="shared" si="12"/>
        <v>2023</v>
      </c>
      <c r="AA12" s="290">
        <f>AVERAGEIF('Monthly Data'!B:B,Z12,'Monthly Data'!AF:AF)</f>
        <v>19</v>
      </c>
      <c r="AB12" s="297">
        <f t="shared" si="13"/>
        <v>1</v>
      </c>
      <c r="AC12" s="10"/>
      <c r="AD12" s="286">
        <f t="shared" si="14"/>
        <v>2023</v>
      </c>
      <c r="AE12" s="290">
        <f>AVERAGEIF('Monthly Data'!B:B,B12,'Monthly Data'!AH:AH)</f>
        <v>259.25</v>
      </c>
      <c r="AF12" s="297">
        <f t="shared" si="15"/>
        <v>1.0260554089709764</v>
      </c>
      <c r="AG12" s="10"/>
    </row>
    <row r="13" spans="2:33" x14ac:dyDescent="0.25">
      <c r="B13" s="286">
        <f t="shared" si="0"/>
        <v>2024</v>
      </c>
      <c r="C13" s="290">
        <f>AVERAGEIF('Monthly Data'!B:B,B13,'Monthly Data'!G:G)</f>
        <v>57937</v>
      </c>
      <c r="D13" s="297">
        <f t="shared" si="1"/>
        <v>1.0167790093466966</v>
      </c>
      <c r="E13" s="10"/>
      <c r="F13" s="286">
        <f t="shared" si="2"/>
        <v>2024</v>
      </c>
      <c r="G13" s="290">
        <f>AVERAGEIF('Monthly Data'!B:B,B13,'Monthly Data'!K:K)</f>
        <v>4427.25</v>
      </c>
      <c r="H13" s="297">
        <f t="shared" si="3"/>
        <v>1.0077009161434722</v>
      </c>
      <c r="I13" s="10"/>
      <c r="J13" s="286">
        <f t="shared" si="4"/>
        <v>2024</v>
      </c>
      <c r="K13" s="290">
        <f>AVERAGEIF('Monthly Data'!B:B,B13,'Monthly Data'!P:P)</f>
        <v>516.66666666666663</v>
      </c>
      <c r="L13" s="297">
        <f t="shared" si="5"/>
        <v>0.99136552606331951</v>
      </c>
      <c r="M13" s="10"/>
      <c r="N13" s="286">
        <f t="shared" si="6"/>
        <v>2024</v>
      </c>
      <c r="O13" s="290">
        <f>AVERAGEIF('Monthly Data'!B:B,N13,'Monthly Data'!U:U)</f>
        <v>17</v>
      </c>
      <c r="P13" s="297">
        <f t="shared" si="7"/>
        <v>0.94444444444444442</v>
      </c>
      <c r="Q13" s="10"/>
      <c r="R13" s="286">
        <f t="shared" si="8"/>
        <v>2024</v>
      </c>
      <c r="S13" s="290">
        <f>AVERAGEIF('Monthly Data'!B:B,R13,'Monthly Data'!Z:Z)</f>
        <v>1</v>
      </c>
      <c r="T13" s="297">
        <f t="shared" si="9"/>
        <v>1</v>
      </c>
      <c r="U13" s="10"/>
      <c r="V13" s="286">
        <f t="shared" si="10"/>
        <v>2024</v>
      </c>
      <c r="W13" s="290">
        <f>AVERAGEIF('Monthly Data'!B:B,B13,'Monthly Data'!AC:AC)</f>
        <v>14446.083333333334</v>
      </c>
      <c r="X13" s="297">
        <f t="shared" si="11"/>
        <v>1.0042928649224852</v>
      </c>
      <c r="Y13" s="10"/>
      <c r="Z13" s="286">
        <f t="shared" si="12"/>
        <v>2024</v>
      </c>
      <c r="AA13" s="290">
        <f>AVERAGEIF('Monthly Data'!B:B,Z13,'Monthly Data'!AF:AF)</f>
        <v>19</v>
      </c>
      <c r="AB13" s="297">
        <f t="shared" si="13"/>
        <v>1</v>
      </c>
      <c r="AC13" s="10"/>
      <c r="AD13" s="286">
        <f t="shared" si="14"/>
        <v>2024</v>
      </c>
      <c r="AE13" s="290">
        <f>AVERAGEIF('Monthly Data'!B:B,B13,'Monthly Data'!AH:AH)</f>
        <v>259.5</v>
      </c>
      <c r="AF13" s="297">
        <f t="shared" si="15"/>
        <v>1.0009643201542913</v>
      </c>
      <c r="AG13" s="10"/>
    </row>
    <row r="14" spans="2:33" x14ac:dyDescent="0.25">
      <c r="B14" s="10">
        <f t="shared" si="0"/>
        <v>2025</v>
      </c>
      <c r="C14" s="11">
        <f>AVERAGE(C35:C46)</f>
        <v>58387.476500185643</v>
      </c>
      <c r="D14" s="241">
        <f>GEOMEAN(D7:D13)</f>
        <v>1.0135288926729409</v>
      </c>
      <c r="E14" s="10"/>
      <c r="F14" s="10">
        <f>F13+1</f>
        <v>2025</v>
      </c>
      <c r="G14" s="11">
        <f>AVERAGE(G35:G46)</f>
        <v>4325.022565784062</v>
      </c>
      <c r="H14" s="12">
        <f>GEOMEAN(H5:H13)</f>
        <v>1.0107795430064026</v>
      </c>
      <c r="I14" s="10"/>
      <c r="J14" s="10">
        <f>J13+1</f>
        <v>2025</v>
      </c>
      <c r="K14" s="11">
        <f>AVERAGE(K35:K46)</f>
        <v>514.61975548529983</v>
      </c>
      <c r="L14" s="12">
        <f>GEOMEAN(L5:L13)</f>
        <v>1.0016078318598618</v>
      </c>
      <c r="M14" s="10"/>
      <c r="N14" s="10">
        <f t="shared" si="6"/>
        <v>2025</v>
      </c>
      <c r="O14" s="11">
        <f>AVERAGE(O35:O46)</f>
        <v>17.085225549032245</v>
      </c>
      <c r="P14" s="12">
        <f>GEOMEAN(P5:P13)</f>
        <v>1.0347552927514643</v>
      </c>
      <c r="Q14" s="10"/>
      <c r="R14" s="10">
        <f t="shared" si="8"/>
        <v>2025</v>
      </c>
      <c r="S14" s="11">
        <f>AVERAGE(S35:S46)</f>
        <v>1</v>
      </c>
      <c r="T14" s="12">
        <f>GEOMEAN(T5:T13)</f>
        <v>1</v>
      </c>
      <c r="U14" s="10"/>
      <c r="V14" s="10">
        <f>V13+1</f>
        <v>2025</v>
      </c>
      <c r="W14" s="11">
        <f>AVERAGE(W35:W46)</f>
        <v>14528.911584442207</v>
      </c>
      <c r="X14" s="241">
        <f>GEOMEAN(X6:X13)</f>
        <v>1.0137075720121573</v>
      </c>
      <c r="Y14" s="10"/>
      <c r="Z14" s="10">
        <f t="shared" si="12"/>
        <v>2025</v>
      </c>
      <c r="AA14" s="11">
        <f>AVERAGE(AA35:AA46)</f>
        <v>19</v>
      </c>
      <c r="AB14" s="241">
        <f>GEOMEAN(AB9:AB13)</f>
        <v>1</v>
      </c>
      <c r="AC14" s="10"/>
      <c r="AD14" s="10">
        <f>AD13+1</f>
        <v>2025</v>
      </c>
      <c r="AE14" s="11">
        <f>AVERAGE(AE35:AE46)</f>
        <v>263.83585228188821</v>
      </c>
      <c r="AF14" s="241">
        <f>GEOMEAN(AF6:AF13)</f>
        <v>1.0065726837219755</v>
      </c>
    </row>
    <row r="15" spans="2:33" x14ac:dyDescent="0.25">
      <c r="B15" s="10">
        <f t="shared" si="0"/>
        <v>2026</v>
      </c>
      <c r="C15" s="11">
        <f>C14*D15</f>
        <v>59177.394403200509</v>
      </c>
      <c r="D15" s="12">
        <f>D14</f>
        <v>1.0135288926729409</v>
      </c>
      <c r="E15" s="10"/>
      <c r="F15" s="10">
        <f>F14+1</f>
        <v>2026</v>
      </c>
      <c r="G15" s="11">
        <f>G14*H15</f>
        <v>4371.6443325355931</v>
      </c>
      <c r="H15" s="12">
        <f>H14</f>
        <v>1.0107795430064026</v>
      </c>
      <c r="I15" s="10"/>
      <c r="J15" s="10">
        <f>J14+1</f>
        <v>2026</v>
      </c>
      <c r="K15" s="11">
        <f>K14*L15</f>
        <v>515.4471775238834</v>
      </c>
      <c r="L15" s="12">
        <f>L14</f>
        <v>1.0016078318598618</v>
      </c>
      <c r="M15" s="10"/>
      <c r="N15" s="10">
        <f t="shared" si="6"/>
        <v>2026</v>
      </c>
      <c r="O15" s="11">
        <f>O14*P15</f>
        <v>17.679027564713657</v>
      </c>
      <c r="P15" s="12">
        <f>P14</f>
        <v>1.0347552927514643</v>
      </c>
      <c r="Q15" s="10"/>
      <c r="R15" s="10">
        <f t="shared" si="8"/>
        <v>2026</v>
      </c>
      <c r="S15" s="11">
        <f>S14*T15</f>
        <v>1</v>
      </c>
      <c r="T15" s="12">
        <f>T14</f>
        <v>1</v>
      </c>
      <c r="U15" s="10"/>
      <c r="V15" s="10">
        <f>V14+1</f>
        <v>2026</v>
      </c>
      <c r="W15" s="11">
        <f>W14*X15</f>
        <v>14728.067686244216</v>
      </c>
      <c r="X15" s="12">
        <f>X14</f>
        <v>1.0137075720121573</v>
      </c>
      <c r="Y15" s="10"/>
      <c r="Z15" s="10">
        <f t="shared" si="12"/>
        <v>2026</v>
      </c>
      <c r="AA15" s="11">
        <f>AA14*AB15</f>
        <v>19</v>
      </c>
      <c r="AB15" s="12">
        <f>AB14</f>
        <v>1</v>
      </c>
      <c r="AC15" s="10"/>
      <c r="AD15" s="10">
        <f>AD14+1</f>
        <v>2026</v>
      </c>
      <c r="AE15" s="11">
        <f>AE14*AF15</f>
        <v>265.56996189345489</v>
      </c>
      <c r="AF15" s="12">
        <f>AF14</f>
        <v>1.0065726837219755</v>
      </c>
    </row>
    <row r="17" spans="1:57" x14ac:dyDescent="0.25">
      <c r="B17" s="10">
        <f>B13</f>
        <v>2024</v>
      </c>
      <c r="C17" s="11">
        <f>AVERAGE(C23:C34)</f>
        <v>57937</v>
      </c>
      <c r="D17" s="12">
        <f>C17/C12</f>
        <v>1.0167790093466966</v>
      </c>
      <c r="E17" s="10"/>
      <c r="F17" s="10">
        <f>F13</f>
        <v>2024</v>
      </c>
      <c r="G17" s="11">
        <f>AVERAGE(G23:G34)</f>
        <v>4427.25</v>
      </c>
      <c r="H17" s="12">
        <f>G17/G12</f>
        <v>1.0077009161434722</v>
      </c>
      <c r="I17" s="10"/>
      <c r="J17" s="10">
        <f>J13</f>
        <v>2024</v>
      </c>
      <c r="K17" s="11">
        <f>AVERAGE(K23:K34)</f>
        <v>516.66666666666663</v>
      </c>
      <c r="L17" s="12">
        <f>K17/K12</f>
        <v>0.99136552606331951</v>
      </c>
      <c r="M17" s="10"/>
      <c r="N17" s="10">
        <f>N13</f>
        <v>2024</v>
      </c>
      <c r="O17" s="11">
        <f>AVERAGE(O23:O34)</f>
        <v>17</v>
      </c>
      <c r="P17" s="12">
        <f>O17/O12</f>
        <v>0.94444444444444442</v>
      </c>
      <c r="Q17" s="10"/>
      <c r="R17" s="10">
        <f>R13</f>
        <v>2024</v>
      </c>
      <c r="S17" s="11">
        <f>AVERAGE(S23:S34)</f>
        <v>1</v>
      </c>
      <c r="T17" s="12">
        <f>S17/S12</f>
        <v>1</v>
      </c>
      <c r="U17" s="10"/>
      <c r="V17" s="10">
        <f>V13</f>
        <v>2024</v>
      </c>
      <c r="W17" s="11">
        <f>AVERAGE(W23:W34)</f>
        <v>14446.083333333334</v>
      </c>
      <c r="X17" s="12">
        <f>W17/W12</f>
        <v>1.0042928649224852</v>
      </c>
      <c r="Y17" s="10"/>
      <c r="Z17" s="10">
        <f>Z13</f>
        <v>2024</v>
      </c>
      <c r="AA17" s="11">
        <f>AVERAGE(AA23:AA34)</f>
        <v>19</v>
      </c>
      <c r="AB17" s="12">
        <f>AA17/AA12</f>
        <v>1</v>
      </c>
      <c r="AC17" s="10"/>
      <c r="AD17" s="10">
        <f>AD13</f>
        <v>2024</v>
      </c>
      <c r="AE17" s="11">
        <f>AVERAGE(AE23:AE34)</f>
        <v>259.5</v>
      </c>
      <c r="AF17" s="12">
        <f>AE17/AE12</f>
        <v>1.0009643201542913</v>
      </c>
      <c r="AH17" s="276"/>
    </row>
    <row r="18" spans="1:57" x14ac:dyDescent="0.25">
      <c r="B18" s="10">
        <f>B14</f>
        <v>2025</v>
      </c>
      <c r="C18" s="11">
        <f>AVERAGE(C35:C46)</f>
        <v>58387.476500185643</v>
      </c>
      <c r="D18" s="12">
        <f>C18/C17</f>
        <v>1.0077752817747836</v>
      </c>
      <c r="E18" s="10"/>
      <c r="F18" s="10">
        <f>F14</f>
        <v>2025</v>
      </c>
      <c r="G18" s="11">
        <f>AVERAGE(G35:G46)</f>
        <v>4325.022565784062</v>
      </c>
      <c r="H18" s="12">
        <f>G18/G17</f>
        <v>0.97690949591373022</v>
      </c>
      <c r="I18" s="10"/>
      <c r="J18" s="10">
        <f>J14</f>
        <v>2025</v>
      </c>
      <c r="K18" s="11">
        <f>AVERAGE(K35:K46)</f>
        <v>514.61975548529983</v>
      </c>
      <c r="L18" s="12">
        <f>K18/K17</f>
        <v>0.99603823642316103</v>
      </c>
      <c r="M18" s="10"/>
      <c r="N18" s="10">
        <f>N14</f>
        <v>2025</v>
      </c>
      <c r="O18" s="11">
        <f>AVERAGE(O35:O46)</f>
        <v>17.085225549032245</v>
      </c>
      <c r="P18" s="12">
        <f>O18/O17</f>
        <v>1.005013267590132</v>
      </c>
      <c r="Q18" s="10"/>
      <c r="R18" s="10">
        <f>R14</f>
        <v>2025</v>
      </c>
      <c r="S18" s="11">
        <f>AVERAGE(S35:S46)</f>
        <v>1</v>
      </c>
      <c r="T18" s="12">
        <f>S18/S17</f>
        <v>1</v>
      </c>
      <c r="U18" s="10"/>
      <c r="V18" s="10">
        <f>V14</f>
        <v>2025</v>
      </c>
      <c r="W18" s="11">
        <f>AVERAGE(W35:W46)</f>
        <v>14528.911584442207</v>
      </c>
      <c r="X18" s="12">
        <f>W18/W17</f>
        <v>1.0057336129937553</v>
      </c>
      <c r="Y18" s="10"/>
      <c r="Z18" s="10">
        <f>Z14</f>
        <v>2025</v>
      </c>
      <c r="AA18" s="11">
        <f>AVERAGE(AA35:AA46)</f>
        <v>19</v>
      </c>
      <c r="AB18" s="12">
        <f>AA18/AA17</f>
        <v>1</v>
      </c>
      <c r="AC18" s="10"/>
      <c r="AD18" s="10">
        <f>AD14</f>
        <v>2025</v>
      </c>
      <c r="AE18" s="11">
        <f>AVERAGE(AE35:AE46)</f>
        <v>263.83585228188821</v>
      </c>
      <c r="AF18" s="12">
        <f>AE18/AE17</f>
        <v>1.0167084866354072</v>
      </c>
    </row>
    <row r="19" spans="1:57" x14ac:dyDescent="0.25">
      <c r="B19" s="10">
        <v>2026</v>
      </c>
      <c r="C19" s="11">
        <f>AVERAGE(C47:C58)</f>
        <v>59177.393988025171</v>
      </c>
      <c r="D19" s="12">
        <f>C19/C18</f>
        <v>1.0135288855622493</v>
      </c>
      <c r="E19" s="10"/>
      <c r="F19" s="10">
        <v>2026</v>
      </c>
      <c r="G19" s="11">
        <f>AVERAGE(G47:G58)</f>
        <v>4371.6390399058555</v>
      </c>
      <c r="H19" s="12">
        <f>G19/G18</f>
        <v>1.0107783192833684</v>
      </c>
      <c r="I19" s="10"/>
      <c r="J19" s="10">
        <v>2026</v>
      </c>
      <c r="K19" s="11">
        <f>AVERAGE(K47:K58)</f>
        <v>515.44677169250713</v>
      </c>
      <c r="L19" s="12">
        <f>K19/K18</f>
        <v>1.0016070432555146</v>
      </c>
      <c r="M19" s="10"/>
      <c r="N19" s="10">
        <v>2026</v>
      </c>
      <c r="O19" s="11">
        <f>AVERAGE(O47:O58)</f>
        <v>17.679545253390046</v>
      </c>
      <c r="P19" s="12">
        <f>O19/O18</f>
        <v>1.034785593122677</v>
      </c>
      <c r="Q19" s="10"/>
      <c r="R19" s="10">
        <v>2026</v>
      </c>
      <c r="S19" s="11">
        <f>AVERAGE(S47:S58)</f>
        <v>1</v>
      </c>
      <c r="T19" s="12">
        <f>S19/S18</f>
        <v>1</v>
      </c>
      <c r="U19" s="10"/>
      <c r="V19" s="10">
        <v>2026</v>
      </c>
      <c r="W19" s="11">
        <f>AVERAGE(W47:W58)</f>
        <v>14728.069044096936</v>
      </c>
      <c r="X19" s="12">
        <f>W19/W18</f>
        <v>1.013707665470825</v>
      </c>
      <c r="Y19" s="10"/>
      <c r="Z19" s="10">
        <v>2026</v>
      </c>
      <c r="AA19" s="11">
        <f>AVERAGE(AA47:AA58)</f>
        <v>19</v>
      </c>
      <c r="AB19" s="12">
        <f>AA19/AA18</f>
        <v>1</v>
      </c>
      <c r="AC19" s="10"/>
      <c r="AD19" s="10">
        <v>2026</v>
      </c>
      <c r="AE19" s="11">
        <f>AVERAGE(AE47:AE58)</f>
        <v>265.56946520375328</v>
      </c>
      <c r="AF19" s="12">
        <f>AE19/AE18</f>
        <v>1.0065708011510612</v>
      </c>
    </row>
    <row r="20" spans="1:57" x14ac:dyDescent="0.25">
      <c r="H20" s="299"/>
      <c r="L20" s="299"/>
      <c r="P20" s="299"/>
      <c r="T20" s="299"/>
    </row>
    <row r="21" spans="1:57" ht="13.8" x14ac:dyDescent="0.25">
      <c r="A21" s="300" t="s">
        <v>437</v>
      </c>
      <c r="C21" s="29" t="str">
        <f>IF(ROUND(C18,0)=ROUND(C14,0),IF(ROUND(C19,0)=ROUND(C15,0),"Match","Check"),"Check")</f>
        <v>Match</v>
      </c>
      <c r="G21" s="29" t="str">
        <f>IF(ROUND(G18,0)=ROUND(G14,0),IF(ROUND(G19,0)=ROUND(G15,0),"Match","Check"),"Check")</f>
        <v>Match</v>
      </c>
      <c r="K21" s="29" t="str">
        <f>IF(ROUND(K18,0)=ROUND(K14,0),IF(ROUND(K19,0)=ROUND(K15,0),"Match","Check"),"Check")</f>
        <v>Match</v>
      </c>
      <c r="O21" s="29" t="str">
        <f>IF(ROUND(O18,0)=ROUND(O14,0),IF(ROUND(O19,0)=ROUND(O15,0),"Match","Check"),"Check")</f>
        <v>Match</v>
      </c>
      <c r="S21" s="29" t="str">
        <f>IF(ROUND(S18,0)=ROUND(S14,0),IF(ROUND(S19,0)=ROUND(S15,0),"Match","Check"),"Check")</f>
        <v>Match</v>
      </c>
      <c r="W21" s="29" t="str">
        <f>IF(ROUND(W18,0)=ROUND(W14,0),IF(ROUND(W19,0)=ROUND(W15,0),"Match","Check"),"Check")</f>
        <v>Match</v>
      </c>
      <c r="AA21" s="29" t="str">
        <f>IF(ROUND(AA18,0)=ROUND(AA14,0),IF(ROUND(AA19,0)=ROUND(AA15,0),"Match","Check"),"Check")</f>
        <v>Match</v>
      </c>
      <c r="AE21" s="29" t="str">
        <f>IF(ROUND(AE18,0)=ROUND(AE14,0),IF(ROUND(AE19,0)=ROUND(AE15,0),"Match","Check"),"Check")</f>
        <v>Match</v>
      </c>
    </row>
    <row r="22" spans="1:57" ht="13.8" x14ac:dyDescent="0.25">
      <c r="A22" s="298"/>
      <c r="C22" s="271">
        <f>'Monthly Data'!G109</f>
        <v>57315</v>
      </c>
      <c r="D22" s="231"/>
      <c r="E22" s="301"/>
      <c r="F22" s="301"/>
      <c r="G22" s="271">
        <f>'Monthly Data'!K109</f>
        <v>4474</v>
      </c>
      <c r="H22" s="231"/>
      <c r="I22" s="301"/>
      <c r="J22" s="301"/>
      <c r="K22" s="271">
        <f>'Monthly Data'!P109</f>
        <v>508</v>
      </c>
      <c r="L22" s="231"/>
      <c r="M22" s="301"/>
      <c r="N22" s="301"/>
      <c r="O22" s="18">
        <f>'Monthly Data'!U109</f>
        <v>18</v>
      </c>
      <c r="P22" s="231"/>
      <c r="Q22" s="301"/>
      <c r="R22" s="301"/>
      <c r="S22" s="18">
        <f>'Monthly Data'!Z109</f>
        <v>1</v>
      </c>
      <c r="T22" s="231"/>
      <c r="U22" s="301"/>
      <c r="V22" s="301"/>
      <c r="W22" s="18">
        <f>'Monthly Data'!AC109</f>
        <v>14445</v>
      </c>
      <c r="X22" s="270"/>
      <c r="Y22" s="301"/>
      <c r="Z22" s="301"/>
      <c r="AA22" s="18">
        <f>'Monthly Data'!AF109</f>
        <v>19</v>
      </c>
      <c r="AB22" s="270"/>
      <c r="AC22" s="301"/>
      <c r="AD22" s="301"/>
      <c r="AE22" s="18">
        <f>'Monthly Data'!AH109</f>
        <v>259</v>
      </c>
      <c r="AI22" s="29"/>
      <c r="AM22" s="298"/>
      <c r="AO22" s="29"/>
      <c r="AS22" s="29"/>
      <c r="AW22" s="29"/>
      <c r="AX22" s="29"/>
      <c r="BA22" s="29"/>
      <c r="BE22" s="29"/>
    </row>
    <row r="23" spans="1:57" x14ac:dyDescent="0.25">
      <c r="A23" s="1">
        <v>2024</v>
      </c>
      <c r="B23" s="1" t="s">
        <v>65</v>
      </c>
      <c r="C23" s="271">
        <f>'Monthly Data'!G110</f>
        <v>57575</v>
      </c>
      <c r="D23" s="231"/>
      <c r="E23" s="515"/>
      <c r="F23" s="301"/>
      <c r="G23" s="271">
        <f>'Monthly Data'!K110</f>
        <v>4429</v>
      </c>
      <c r="H23" s="231"/>
      <c r="I23" s="301"/>
      <c r="J23" s="301"/>
      <c r="K23" s="271">
        <f>'Monthly Data'!P110</f>
        <v>512</v>
      </c>
      <c r="L23" s="231"/>
      <c r="M23" s="301"/>
      <c r="N23" s="301"/>
      <c r="O23" s="18">
        <f>'Monthly Data'!U110</f>
        <v>17</v>
      </c>
      <c r="P23" s="231"/>
      <c r="Q23" s="301"/>
      <c r="R23" s="301"/>
      <c r="S23" s="18">
        <f>'Monthly Data'!Z110</f>
        <v>1</v>
      </c>
      <c r="T23" s="231"/>
      <c r="U23" s="301"/>
      <c r="V23" s="301"/>
      <c r="W23" s="18">
        <f>'Monthly Data'!AC110</f>
        <v>14445</v>
      </c>
      <c r="X23" s="270"/>
      <c r="Y23" s="301"/>
      <c r="Z23" s="301"/>
      <c r="AA23" s="18">
        <f>'Monthly Data'!AF110</f>
        <v>19</v>
      </c>
      <c r="AB23" s="270"/>
      <c r="AC23" s="301"/>
      <c r="AD23" s="301"/>
      <c r="AE23" s="18">
        <f>'Monthly Data'!AH110</f>
        <v>259</v>
      </c>
      <c r="AF23" s="270"/>
    </row>
    <row r="24" spans="1:57" x14ac:dyDescent="0.25">
      <c r="B24" s="1" t="s">
        <v>66</v>
      </c>
      <c r="C24" s="271">
        <f>'Monthly Data'!G111</f>
        <v>57563</v>
      </c>
      <c r="D24" s="231">
        <f>C24/C23</f>
        <v>0.99979157620495007</v>
      </c>
      <c r="E24" s="515"/>
      <c r="F24" s="301"/>
      <c r="G24" s="271">
        <f>'Monthly Data'!K111</f>
        <v>4427</v>
      </c>
      <c r="H24" s="231">
        <f>G24/G23</f>
        <v>0.9995484307970196</v>
      </c>
      <c r="I24" s="301"/>
      <c r="J24" s="301"/>
      <c r="K24" s="271">
        <f>'Monthly Data'!P111</f>
        <v>513</v>
      </c>
      <c r="L24" s="231">
        <f>K24/K23</f>
        <v>1.001953125</v>
      </c>
      <c r="M24" s="301"/>
      <c r="N24" s="301"/>
      <c r="O24" s="18">
        <f>'Monthly Data'!U111</f>
        <v>17</v>
      </c>
      <c r="P24" s="231">
        <f t="shared" ref="P24:P34" si="16">O24/O23</f>
        <v>1</v>
      </c>
      <c r="Q24" s="301"/>
      <c r="R24" s="301"/>
      <c r="S24" s="18">
        <f>'Monthly Data'!Z111</f>
        <v>1</v>
      </c>
      <c r="T24" s="231">
        <f t="shared" ref="T24:T34" si="17">S24/S23</f>
        <v>1</v>
      </c>
      <c r="U24" s="301"/>
      <c r="V24" s="301"/>
      <c r="W24" s="18">
        <f>'Monthly Data'!AC111</f>
        <v>14444</v>
      </c>
      <c r="X24" s="270">
        <f>W24/W23</f>
        <v>0.99993077189338875</v>
      </c>
      <c r="Y24" s="301"/>
      <c r="Z24" s="301"/>
      <c r="AA24" s="18">
        <f>'Monthly Data'!AF111</f>
        <v>19</v>
      </c>
      <c r="AB24" s="270">
        <f t="shared" ref="AB24:AB40" si="18">AA24/AA23</f>
        <v>1</v>
      </c>
      <c r="AC24" s="301"/>
      <c r="AD24" s="301"/>
      <c r="AE24" s="18">
        <f>'Monthly Data'!AH111</f>
        <v>259</v>
      </c>
      <c r="AF24" s="270">
        <f>AE24/AE23</f>
        <v>1</v>
      </c>
    </row>
    <row r="25" spans="1:57" x14ac:dyDescent="0.25">
      <c r="B25" s="1" t="s">
        <v>67</v>
      </c>
      <c r="C25" s="271">
        <f>'Monthly Data'!G112</f>
        <v>57679</v>
      </c>
      <c r="D25" s="231">
        <f>C25/C24</f>
        <v>1.0020151833643138</v>
      </c>
      <c r="E25" s="515"/>
      <c r="F25" s="301"/>
      <c r="G25" s="271">
        <f>'Monthly Data'!K112</f>
        <v>4431</v>
      </c>
      <c r="H25" s="231">
        <f>G25/G24</f>
        <v>1.0009035464196974</v>
      </c>
      <c r="I25" s="301"/>
      <c r="J25" s="301"/>
      <c r="K25" s="271">
        <f>'Monthly Data'!P112</f>
        <v>513</v>
      </c>
      <c r="L25" s="231">
        <f>K25/K24</f>
        <v>1</v>
      </c>
      <c r="M25" s="301"/>
      <c r="N25" s="301"/>
      <c r="O25" s="18">
        <f>'Monthly Data'!U112</f>
        <v>17</v>
      </c>
      <c r="P25" s="231">
        <f t="shared" si="16"/>
        <v>1</v>
      </c>
      <c r="Q25" s="301"/>
      <c r="R25" s="301"/>
      <c r="S25" s="18">
        <f>'Monthly Data'!Z112</f>
        <v>1</v>
      </c>
      <c r="T25" s="231">
        <f t="shared" si="17"/>
        <v>1</v>
      </c>
      <c r="U25" s="301"/>
      <c r="V25" s="301"/>
      <c r="W25" s="18">
        <f>'Monthly Data'!AC112</f>
        <v>14444</v>
      </c>
      <c r="X25" s="270">
        <f>W25/W24</f>
        <v>1</v>
      </c>
      <c r="Y25" s="301"/>
      <c r="Z25" s="301"/>
      <c r="AA25" s="18">
        <f>'Monthly Data'!AF112</f>
        <v>19</v>
      </c>
      <c r="AB25" s="270">
        <f t="shared" si="18"/>
        <v>1</v>
      </c>
      <c r="AC25" s="301"/>
      <c r="AD25" s="301"/>
      <c r="AE25" s="18">
        <f>'Monthly Data'!AH112</f>
        <v>259</v>
      </c>
      <c r="AF25" s="270">
        <f>AE25/AE24</f>
        <v>1</v>
      </c>
    </row>
    <row r="26" spans="1:57" x14ac:dyDescent="0.25">
      <c r="B26" s="1" t="s">
        <v>68</v>
      </c>
      <c r="C26" s="271">
        <f>'Monthly Data'!G113</f>
        <v>57801</v>
      </c>
      <c r="D26" s="231">
        <f>C26/C25</f>
        <v>1.002115154562319</v>
      </c>
      <c r="E26" s="515"/>
      <c r="F26" s="301"/>
      <c r="G26" s="271">
        <f>'Monthly Data'!K113</f>
        <v>4433</v>
      </c>
      <c r="H26" s="231">
        <f>G26/G25</f>
        <v>1.0004513653802753</v>
      </c>
      <c r="I26" s="301"/>
      <c r="J26" s="301"/>
      <c r="K26" s="271">
        <f>'Monthly Data'!P113</f>
        <v>514</v>
      </c>
      <c r="L26" s="231">
        <f>K26/K25</f>
        <v>1.0019493177387915</v>
      </c>
      <c r="M26" s="301"/>
      <c r="N26" s="301"/>
      <c r="O26" s="18">
        <f>'Monthly Data'!U113</f>
        <v>17</v>
      </c>
      <c r="P26" s="231">
        <f t="shared" si="16"/>
        <v>1</v>
      </c>
      <c r="Q26" s="301"/>
      <c r="R26" s="301"/>
      <c r="S26" s="18">
        <f>'Monthly Data'!Z113</f>
        <v>1</v>
      </c>
      <c r="T26" s="231">
        <f t="shared" si="17"/>
        <v>1</v>
      </c>
      <c r="U26" s="301"/>
      <c r="V26" s="301"/>
      <c r="W26" s="18">
        <f>'Monthly Data'!AC113</f>
        <v>14444</v>
      </c>
      <c r="X26" s="270">
        <f>W26/W25</f>
        <v>1</v>
      </c>
      <c r="Y26" s="301"/>
      <c r="Z26" s="301"/>
      <c r="AA26" s="18">
        <f>'Monthly Data'!AF113</f>
        <v>19</v>
      </c>
      <c r="AB26" s="270">
        <f t="shared" si="18"/>
        <v>1</v>
      </c>
      <c r="AC26" s="301"/>
      <c r="AD26" s="301"/>
      <c r="AE26" s="18">
        <f>'Monthly Data'!AH113</f>
        <v>259</v>
      </c>
      <c r="AF26" s="270">
        <f>AE26/AE25</f>
        <v>1</v>
      </c>
    </row>
    <row r="27" spans="1:57" x14ac:dyDescent="0.25">
      <c r="B27" s="1" t="s">
        <v>69</v>
      </c>
      <c r="C27" s="271">
        <f>'Monthly Data'!G114</f>
        <v>57905</v>
      </c>
      <c r="D27" s="231">
        <f>C27/C26</f>
        <v>1.0017992768291206</v>
      </c>
      <c r="E27" s="515"/>
      <c r="F27" s="301"/>
      <c r="G27" s="271">
        <f>'Monthly Data'!K114</f>
        <v>4438</v>
      </c>
      <c r="H27" s="231">
        <f>G27/G26</f>
        <v>1.0011279043537109</v>
      </c>
      <c r="I27" s="301"/>
      <c r="J27" s="301"/>
      <c r="K27" s="271">
        <f>'Monthly Data'!P114</f>
        <v>515</v>
      </c>
      <c r="L27" s="231">
        <f>K27/K26</f>
        <v>1.0019455252918288</v>
      </c>
      <c r="M27" s="301"/>
      <c r="N27" s="301"/>
      <c r="O27" s="18">
        <f>'Monthly Data'!U114</f>
        <v>17</v>
      </c>
      <c r="P27" s="231">
        <f t="shared" si="16"/>
        <v>1</v>
      </c>
      <c r="Q27" s="301"/>
      <c r="R27" s="301"/>
      <c r="S27" s="18">
        <f>'Monthly Data'!Z114</f>
        <v>1</v>
      </c>
      <c r="T27" s="231">
        <f t="shared" si="17"/>
        <v>1</v>
      </c>
      <c r="U27" s="301"/>
      <c r="V27" s="301"/>
      <c r="W27" s="18">
        <f>'Monthly Data'!AC114</f>
        <v>14444</v>
      </c>
      <c r="X27" s="270">
        <f>W27/W26</f>
        <v>1</v>
      </c>
      <c r="Y27" s="301"/>
      <c r="Z27" s="301"/>
      <c r="AA27" s="18">
        <f>'Monthly Data'!AF114</f>
        <v>19</v>
      </c>
      <c r="AB27" s="270">
        <f t="shared" si="18"/>
        <v>1</v>
      </c>
      <c r="AC27" s="301"/>
      <c r="AD27" s="301"/>
      <c r="AE27" s="18">
        <f>'Monthly Data'!AH114</f>
        <v>259</v>
      </c>
      <c r="AF27" s="270">
        <f>AE27/AE26</f>
        <v>1</v>
      </c>
    </row>
    <row r="28" spans="1:57" x14ac:dyDescent="0.25">
      <c r="B28" s="1" t="s">
        <v>70</v>
      </c>
      <c r="C28" s="271">
        <f>'Monthly Data'!G115</f>
        <v>57937</v>
      </c>
      <c r="D28" s="231">
        <f>C28/C27</f>
        <v>1.0005526293066229</v>
      </c>
      <c r="E28" s="515"/>
      <c r="F28" s="301"/>
      <c r="G28" s="271">
        <f>'Monthly Data'!K115</f>
        <v>4437</v>
      </c>
      <c r="H28" s="231">
        <f>G28/G27</f>
        <v>0.99977467327625058</v>
      </c>
      <c r="I28" s="301"/>
      <c r="J28" s="301"/>
      <c r="K28" s="271">
        <f>'Monthly Data'!P115</f>
        <v>517</v>
      </c>
      <c r="L28" s="231">
        <f>K28/K27</f>
        <v>1.003883495145631</v>
      </c>
      <c r="M28" s="301"/>
      <c r="N28" s="301"/>
      <c r="O28" s="18">
        <f>'Monthly Data'!U115</f>
        <v>17</v>
      </c>
      <c r="P28" s="231">
        <f t="shared" si="16"/>
        <v>1</v>
      </c>
      <c r="Q28" s="301"/>
      <c r="R28" s="301"/>
      <c r="S28" s="18">
        <f>'Monthly Data'!Z115</f>
        <v>1</v>
      </c>
      <c r="T28" s="231">
        <f t="shared" si="17"/>
        <v>1</v>
      </c>
      <c r="U28" s="301"/>
      <c r="V28" s="301"/>
      <c r="W28" s="18">
        <f>'Monthly Data'!AC115</f>
        <v>14444</v>
      </c>
      <c r="X28" s="270">
        <f>W28/W27</f>
        <v>1</v>
      </c>
      <c r="Y28" s="301"/>
      <c r="Z28" s="301"/>
      <c r="AA28" s="18">
        <f>'Monthly Data'!AF115</f>
        <v>19</v>
      </c>
      <c r="AB28" s="270">
        <f t="shared" si="18"/>
        <v>1</v>
      </c>
      <c r="AC28" s="301"/>
      <c r="AD28" s="301"/>
      <c r="AE28" s="18">
        <f>'Monthly Data'!AH115</f>
        <v>259</v>
      </c>
      <c r="AF28" s="270">
        <f>AE28/AE27</f>
        <v>1</v>
      </c>
    </row>
    <row r="29" spans="1:57" x14ac:dyDescent="0.25">
      <c r="B29" s="1" t="s">
        <v>71</v>
      </c>
      <c r="C29" s="271">
        <f>'Monthly Data'!G116</f>
        <v>58077</v>
      </c>
      <c r="D29" s="231">
        <f t="shared" ref="D29:D34" si="19">C29/C28</f>
        <v>1.0024164178331636</v>
      </c>
      <c r="E29" s="515"/>
      <c r="F29" s="301"/>
      <c r="G29" s="271">
        <f>'Monthly Data'!K116</f>
        <v>4438</v>
      </c>
      <c r="H29" s="231">
        <f t="shared" ref="H29:H34" si="20">G29/G28</f>
        <v>1.0002253775073249</v>
      </c>
      <c r="I29" s="301"/>
      <c r="J29" s="301"/>
      <c r="K29" s="271">
        <f>'Monthly Data'!P116</f>
        <v>518</v>
      </c>
      <c r="L29" s="231">
        <f t="shared" ref="L29:L34" si="21">K29/K28</f>
        <v>1.0019342359767891</v>
      </c>
      <c r="M29" s="301"/>
      <c r="N29" s="301"/>
      <c r="O29" s="18">
        <f>'Monthly Data'!U116</f>
        <v>17</v>
      </c>
      <c r="P29" s="231">
        <f t="shared" si="16"/>
        <v>1</v>
      </c>
      <c r="Q29" s="301"/>
      <c r="R29" s="301"/>
      <c r="S29" s="18">
        <f>'Monthly Data'!Z116</f>
        <v>1</v>
      </c>
      <c r="T29" s="231">
        <f t="shared" si="17"/>
        <v>1</v>
      </c>
      <c r="U29" s="301"/>
      <c r="V29" s="301"/>
      <c r="W29" s="18">
        <f>'Monthly Data'!AC116</f>
        <v>14448</v>
      </c>
      <c r="X29" s="270">
        <f t="shared" ref="X29:X34" si="22">W29/W28</f>
        <v>1.0002769315978952</v>
      </c>
      <c r="Y29" s="301"/>
      <c r="Z29" s="301"/>
      <c r="AA29" s="18">
        <f>'Monthly Data'!AF116</f>
        <v>19</v>
      </c>
      <c r="AB29" s="270">
        <f t="shared" si="18"/>
        <v>1</v>
      </c>
      <c r="AC29" s="301"/>
      <c r="AD29" s="301"/>
      <c r="AE29" s="18">
        <f>'Monthly Data'!AH116</f>
        <v>259</v>
      </c>
      <c r="AF29" s="270">
        <f t="shared" ref="AF29:AF34" si="23">AE29/AE28</f>
        <v>1</v>
      </c>
    </row>
    <row r="30" spans="1:57" x14ac:dyDescent="0.25">
      <c r="B30" s="1" t="s">
        <v>72</v>
      </c>
      <c r="C30" s="271">
        <f>'Monthly Data'!G117</f>
        <v>58228</v>
      </c>
      <c r="D30" s="231">
        <f t="shared" si="19"/>
        <v>1.0025999965562959</v>
      </c>
      <c r="E30" s="515"/>
      <c r="F30" s="301"/>
      <c r="G30" s="271">
        <f>'Monthly Data'!K117</f>
        <v>4440</v>
      </c>
      <c r="H30" s="231">
        <f t="shared" si="20"/>
        <v>1.0004506534474988</v>
      </c>
      <c r="I30" s="301"/>
      <c r="J30" s="301"/>
      <c r="K30" s="271">
        <f>'Monthly Data'!P117</f>
        <v>519</v>
      </c>
      <c r="L30" s="231">
        <f t="shared" si="21"/>
        <v>1.001930501930502</v>
      </c>
      <c r="M30" s="301"/>
      <c r="N30" s="301"/>
      <c r="O30" s="18">
        <f>'Monthly Data'!U117</f>
        <v>17</v>
      </c>
      <c r="P30" s="231">
        <f t="shared" si="16"/>
        <v>1</v>
      </c>
      <c r="Q30" s="301"/>
      <c r="R30" s="301"/>
      <c r="S30" s="18">
        <f>'Monthly Data'!Z117</f>
        <v>1</v>
      </c>
      <c r="T30" s="231">
        <f t="shared" si="17"/>
        <v>1</v>
      </c>
      <c r="U30" s="301"/>
      <c r="V30" s="301"/>
      <c r="W30" s="18">
        <f>'Monthly Data'!AC117</f>
        <v>14448</v>
      </c>
      <c r="X30" s="270">
        <f t="shared" si="22"/>
        <v>1</v>
      </c>
      <c r="Y30" s="301"/>
      <c r="Z30" s="301"/>
      <c r="AA30" s="18">
        <f>'Monthly Data'!AF117</f>
        <v>19</v>
      </c>
      <c r="AB30" s="270">
        <f t="shared" si="18"/>
        <v>1</v>
      </c>
      <c r="AC30" s="301"/>
      <c r="AD30" s="301"/>
      <c r="AE30" s="18">
        <f>'Monthly Data'!AH117</f>
        <v>258</v>
      </c>
      <c r="AF30" s="270">
        <f t="shared" si="23"/>
        <v>0.99613899613899615</v>
      </c>
    </row>
    <row r="31" spans="1:57" x14ac:dyDescent="0.25">
      <c r="B31" s="1" t="s">
        <v>438</v>
      </c>
      <c r="C31" s="271">
        <f>'Monthly Data'!G118</f>
        <v>58188</v>
      </c>
      <c r="D31" s="231">
        <f t="shared" si="19"/>
        <v>0.99931304527031672</v>
      </c>
      <c r="E31" s="515"/>
      <c r="F31" s="301"/>
      <c r="G31" s="271">
        <f>'Monthly Data'!K118</f>
        <v>4445</v>
      </c>
      <c r="H31" s="231">
        <f t="shared" si="20"/>
        <v>1.0011261261261262</v>
      </c>
      <c r="I31" s="301"/>
      <c r="J31" s="301"/>
      <c r="K31" s="271">
        <f>'Monthly Data'!P118</f>
        <v>520</v>
      </c>
      <c r="L31" s="231">
        <f t="shared" si="21"/>
        <v>1.0019267822736031</v>
      </c>
      <c r="M31" s="301"/>
      <c r="N31" s="301"/>
      <c r="O31" s="18">
        <f>'Monthly Data'!U118</f>
        <v>17</v>
      </c>
      <c r="P31" s="231">
        <f t="shared" si="16"/>
        <v>1</v>
      </c>
      <c r="Q31" s="301"/>
      <c r="R31" s="301"/>
      <c r="S31" s="18">
        <f>'Monthly Data'!Z118</f>
        <v>1</v>
      </c>
      <c r="T31" s="231">
        <f t="shared" si="17"/>
        <v>1</v>
      </c>
      <c r="U31" s="301"/>
      <c r="V31" s="301"/>
      <c r="W31" s="18">
        <f>'Monthly Data'!AC118</f>
        <v>14448</v>
      </c>
      <c r="X31" s="270">
        <f t="shared" si="22"/>
        <v>1</v>
      </c>
      <c r="Y31" s="301"/>
      <c r="Z31" s="301"/>
      <c r="AA31" s="18">
        <f>'Monthly Data'!AF118</f>
        <v>19</v>
      </c>
      <c r="AB31" s="270">
        <f t="shared" si="18"/>
        <v>1</v>
      </c>
      <c r="AC31" s="301"/>
      <c r="AD31" s="301"/>
      <c r="AE31" s="18">
        <f>'Monthly Data'!AH118</f>
        <v>260</v>
      </c>
      <c r="AF31" s="270">
        <f t="shared" si="23"/>
        <v>1.0077519379844961</v>
      </c>
    </row>
    <row r="32" spans="1:57" x14ac:dyDescent="0.25">
      <c r="B32" s="1" t="s">
        <v>74</v>
      </c>
      <c r="C32" s="271">
        <f>'Monthly Data'!G119</f>
        <v>58092</v>
      </c>
      <c r="D32" s="231">
        <f t="shared" si="19"/>
        <v>0.99835017529387504</v>
      </c>
      <c r="E32" s="515"/>
      <c r="F32" s="301"/>
      <c r="G32" s="271">
        <f>'Monthly Data'!K119</f>
        <v>4447</v>
      </c>
      <c r="H32" s="231">
        <f t="shared" si="20"/>
        <v>1.0004499437570304</v>
      </c>
      <c r="I32" s="301"/>
      <c r="J32" s="301"/>
      <c r="K32" s="271">
        <f>'Monthly Data'!P119</f>
        <v>520</v>
      </c>
      <c r="L32" s="231">
        <f t="shared" si="21"/>
        <v>1</v>
      </c>
      <c r="M32" s="301"/>
      <c r="N32" s="301"/>
      <c r="O32" s="18">
        <f>'Monthly Data'!U119</f>
        <v>17</v>
      </c>
      <c r="P32" s="231">
        <f t="shared" si="16"/>
        <v>1</v>
      </c>
      <c r="Q32" s="301"/>
      <c r="R32" s="301"/>
      <c r="S32" s="18">
        <f>'Monthly Data'!Z119</f>
        <v>1</v>
      </c>
      <c r="T32" s="231">
        <f t="shared" si="17"/>
        <v>1</v>
      </c>
      <c r="U32" s="301"/>
      <c r="V32" s="301"/>
      <c r="W32" s="18">
        <f>'Monthly Data'!AC119</f>
        <v>14448</v>
      </c>
      <c r="X32" s="270">
        <f t="shared" si="22"/>
        <v>1</v>
      </c>
      <c r="Y32" s="301"/>
      <c r="Z32" s="301"/>
      <c r="AA32" s="18">
        <f>'Monthly Data'!AF119</f>
        <v>19</v>
      </c>
      <c r="AB32" s="270">
        <f t="shared" si="18"/>
        <v>1</v>
      </c>
      <c r="AC32" s="301"/>
      <c r="AD32" s="301"/>
      <c r="AE32" s="18">
        <f>'Monthly Data'!AH119</f>
        <v>260</v>
      </c>
      <c r="AF32" s="270">
        <f t="shared" si="23"/>
        <v>1</v>
      </c>
    </row>
    <row r="33" spans="1:32" x14ac:dyDescent="0.25">
      <c r="B33" s="1" t="s">
        <v>75</v>
      </c>
      <c r="C33" s="271">
        <f>'Monthly Data'!G120</f>
        <v>58153</v>
      </c>
      <c r="D33" s="231">
        <f t="shared" si="19"/>
        <v>1.0010500585278523</v>
      </c>
      <c r="E33" s="515"/>
      <c r="F33" s="301"/>
      <c r="G33" s="271">
        <f>'Monthly Data'!K120</f>
        <v>4465</v>
      </c>
      <c r="H33" s="231">
        <f t="shared" si="20"/>
        <v>1.0040476725882617</v>
      </c>
      <c r="I33" s="301"/>
      <c r="J33" s="301"/>
      <c r="K33" s="271">
        <f>'Monthly Data'!P120</f>
        <v>520</v>
      </c>
      <c r="L33" s="231">
        <f t="shared" si="21"/>
        <v>1</v>
      </c>
      <c r="M33" s="301"/>
      <c r="N33" s="301"/>
      <c r="O33" s="18">
        <f>'Monthly Data'!U120</f>
        <v>17</v>
      </c>
      <c r="P33" s="231">
        <f t="shared" si="16"/>
        <v>1</v>
      </c>
      <c r="Q33" s="301"/>
      <c r="R33" s="301"/>
      <c r="S33" s="18">
        <f>'Monthly Data'!Z120</f>
        <v>1</v>
      </c>
      <c r="T33" s="231">
        <f t="shared" si="17"/>
        <v>1</v>
      </c>
      <c r="U33" s="301"/>
      <c r="V33" s="301"/>
      <c r="W33" s="18">
        <f>'Monthly Data'!AC120</f>
        <v>14448</v>
      </c>
      <c r="X33" s="270">
        <f t="shared" si="22"/>
        <v>1</v>
      </c>
      <c r="Y33" s="301"/>
      <c r="Z33" s="301"/>
      <c r="AA33" s="18">
        <f>'Monthly Data'!AF120</f>
        <v>19</v>
      </c>
      <c r="AB33" s="270">
        <f t="shared" si="18"/>
        <v>1</v>
      </c>
      <c r="AC33" s="301"/>
      <c r="AD33" s="301"/>
      <c r="AE33" s="18">
        <f>'Monthly Data'!AH120</f>
        <v>261</v>
      </c>
      <c r="AF33" s="270">
        <f t="shared" si="23"/>
        <v>1.0038461538461538</v>
      </c>
    </row>
    <row r="34" spans="1:32" x14ac:dyDescent="0.25">
      <c r="B34" s="1" t="s">
        <v>76</v>
      </c>
      <c r="C34" s="271">
        <f>'Monthly Data'!G121</f>
        <v>58046</v>
      </c>
      <c r="D34" s="231">
        <f t="shared" si="19"/>
        <v>0.99816002613794641</v>
      </c>
      <c r="E34" s="515"/>
      <c r="F34" s="301"/>
      <c r="G34" s="271">
        <f>'Monthly Data'!K121</f>
        <v>4297</v>
      </c>
      <c r="H34" s="231">
        <f t="shared" si="20"/>
        <v>0.96237402015677487</v>
      </c>
      <c r="I34" s="301"/>
      <c r="J34" s="301"/>
      <c r="K34" s="271">
        <f>'Monthly Data'!P121</f>
        <v>519</v>
      </c>
      <c r="L34" s="231">
        <f t="shared" si="21"/>
        <v>0.99807692307692308</v>
      </c>
      <c r="M34" s="301"/>
      <c r="N34" s="301"/>
      <c r="O34" s="18">
        <f>'Monthly Data'!U121</f>
        <v>17</v>
      </c>
      <c r="P34" s="231">
        <f t="shared" si="16"/>
        <v>1</v>
      </c>
      <c r="Q34" s="301"/>
      <c r="R34" s="301"/>
      <c r="S34" s="18">
        <f>'Monthly Data'!Z121</f>
        <v>1</v>
      </c>
      <c r="T34" s="231">
        <f t="shared" si="17"/>
        <v>1</v>
      </c>
      <c r="U34" s="301"/>
      <c r="V34" s="301"/>
      <c r="W34" s="18">
        <f>'Monthly Data'!AC121</f>
        <v>14448</v>
      </c>
      <c r="X34" s="270">
        <f t="shared" si="22"/>
        <v>1</v>
      </c>
      <c r="Y34" s="301"/>
      <c r="Z34" s="301"/>
      <c r="AA34" s="18">
        <f>'Monthly Data'!AF121</f>
        <v>19</v>
      </c>
      <c r="AB34" s="270">
        <f t="shared" si="18"/>
        <v>1</v>
      </c>
      <c r="AC34" s="301"/>
      <c r="AD34" s="301"/>
      <c r="AE34" s="18">
        <f>'Monthly Data'!AH121</f>
        <v>262</v>
      </c>
      <c r="AF34" s="270">
        <f t="shared" si="23"/>
        <v>1.0038314176245211</v>
      </c>
    </row>
    <row r="35" spans="1:32" x14ac:dyDescent="0.25">
      <c r="A35" s="1">
        <v>2025</v>
      </c>
      <c r="B35" s="1" t="s">
        <v>65</v>
      </c>
      <c r="C35" s="271">
        <f>'Monthly Data'!G122</f>
        <v>58088</v>
      </c>
      <c r="D35" s="231">
        <f t="shared" ref="D35:D40" si="24">C35/C34</f>
        <v>1.0007235640698757</v>
      </c>
      <c r="E35" s="515"/>
      <c r="F35" s="301"/>
      <c r="G35" s="271">
        <f>'Monthly Data'!K122</f>
        <v>4301</v>
      </c>
      <c r="H35" s="231">
        <f t="shared" ref="H35:H40" si="25">G35/G34</f>
        <v>1.0009308820107052</v>
      </c>
      <c r="I35" s="301"/>
      <c r="J35" s="301"/>
      <c r="K35" s="271">
        <f>'Monthly Data'!P122</f>
        <v>519</v>
      </c>
      <c r="L35" s="231">
        <f t="shared" ref="L35:L40" si="26">K35/K34</f>
        <v>1</v>
      </c>
      <c r="M35" s="301"/>
      <c r="N35" s="301"/>
      <c r="O35" s="18">
        <f>'Monthly Data'!U122</f>
        <v>17</v>
      </c>
      <c r="P35" s="231">
        <f t="shared" ref="P35:P40" si="27">O35/O34</f>
        <v>1</v>
      </c>
      <c r="Q35" s="301"/>
      <c r="R35" s="301"/>
      <c r="S35" s="18">
        <f>'Monthly Data'!Z122</f>
        <v>1</v>
      </c>
      <c r="T35" s="231">
        <f t="shared" ref="T35:T40" si="28">S35/S34</f>
        <v>1</v>
      </c>
      <c r="U35" s="301"/>
      <c r="V35" s="301"/>
      <c r="W35" s="18">
        <f>'Monthly Data'!AC122</f>
        <v>14448</v>
      </c>
      <c r="X35" s="270">
        <f t="shared" ref="X35:X40" si="29">W35/W34</f>
        <v>1</v>
      </c>
      <c r="Y35" s="301"/>
      <c r="Z35" s="301"/>
      <c r="AA35" s="18">
        <f>'Monthly Data'!AF122</f>
        <v>19</v>
      </c>
      <c r="AB35" s="270">
        <f t="shared" ref="AB35:AB40" si="30">AA35/AA34</f>
        <v>1</v>
      </c>
      <c r="AC35" s="301"/>
      <c r="AD35" s="301"/>
      <c r="AE35" s="18">
        <f>'Monthly Data'!AH122</f>
        <v>262</v>
      </c>
      <c r="AF35" s="303">
        <f>AE35/AE34</f>
        <v>1</v>
      </c>
    </row>
    <row r="36" spans="1:32" x14ac:dyDescent="0.25">
      <c r="B36" s="1" t="s">
        <v>66</v>
      </c>
      <c r="C36" s="271">
        <f>'Monthly Data'!G123</f>
        <v>58095</v>
      </c>
      <c r="D36" s="231">
        <f t="shared" si="24"/>
        <v>1.0001205068172427</v>
      </c>
      <c r="E36" s="515"/>
      <c r="F36" s="301"/>
      <c r="G36" s="271">
        <f>'Monthly Data'!K123</f>
        <v>4306</v>
      </c>
      <c r="H36" s="231">
        <f t="shared" si="25"/>
        <v>1.0011625203441061</v>
      </c>
      <c r="I36" s="301"/>
      <c r="J36" s="301"/>
      <c r="K36" s="271">
        <f>'Monthly Data'!P123</f>
        <v>523</v>
      </c>
      <c r="L36" s="231">
        <f t="shared" si="26"/>
        <v>1.0077071290944124</v>
      </c>
      <c r="M36" s="301"/>
      <c r="N36" s="301"/>
      <c r="O36" s="18">
        <f>'Monthly Data'!U123</f>
        <v>17</v>
      </c>
      <c r="P36" s="231">
        <f t="shared" si="27"/>
        <v>1</v>
      </c>
      <c r="Q36" s="301"/>
      <c r="R36" s="301"/>
      <c r="S36" s="18">
        <f>'Monthly Data'!Z123</f>
        <v>1</v>
      </c>
      <c r="T36" s="231">
        <f t="shared" si="28"/>
        <v>1</v>
      </c>
      <c r="U36" s="301"/>
      <c r="V36" s="301"/>
      <c r="W36" s="18">
        <f>'Monthly Data'!AC123</f>
        <v>14448</v>
      </c>
      <c r="X36" s="270">
        <f t="shared" si="29"/>
        <v>1</v>
      </c>
      <c r="Y36" s="301"/>
      <c r="Z36" s="301"/>
      <c r="AA36" s="18">
        <f>'Monthly Data'!AF123</f>
        <v>19</v>
      </c>
      <c r="AB36" s="270">
        <f t="shared" si="30"/>
        <v>1</v>
      </c>
      <c r="AC36" s="301"/>
      <c r="AD36" s="301"/>
      <c r="AE36" s="18">
        <f>'Monthly Data'!AH123</f>
        <v>263</v>
      </c>
      <c r="AF36" s="303">
        <f t="shared" ref="AF36:AF53" si="31">AE36/AE35</f>
        <v>1.0038167938931297</v>
      </c>
    </row>
    <row r="37" spans="1:32" x14ac:dyDescent="0.25">
      <c r="B37" s="1" t="s">
        <v>67</v>
      </c>
      <c r="C37" s="271">
        <f>'Monthly Data'!G124</f>
        <v>58260</v>
      </c>
      <c r="D37" s="231">
        <f t="shared" si="24"/>
        <v>1.00284017557449</v>
      </c>
      <c r="E37" s="515"/>
      <c r="F37" s="301"/>
      <c r="G37" s="271">
        <f>'Monthly Data'!K124</f>
        <v>4319</v>
      </c>
      <c r="H37" s="231">
        <f t="shared" si="25"/>
        <v>1.003019043195541</v>
      </c>
      <c r="I37" s="301"/>
      <c r="J37" s="301"/>
      <c r="K37" s="271">
        <f>'Monthly Data'!P124</f>
        <v>520</v>
      </c>
      <c r="L37" s="231">
        <f t="shared" si="26"/>
        <v>0.99426386233269604</v>
      </c>
      <c r="M37" s="301"/>
      <c r="N37" s="301"/>
      <c r="O37" s="18">
        <f>'Monthly Data'!U124</f>
        <v>17</v>
      </c>
      <c r="P37" s="231">
        <f t="shared" si="27"/>
        <v>1</v>
      </c>
      <c r="Q37" s="301"/>
      <c r="R37" s="301"/>
      <c r="S37" s="18">
        <f>'Monthly Data'!Z124</f>
        <v>1</v>
      </c>
      <c r="T37" s="231">
        <f t="shared" si="28"/>
        <v>1</v>
      </c>
      <c r="U37" s="301"/>
      <c r="V37" s="301"/>
      <c r="W37" s="18">
        <f>'Monthly Data'!AC124</f>
        <v>14448</v>
      </c>
      <c r="X37" s="270">
        <f t="shared" si="29"/>
        <v>1</v>
      </c>
      <c r="Y37" s="301"/>
      <c r="Z37" s="301"/>
      <c r="AA37" s="18">
        <f>'Monthly Data'!AF124</f>
        <v>19</v>
      </c>
      <c r="AB37" s="270">
        <f t="shared" si="30"/>
        <v>1</v>
      </c>
      <c r="AC37" s="301"/>
      <c r="AD37" s="301"/>
      <c r="AE37" s="18">
        <f>'Monthly Data'!AH124</f>
        <v>263</v>
      </c>
      <c r="AF37" s="303">
        <f t="shared" si="31"/>
        <v>1</v>
      </c>
    </row>
    <row r="38" spans="1:32" x14ac:dyDescent="0.25">
      <c r="B38" s="1" t="s">
        <v>68</v>
      </c>
      <c r="C38" s="271">
        <f>'Monthly Data'!G125</f>
        <v>58313</v>
      </c>
      <c r="D38" s="231">
        <f t="shared" si="24"/>
        <v>1.0009097150703743</v>
      </c>
      <c r="E38" s="515"/>
      <c r="F38" s="301"/>
      <c r="G38" s="271">
        <f>'Monthly Data'!K125</f>
        <v>4321</v>
      </c>
      <c r="H38" s="231">
        <f t="shared" si="25"/>
        <v>1.0004630701551285</v>
      </c>
      <c r="I38" s="301"/>
      <c r="J38" s="301"/>
      <c r="K38" s="271">
        <f>'Monthly Data'!P125</f>
        <v>521</v>
      </c>
      <c r="L38" s="231">
        <f t="shared" si="26"/>
        <v>1.0019230769230769</v>
      </c>
      <c r="M38" s="301"/>
      <c r="N38" s="301"/>
      <c r="O38" s="18">
        <f>'Monthly Data'!U125</f>
        <v>17</v>
      </c>
      <c r="P38" s="231">
        <f t="shared" si="27"/>
        <v>1</v>
      </c>
      <c r="Q38" s="301"/>
      <c r="R38" s="301"/>
      <c r="S38" s="18">
        <f>'Monthly Data'!Z125</f>
        <v>1</v>
      </c>
      <c r="T38" s="231">
        <f t="shared" si="28"/>
        <v>1</v>
      </c>
      <c r="U38" s="301"/>
      <c r="V38" s="301"/>
      <c r="W38" s="18">
        <f>'Monthly Data'!AC125</f>
        <v>14448</v>
      </c>
      <c r="X38" s="270">
        <f t="shared" si="29"/>
        <v>1</v>
      </c>
      <c r="Y38" s="301"/>
      <c r="Z38" s="301"/>
      <c r="AA38" s="18">
        <f>'Monthly Data'!AF125</f>
        <v>19</v>
      </c>
      <c r="AB38" s="270">
        <f t="shared" si="30"/>
        <v>1</v>
      </c>
      <c r="AC38" s="301"/>
      <c r="AD38" s="301"/>
      <c r="AE38" s="18">
        <f>'Monthly Data'!AH125</f>
        <v>263</v>
      </c>
      <c r="AF38" s="303">
        <f t="shared" si="31"/>
        <v>1</v>
      </c>
    </row>
    <row r="39" spans="1:32" x14ac:dyDescent="0.25">
      <c r="B39" s="1" t="s">
        <v>69</v>
      </c>
      <c r="C39" s="271">
        <f>'Monthly Data'!G126</f>
        <v>58314</v>
      </c>
      <c r="D39" s="231">
        <f t="shared" si="24"/>
        <v>1.0000171488347367</v>
      </c>
      <c r="E39" s="515"/>
      <c r="F39" s="301"/>
      <c r="G39" s="271">
        <f>'Monthly Data'!K126</f>
        <v>4311</v>
      </c>
      <c r="H39" s="231">
        <f t="shared" si="25"/>
        <v>0.99768572089794028</v>
      </c>
      <c r="I39" s="301"/>
      <c r="J39" s="301"/>
      <c r="K39" s="271">
        <f>'Monthly Data'!P126</f>
        <v>514</v>
      </c>
      <c r="L39" s="231">
        <f t="shared" si="26"/>
        <v>0.98656429942418422</v>
      </c>
      <c r="M39" s="301"/>
      <c r="N39" s="301"/>
      <c r="O39" s="18">
        <f>'Monthly Data'!U126</f>
        <v>17</v>
      </c>
      <c r="P39" s="231">
        <f t="shared" si="27"/>
        <v>1</v>
      </c>
      <c r="Q39" s="301"/>
      <c r="R39" s="301"/>
      <c r="S39" s="18">
        <f>'Monthly Data'!Z126</f>
        <v>1</v>
      </c>
      <c r="T39" s="231">
        <f t="shared" si="28"/>
        <v>1</v>
      </c>
      <c r="U39" s="301"/>
      <c r="V39" s="301"/>
      <c r="W39" s="18">
        <f>'Monthly Data'!AC126</f>
        <v>14526</v>
      </c>
      <c r="X39" s="270">
        <f t="shared" si="29"/>
        <v>1.0053986710963456</v>
      </c>
      <c r="Y39" s="301"/>
      <c r="Z39" s="301"/>
      <c r="AA39" s="18">
        <f>'Monthly Data'!AF126</f>
        <v>19</v>
      </c>
      <c r="AB39" s="270">
        <f t="shared" si="30"/>
        <v>1</v>
      </c>
      <c r="AC39" s="301"/>
      <c r="AD39" s="301"/>
      <c r="AE39" s="18">
        <f>'Monthly Data'!AH126</f>
        <v>264</v>
      </c>
      <c r="AF39" s="303">
        <f t="shared" si="31"/>
        <v>1.0038022813688212</v>
      </c>
    </row>
    <row r="40" spans="1:32" x14ac:dyDescent="0.25">
      <c r="B40" s="1" t="s">
        <v>70</v>
      </c>
      <c r="C40" s="271">
        <f>'Monthly Data'!G127</f>
        <v>58315</v>
      </c>
      <c r="D40" s="231">
        <f t="shared" si="24"/>
        <v>1.0000171485406593</v>
      </c>
      <c r="E40" s="515"/>
      <c r="F40" s="301"/>
      <c r="G40" s="271">
        <f>'Monthly Data'!K127</f>
        <v>4323</v>
      </c>
      <c r="H40" s="231">
        <f t="shared" si="25"/>
        <v>1.0027835768963118</v>
      </c>
      <c r="I40" s="301"/>
      <c r="J40" s="301"/>
      <c r="K40" s="271">
        <f>'Monthly Data'!P127</f>
        <v>511</v>
      </c>
      <c r="L40" s="231">
        <f t="shared" si="26"/>
        <v>0.99416342412451364</v>
      </c>
      <c r="M40" s="301"/>
      <c r="N40" s="301"/>
      <c r="O40" s="18">
        <f>'Monthly Data'!U127</f>
        <v>17</v>
      </c>
      <c r="P40" s="231">
        <f t="shared" si="27"/>
        <v>1</v>
      </c>
      <c r="Q40" s="301"/>
      <c r="R40" s="301"/>
      <c r="S40" s="18">
        <f>'Monthly Data'!Z127</f>
        <v>1</v>
      </c>
      <c r="T40" s="231">
        <f t="shared" si="28"/>
        <v>1</v>
      </c>
      <c r="U40" s="301"/>
      <c r="V40" s="301"/>
      <c r="W40" s="18">
        <f>'Monthly Data'!AC127</f>
        <v>14526</v>
      </c>
      <c r="X40" s="270">
        <f t="shared" si="29"/>
        <v>1</v>
      </c>
      <c r="Y40" s="301"/>
      <c r="Z40" s="301"/>
      <c r="AA40" s="18">
        <f>'Monthly Data'!AF127</f>
        <v>19</v>
      </c>
      <c r="AB40" s="270">
        <f t="shared" si="30"/>
        <v>1</v>
      </c>
      <c r="AC40" s="301"/>
      <c r="AD40" s="301"/>
      <c r="AE40" s="18">
        <f>'Monthly Data'!AH127</f>
        <v>264</v>
      </c>
      <c r="AF40" s="303">
        <f t="shared" si="31"/>
        <v>1</v>
      </c>
    </row>
    <row r="41" spans="1:32" x14ac:dyDescent="0.25">
      <c r="B41" s="1" t="s">
        <v>71</v>
      </c>
      <c r="C41" s="302">
        <f>C40*D$14^(1/12)</f>
        <v>58380.340604146229</v>
      </c>
      <c r="D41" s="303">
        <f>C41/C40</f>
        <v>1.0011204767923558</v>
      </c>
      <c r="E41" s="515"/>
      <c r="F41" s="301"/>
      <c r="G41" s="302">
        <f t="shared" ref="G37:G46" si="32">G40*H$14^(1/12)</f>
        <v>4326.8642753965878</v>
      </c>
      <c r="H41" s="303">
        <f t="shared" ref="H37:H53" si="33">G41/G40</f>
        <v>1.0008938874384889</v>
      </c>
      <c r="I41" s="301"/>
      <c r="J41" s="301"/>
      <c r="K41" s="302">
        <f t="shared" ref="K37:K46" si="34">K40*L$14^(1/12)</f>
        <v>511.06841643701546</v>
      </c>
      <c r="L41" s="303">
        <f t="shared" ref="L36:L53" si="35">K41/K40</f>
        <v>1.0001338873522807</v>
      </c>
      <c r="M41" s="301"/>
      <c r="N41" s="301"/>
      <c r="O41" s="302">
        <f t="shared" ref="O37:O46" si="36">O40*P$14^(1/12)</f>
        <v>17.048469334714422</v>
      </c>
      <c r="P41" s="303">
        <f t="shared" ref="P36:P58" si="37">O41/O40</f>
        <v>1.0028511373361424</v>
      </c>
      <c r="Q41" s="301"/>
      <c r="R41" s="301"/>
      <c r="S41" s="302">
        <f t="shared" ref="S37:S46" si="38">S40*T$14^(1/12)</f>
        <v>1</v>
      </c>
      <c r="T41" s="303">
        <f t="shared" ref="T36:T58" si="39">S41/S40</f>
        <v>1</v>
      </c>
      <c r="U41" s="301"/>
      <c r="V41" s="301"/>
      <c r="W41" s="302">
        <f t="shared" ref="W36:W53" si="40">W40*X$14^(1/12)</f>
        <v>14542.489671956837</v>
      </c>
      <c r="X41" s="303">
        <f t="shared" ref="X36:X53" si="41">W41/W40</f>
        <v>1.0011351832546356</v>
      </c>
      <c r="Y41" s="301"/>
      <c r="Z41" s="301"/>
      <c r="AA41" s="302">
        <f t="shared" ref="AA36:AA58" si="42">AA40*AB$14^(1/12)</f>
        <v>19</v>
      </c>
      <c r="AB41" s="303">
        <f t="shared" ref="AB36:AB58" si="43">AA41/AA40</f>
        <v>1</v>
      </c>
      <c r="AC41" s="301"/>
      <c r="AD41" s="301"/>
      <c r="AE41" s="302">
        <f t="shared" ref="AE36:AE53" si="44">AE40*AF$14^(1/12)</f>
        <v>264.14416526061962</v>
      </c>
      <c r="AF41" s="303">
        <f t="shared" si="31"/>
        <v>1.00054608053265</v>
      </c>
    </row>
    <row r="42" spans="1:32" x14ac:dyDescent="0.25">
      <c r="B42" s="1" t="s">
        <v>72</v>
      </c>
      <c r="C42" s="302">
        <f t="shared" ref="C37:C46" si="45">C41*D$14^(1/12)</f>
        <v>58445.754420923004</v>
      </c>
      <c r="D42" s="303">
        <f t="shared" ref="D37:D53" si="46">C42/C41</f>
        <v>1.0011204767923558</v>
      </c>
      <c r="E42" s="515"/>
      <c r="F42" s="301"/>
      <c r="G42" s="302">
        <f t="shared" si="32"/>
        <v>4330.7320050204116</v>
      </c>
      <c r="H42" s="303">
        <f t="shared" si="33"/>
        <v>1.0008938874384889</v>
      </c>
      <c r="I42" s="301"/>
      <c r="J42" s="301"/>
      <c r="K42" s="302">
        <f t="shared" si="34"/>
        <v>511.13684203412652</v>
      </c>
      <c r="L42" s="303">
        <f t="shared" si="35"/>
        <v>1.0001338873522807</v>
      </c>
      <c r="M42" s="301"/>
      <c r="N42" s="301"/>
      <c r="O42" s="302">
        <f t="shared" si="36"/>
        <v>17.097076862158705</v>
      </c>
      <c r="P42" s="303">
        <f t="shared" si="37"/>
        <v>1.0028511373361424</v>
      </c>
      <c r="Q42" s="301"/>
      <c r="R42" s="301"/>
      <c r="S42" s="302">
        <f t="shared" si="38"/>
        <v>1</v>
      </c>
      <c r="T42" s="303">
        <f t="shared" si="39"/>
        <v>1</v>
      </c>
      <c r="U42" s="301"/>
      <c r="V42" s="301"/>
      <c r="W42" s="302">
        <f t="shared" si="40"/>
        <v>14558.998062713154</v>
      </c>
      <c r="X42" s="303">
        <f t="shared" si="41"/>
        <v>1.0011351832546356</v>
      </c>
      <c r="Y42" s="301"/>
      <c r="Z42" s="301"/>
      <c r="AA42" s="302">
        <f t="shared" si="42"/>
        <v>19</v>
      </c>
      <c r="AB42" s="303">
        <f t="shared" si="43"/>
        <v>1</v>
      </c>
      <c r="AC42" s="301"/>
      <c r="AD42" s="301"/>
      <c r="AE42" s="302">
        <f t="shared" si="44"/>
        <v>264.28840924708152</v>
      </c>
      <c r="AF42" s="303">
        <f t="shared" si="31"/>
        <v>1.00054608053265</v>
      </c>
    </row>
    <row r="43" spans="1:32" x14ac:dyDescent="0.25">
      <c r="B43" s="1" t="s">
        <v>438</v>
      </c>
      <c r="C43" s="302">
        <f t="shared" si="45"/>
        <v>58511.241532363376</v>
      </c>
      <c r="D43" s="303">
        <f t="shared" si="46"/>
        <v>1.0011204767923558</v>
      </c>
      <c r="E43" s="515"/>
      <c r="F43" s="301"/>
      <c r="G43" s="302">
        <f t="shared" si="32"/>
        <v>4334.6031919591614</v>
      </c>
      <c r="H43" s="303">
        <f t="shared" si="33"/>
        <v>1.0008938874384889</v>
      </c>
      <c r="I43" s="301"/>
      <c r="J43" s="301"/>
      <c r="K43" s="302">
        <f t="shared" si="34"/>
        <v>511.20527679255957</v>
      </c>
      <c r="L43" s="303">
        <f t="shared" si="35"/>
        <v>1.0001338873522807</v>
      </c>
      <c r="M43" s="301"/>
      <c r="N43" s="301"/>
      <c r="O43" s="302">
        <f t="shared" si="36"/>
        <v>17.145822976339304</v>
      </c>
      <c r="P43" s="303">
        <f t="shared" si="37"/>
        <v>1.0028511373361424</v>
      </c>
      <c r="Q43" s="301"/>
      <c r="R43" s="301"/>
      <c r="S43" s="302">
        <f t="shared" si="38"/>
        <v>1</v>
      </c>
      <c r="T43" s="303">
        <f t="shared" si="39"/>
        <v>1</v>
      </c>
      <c r="U43" s="301"/>
      <c r="V43" s="301"/>
      <c r="W43" s="302">
        <f t="shared" si="40"/>
        <v>14575.525193518217</v>
      </c>
      <c r="X43" s="303">
        <f t="shared" si="41"/>
        <v>1.0011351832546356</v>
      </c>
      <c r="Y43" s="301"/>
      <c r="Z43" s="301"/>
      <c r="AA43" s="302">
        <f t="shared" si="42"/>
        <v>19</v>
      </c>
      <c r="AB43" s="303">
        <f t="shared" si="43"/>
        <v>1</v>
      </c>
      <c r="AC43" s="301"/>
      <c r="AD43" s="301"/>
      <c r="AE43" s="302">
        <f t="shared" si="44"/>
        <v>264.43273200237638</v>
      </c>
      <c r="AF43" s="303">
        <f t="shared" si="31"/>
        <v>1.00054608053265</v>
      </c>
    </row>
    <row r="44" spans="1:32" x14ac:dyDescent="0.25">
      <c r="B44" s="1" t="s">
        <v>74</v>
      </c>
      <c r="C44" s="302">
        <f t="shared" si="45"/>
        <v>58576.802020592317</v>
      </c>
      <c r="D44" s="303">
        <f t="shared" si="46"/>
        <v>1.0011204767923558</v>
      </c>
      <c r="E44" s="301"/>
      <c r="F44" s="301"/>
      <c r="G44" s="302">
        <f t="shared" si="32"/>
        <v>4338.4778393032875</v>
      </c>
      <c r="H44" s="303">
        <f t="shared" si="33"/>
        <v>1.0008938874384889</v>
      </c>
      <c r="I44" s="301"/>
      <c r="J44" s="301"/>
      <c r="K44" s="302">
        <f t="shared" si="34"/>
        <v>511.27372071354125</v>
      </c>
      <c r="L44" s="303">
        <f t="shared" si="35"/>
        <v>1.0001338873522807</v>
      </c>
      <c r="M44" s="301"/>
      <c r="N44" s="301"/>
      <c r="O44" s="302">
        <f t="shared" si="36"/>
        <v>17.194708072386032</v>
      </c>
      <c r="P44" s="303">
        <f t="shared" si="37"/>
        <v>1.0028511373361424</v>
      </c>
      <c r="Q44" s="301"/>
      <c r="R44" s="301"/>
      <c r="S44" s="302">
        <f t="shared" si="38"/>
        <v>1</v>
      </c>
      <c r="T44" s="303">
        <f t="shared" si="39"/>
        <v>1</v>
      </c>
      <c r="U44" s="301"/>
      <c r="V44" s="301"/>
      <c r="W44" s="302">
        <f t="shared" si="40"/>
        <v>14592.071085645417</v>
      </c>
      <c r="X44" s="303">
        <f t="shared" si="41"/>
        <v>1.0011351832546356</v>
      </c>
      <c r="Y44" s="301"/>
      <c r="Z44" s="301"/>
      <c r="AA44" s="302">
        <f t="shared" si="42"/>
        <v>19</v>
      </c>
      <c r="AB44" s="303">
        <f t="shared" si="43"/>
        <v>1</v>
      </c>
      <c r="AC44" s="301"/>
      <c r="AD44" s="301"/>
      <c r="AE44" s="302">
        <f t="shared" si="44"/>
        <v>264.57713356951837</v>
      </c>
      <c r="AF44" s="303">
        <f t="shared" si="31"/>
        <v>1.00054608053265</v>
      </c>
    </row>
    <row r="45" spans="1:32" x14ac:dyDescent="0.25">
      <c r="B45" s="1" t="s">
        <v>75</v>
      </c>
      <c r="C45" s="302">
        <f t="shared" si="45"/>
        <v>58642.435967826816</v>
      </c>
      <c r="D45" s="303">
        <f t="shared" si="46"/>
        <v>1.0011204767923558</v>
      </c>
      <c r="E45" s="301"/>
      <c r="F45" s="301"/>
      <c r="G45" s="302">
        <f t="shared" si="32"/>
        <v>4342.3559501460031</v>
      </c>
      <c r="H45" s="303">
        <f t="shared" si="33"/>
        <v>1.0008938874384889</v>
      </c>
      <c r="I45" s="301"/>
      <c r="J45" s="301"/>
      <c r="K45" s="302">
        <f t="shared" si="34"/>
        <v>511.34217379829829</v>
      </c>
      <c r="L45" s="303">
        <f t="shared" si="35"/>
        <v>1.0001338873522807</v>
      </c>
      <c r="M45" s="301"/>
      <c r="N45" s="301"/>
      <c r="O45" s="302">
        <f t="shared" si="36"/>
        <v>17.243732546555279</v>
      </c>
      <c r="P45" s="303">
        <f t="shared" si="37"/>
        <v>1.0028511373361424</v>
      </c>
      <c r="Q45" s="301"/>
      <c r="R45" s="301"/>
      <c r="S45" s="302">
        <f t="shared" si="38"/>
        <v>1</v>
      </c>
      <c r="T45" s="303">
        <f t="shared" si="39"/>
        <v>1</v>
      </c>
      <c r="U45" s="301"/>
      <c r="V45" s="301"/>
      <c r="W45" s="302">
        <f t="shared" si="40"/>
        <v>14608.635760392293</v>
      </c>
      <c r="X45" s="303">
        <f t="shared" si="41"/>
        <v>1.0011351832546356</v>
      </c>
      <c r="Y45" s="301"/>
      <c r="Z45" s="301"/>
      <c r="AA45" s="302">
        <f t="shared" si="42"/>
        <v>19</v>
      </c>
      <c r="AB45" s="303">
        <f t="shared" si="43"/>
        <v>1</v>
      </c>
      <c r="AC45" s="301"/>
      <c r="AD45" s="301"/>
      <c r="AE45" s="302">
        <f t="shared" si="44"/>
        <v>264.72161399154504</v>
      </c>
      <c r="AF45" s="303">
        <f t="shared" si="31"/>
        <v>1.00054608053265</v>
      </c>
    </row>
    <row r="46" spans="1:32" x14ac:dyDescent="0.25">
      <c r="B46" s="1" t="s">
        <v>76</v>
      </c>
      <c r="C46" s="302">
        <f t="shared" si="45"/>
        <v>58708.143456375976</v>
      </c>
      <c r="D46" s="303">
        <f t="shared" si="46"/>
        <v>1.0011204767923558</v>
      </c>
      <c r="E46" s="301"/>
      <c r="F46" s="301"/>
      <c r="G46" s="302">
        <f t="shared" si="32"/>
        <v>4346.2375275832865</v>
      </c>
      <c r="H46" s="303">
        <f t="shared" si="33"/>
        <v>1.0008938874384889</v>
      </c>
      <c r="I46" s="301"/>
      <c r="J46" s="301"/>
      <c r="K46" s="302">
        <f t="shared" si="34"/>
        <v>511.4106360480576</v>
      </c>
      <c r="L46" s="303">
        <f t="shared" si="35"/>
        <v>1.0001338873522807</v>
      </c>
      <c r="M46" s="301"/>
      <c r="N46" s="301"/>
      <c r="O46" s="302">
        <f t="shared" si="36"/>
        <v>17.292896796233215</v>
      </c>
      <c r="P46" s="303">
        <f t="shared" si="37"/>
        <v>1.0028511373361424</v>
      </c>
      <c r="Q46" s="301"/>
      <c r="R46" s="301"/>
      <c r="S46" s="302">
        <f t="shared" si="38"/>
        <v>1</v>
      </c>
      <c r="T46" s="303">
        <f t="shared" si="39"/>
        <v>1</v>
      </c>
      <c r="U46" s="301"/>
      <c r="V46" s="301"/>
      <c r="W46" s="302">
        <f t="shared" si="40"/>
        <v>14625.219239080561</v>
      </c>
      <c r="X46" s="303">
        <f t="shared" si="41"/>
        <v>1.0011351832546356</v>
      </c>
      <c r="Y46" s="301"/>
      <c r="Z46" s="301"/>
      <c r="AA46" s="302">
        <f t="shared" si="42"/>
        <v>19</v>
      </c>
      <c r="AB46" s="303">
        <f t="shared" si="43"/>
        <v>1</v>
      </c>
      <c r="AC46" s="301"/>
      <c r="AD46" s="301"/>
      <c r="AE46" s="302">
        <f t="shared" si="44"/>
        <v>264.86617331151751</v>
      </c>
      <c r="AF46" s="303">
        <f t="shared" si="31"/>
        <v>1.00054608053265</v>
      </c>
    </row>
    <row r="47" spans="1:32" x14ac:dyDescent="0.25">
      <c r="A47" s="1">
        <v>2026</v>
      </c>
      <c r="B47" s="1" t="s">
        <v>65</v>
      </c>
      <c r="C47" s="302">
        <f>C15/D15^(5.50667869158026/12)</f>
        <v>58813.590911216306</v>
      </c>
      <c r="D47" s="303">
        <f>C47/C46</f>
        <v>1.0017961299511828</v>
      </c>
      <c r="E47" s="301"/>
      <c r="F47" s="301"/>
      <c r="G47" s="302">
        <f>G15/H15^(5.50667869158026/12)</f>
        <v>4350.188004510861</v>
      </c>
      <c r="H47" s="303">
        <f t="shared" si="33"/>
        <v>1.000908941792183</v>
      </c>
      <c r="I47" s="301"/>
      <c r="J47" s="301"/>
      <c r="K47" s="302">
        <f>K15/L15^(5.50667869158026/12)</f>
        <v>515.06731687357035</v>
      </c>
      <c r="L47" s="303">
        <f t="shared" si="35"/>
        <v>1.0071501853261595</v>
      </c>
      <c r="M47" s="301"/>
      <c r="N47" s="301"/>
      <c r="O47" s="302">
        <f>O15/P15^(5.50667869158026/12)</f>
        <v>17.404017944001858</v>
      </c>
      <c r="P47" s="303">
        <f t="shared" si="37"/>
        <v>1.0064258261110335</v>
      </c>
      <c r="Q47" s="301"/>
      <c r="R47" s="301"/>
      <c r="S47" s="302">
        <f>S15/T15^(5.50667869158026/12)</f>
        <v>1</v>
      </c>
      <c r="T47" s="303">
        <f t="shared" si="39"/>
        <v>1</v>
      </c>
      <c r="U47" s="301"/>
      <c r="V47" s="301"/>
      <c r="W47" s="302">
        <f>W15/X15^(5.50667869158026/12)</f>
        <v>14636.340268411299</v>
      </c>
      <c r="X47" s="303">
        <f t="shared" si="41"/>
        <v>1.0007604008629847</v>
      </c>
      <c r="Y47" s="301"/>
      <c r="Z47" s="301"/>
      <c r="AA47" s="302">
        <f>AA15/AB15^(5.50667869158026/12)</f>
        <v>19</v>
      </c>
      <c r="AB47" s="303">
        <f t="shared" si="43"/>
        <v>1</v>
      </c>
      <c r="AC47" s="301"/>
      <c r="AD47" s="301"/>
      <c r="AE47" s="302">
        <f>AE15/AF15^(5.50667869158026/12)</f>
        <v>264.77278593978252</v>
      </c>
      <c r="AF47" s="303">
        <f t="shared" si="31"/>
        <v>0.99964741676686231</v>
      </c>
    </row>
    <row r="48" spans="1:32" x14ac:dyDescent="0.25">
      <c r="B48" s="1" t="s">
        <v>66</v>
      </c>
      <c r="C48" s="302">
        <f>C47*D$15^(1/12)</f>
        <v>58879.490174907434</v>
      </c>
      <c r="D48" s="303">
        <f t="shared" si="46"/>
        <v>1.0011204767923558</v>
      </c>
      <c r="E48" s="301"/>
      <c r="F48" s="301"/>
      <c r="G48" s="302">
        <f t="shared" ref="G48:G58" si="47">G47*H$15^(1/12)</f>
        <v>4354.0765829231586</v>
      </c>
      <c r="H48" s="303">
        <f t="shared" si="33"/>
        <v>1.0008938874384889</v>
      </c>
      <c r="I48" s="301"/>
      <c r="J48" s="301"/>
      <c r="K48" s="302">
        <f t="shared" ref="K48:K58" si="48">K47*L$15^(1/12)</f>
        <v>515.13627787287282</v>
      </c>
      <c r="L48" s="303">
        <f t="shared" si="35"/>
        <v>1.0001338873522807</v>
      </c>
      <c r="M48" s="301"/>
      <c r="N48" s="301"/>
      <c r="O48" s="302">
        <f t="shared" ref="O48:O58" si="49">O47*P$15^(1/12)</f>
        <v>17.453639189360892</v>
      </c>
      <c r="P48" s="303">
        <f t="shared" si="37"/>
        <v>1.0028511373361424</v>
      </c>
      <c r="Q48" s="301"/>
      <c r="R48" s="301"/>
      <c r="S48" s="302">
        <f t="shared" ref="S48:S58" si="50">S47*T$15^(1/12)</f>
        <v>1</v>
      </c>
      <c r="T48" s="303">
        <f t="shared" si="39"/>
        <v>1</v>
      </c>
      <c r="U48" s="301"/>
      <c r="V48" s="301"/>
      <c r="W48" s="302">
        <f t="shared" si="40"/>
        <v>14652.955196793147</v>
      </c>
      <c r="X48" s="303">
        <f t="shared" si="41"/>
        <v>1.0011351832546356</v>
      </c>
      <c r="Y48" s="301"/>
      <c r="Z48" s="301"/>
      <c r="AA48" s="302">
        <f t="shared" si="42"/>
        <v>19</v>
      </c>
      <c r="AB48" s="303">
        <f t="shared" si="43"/>
        <v>1</v>
      </c>
      <c r="AC48" s="301"/>
      <c r="AD48" s="301"/>
      <c r="AE48" s="302">
        <f t="shared" si="44"/>
        <v>264.91737320375978</v>
      </c>
      <c r="AF48" s="303">
        <f t="shared" si="31"/>
        <v>1.00054608053265</v>
      </c>
    </row>
    <row r="49" spans="2:32" x14ac:dyDescent="0.25">
      <c r="B49" s="1" t="s">
        <v>67</v>
      </c>
      <c r="C49" s="302">
        <f t="shared" ref="C48:C58" si="51">C48*D$15^(1/12)</f>
        <v>58945.463277194161</v>
      </c>
      <c r="D49" s="303">
        <f t="shared" si="46"/>
        <v>1.0011204767923558</v>
      </c>
      <c r="E49" s="301"/>
      <c r="F49" s="301"/>
      <c r="G49" s="302">
        <f t="shared" si="47"/>
        <v>4357.9686372868528</v>
      </c>
      <c r="H49" s="303">
        <f t="shared" si="33"/>
        <v>1.0008938874384889</v>
      </c>
      <c r="I49" s="301"/>
      <c r="J49" s="301"/>
      <c r="K49" s="302">
        <f t="shared" si="48"/>
        <v>515.205248105181</v>
      </c>
      <c r="L49" s="303">
        <f t="shared" si="35"/>
        <v>1.0001338873522807</v>
      </c>
      <c r="M49" s="301"/>
      <c r="N49" s="301"/>
      <c r="O49" s="302">
        <f t="shared" si="49"/>
        <v>17.503401911705236</v>
      </c>
      <c r="P49" s="303">
        <f t="shared" si="37"/>
        <v>1.0028511373361424</v>
      </c>
      <c r="Q49" s="301"/>
      <c r="R49" s="301"/>
      <c r="S49" s="302">
        <f t="shared" si="50"/>
        <v>1</v>
      </c>
      <c r="T49" s="303">
        <f t="shared" si="39"/>
        <v>1</v>
      </c>
      <c r="U49" s="301"/>
      <c r="V49" s="301"/>
      <c r="W49" s="302">
        <f t="shared" si="40"/>
        <v>14669.588986163473</v>
      </c>
      <c r="X49" s="303">
        <f t="shared" si="41"/>
        <v>1.0011351832546356</v>
      </c>
      <c r="Y49" s="301"/>
      <c r="Z49" s="301"/>
      <c r="AA49" s="302">
        <f t="shared" si="42"/>
        <v>19</v>
      </c>
      <c r="AB49" s="303">
        <f t="shared" si="43"/>
        <v>1</v>
      </c>
      <c r="AC49" s="301"/>
      <c r="AD49" s="301"/>
      <c r="AE49" s="302">
        <f t="shared" si="44"/>
        <v>265.06203942402715</v>
      </c>
      <c r="AF49" s="303">
        <f t="shared" si="31"/>
        <v>1.00054608053265</v>
      </c>
    </row>
    <row r="50" spans="2:32" x14ac:dyDescent="0.25">
      <c r="B50" s="1" t="s">
        <v>68</v>
      </c>
      <c r="C50" s="302">
        <f t="shared" si="51"/>
        <v>59011.510300810922</v>
      </c>
      <c r="D50" s="303">
        <f t="shared" si="46"/>
        <v>1.0011204767923558</v>
      </c>
      <c r="E50" s="301"/>
      <c r="F50" s="301"/>
      <c r="G50" s="302">
        <f t="shared" si="47"/>
        <v>4361.8641707090519</v>
      </c>
      <c r="H50" s="303">
        <f t="shared" si="33"/>
        <v>1.0008938874384889</v>
      </c>
      <c r="I50" s="301"/>
      <c r="J50" s="301"/>
      <c r="K50" s="302">
        <f t="shared" si="48"/>
        <v>515.27422757173088</v>
      </c>
      <c r="L50" s="303">
        <f t="shared" si="35"/>
        <v>1.0001338873522807</v>
      </c>
      <c r="M50" s="301"/>
      <c r="N50" s="301"/>
      <c r="O50" s="302">
        <f t="shared" si="49"/>
        <v>17.553306514405204</v>
      </c>
      <c r="P50" s="303">
        <f t="shared" si="37"/>
        <v>1.0028511373361424</v>
      </c>
      <c r="Q50" s="301"/>
      <c r="R50" s="301"/>
      <c r="S50" s="302">
        <f t="shared" si="50"/>
        <v>1</v>
      </c>
      <c r="T50" s="303">
        <f t="shared" si="39"/>
        <v>1</v>
      </c>
      <c r="U50" s="301"/>
      <c r="V50" s="301"/>
      <c r="W50" s="302">
        <f t="shared" si="40"/>
        <v>14686.241657932953</v>
      </c>
      <c r="X50" s="303">
        <f t="shared" si="41"/>
        <v>1.0011351832546356</v>
      </c>
      <c r="Y50" s="301"/>
      <c r="Z50" s="301"/>
      <c r="AA50" s="302">
        <f t="shared" si="42"/>
        <v>19</v>
      </c>
      <c r="AB50" s="303">
        <f t="shared" si="43"/>
        <v>1</v>
      </c>
      <c r="AC50" s="301"/>
      <c r="AD50" s="301"/>
      <c r="AE50" s="302">
        <f t="shared" si="44"/>
        <v>265.2067846437011</v>
      </c>
      <c r="AF50" s="303">
        <f t="shared" si="31"/>
        <v>1.00054608053265</v>
      </c>
    </row>
    <row r="51" spans="2:32" x14ac:dyDescent="0.25">
      <c r="B51" s="1" t="s">
        <v>69</v>
      </c>
      <c r="C51" s="302">
        <f t="shared" si="51"/>
        <v>59077.631328584845</v>
      </c>
      <c r="D51" s="303">
        <f t="shared" si="46"/>
        <v>1.0011204767923558</v>
      </c>
      <c r="E51" s="301"/>
      <c r="F51" s="301"/>
      <c r="G51" s="302">
        <f t="shared" si="47"/>
        <v>4365.7631862996441</v>
      </c>
      <c r="H51" s="303">
        <f t="shared" si="33"/>
        <v>1.0008938874384889</v>
      </c>
      <c r="I51" s="301"/>
      <c r="J51" s="301"/>
      <c r="K51" s="302">
        <f t="shared" si="48"/>
        <v>515.34321627375891</v>
      </c>
      <c r="L51" s="303">
        <f t="shared" si="35"/>
        <v>1.0001338873522807</v>
      </c>
      <c r="M51" s="301"/>
      <c r="N51" s="301"/>
      <c r="O51" s="302">
        <f t="shared" si="49"/>
        <v>17.603353401981177</v>
      </c>
      <c r="P51" s="303">
        <f t="shared" si="37"/>
        <v>1.0028511373361424</v>
      </c>
      <c r="Q51" s="301"/>
      <c r="R51" s="301"/>
      <c r="S51" s="302">
        <f t="shared" si="50"/>
        <v>1</v>
      </c>
      <c r="T51" s="303">
        <f t="shared" si="39"/>
        <v>1</v>
      </c>
      <c r="U51" s="301"/>
      <c r="V51" s="301"/>
      <c r="W51" s="302">
        <f t="shared" si="40"/>
        <v>14702.91323353657</v>
      </c>
      <c r="X51" s="303">
        <f t="shared" si="41"/>
        <v>1.0011351832546356</v>
      </c>
      <c r="Y51" s="301"/>
      <c r="Z51" s="301"/>
      <c r="AA51" s="302">
        <f t="shared" si="42"/>
        <v>19</v>
      </c>
      <c r="AB51" s="303">
        <f t="shared" si="43"/>
        <v>1</v>
      </c>
      <c r="AC51" s="301"/>
      <c r="AD51" s="301"/>
      <c r="AE51" s="302">
        <f t="shared" si="44"/>
        <v>265.35160890592175</v>
      </c>
      <c r="AF51" s="303">
        <f t="shared" si="31"/>
        <v>1.00054608053265</v>
      </c>
    </row>
    <row r="52" spans="2:32" x14ac:dyDescent="0.25">
      <c r="B52" s="1" t="s">
        <v>70</v>
      </c>
      <c r="C52" s="302">
        <f t="shared" si="51"/>
        <v>59143.826443435879</v>
      </c>
      <c r="D52" s="303">
        <f t="shared" si="46"/>
        <v>1.0011204767923558</v>
      </c>
      <c r="E52" s="301"/>
      <c r="F52" s="301"/>
      <c r="G52" s="302">
        <f t="shared" si="47"/>
        <v>4369.6656871712948</v>
      </c>
      <c r="H52" s="303">
        <f t="shared" si="33"/>
        <v>1.0008938874384889</v>
      </c>
      <c r="I52" s="301"/>
      <c r="J52" s="301"/>
      <c r="K52" s="302">
        <f t="shared" si="48"/>
        <v>515.41221421250168</v>
      </c>
      <c r="L52" s="303">
        <f t="shared" si="35"/>
        <v>1.0001338873522807</v>
      </c>
      <c r="M52" s="301"/>
      <c r="N52" s="301"/>
      <c r="O52" s="302">
        <f t="shared" si="49"/>
        <v>17.653542980106874</v>
      </c>
      <c r="P52" s="303">
        <f t="shared" si="37"/>
        <v>1.0028511373361424</v>
      </c>
      <c r="Q52" s="301"/>
      <c r="R52" s="301"/>
      <c r="S52" s="302">
        <f t="shared" si="50"/>
        <v>1</v>
      </c>
      <c r="T52" s="303">
        <f t="shared" si="39"/>
        <v>1</v>
      </c>
      <c r="U52" s="301"/>
      <c r="V52" s="301"/>
      <c r="W52" s="302">
        <f t="shared" si="40"/>
        <v>14719.60373443364</v>
      </c>
      <c r="X52" s="303">
        <f t="shared" si="41"/>
        <v>1.0011351832546356</v>
      </c>
      <c r="Y52" s="301"/>
      <c r="Z52" s="301"/>
      <c r="AA52" s="302">
        <f t="shared" si="42"/>
        <v>19</v>
      </c>
      <c r="AB52" s="303">
        <f t="shared" si="43"/>
        <v>1</v>
      </c>
      <c r="AC52" s="301"/>
      <c r="AD52" s="301"/>
      <c r="AE52" s="302">
        <f t="shared" si="44"/>
        <v>265.49651225385264</v>
      </c>
      <c r="AF52" s="303">
        <f t="shared" si="31"/>
        <v>1.00054608053265</v>
      </c>
    </row>
    <row r="53" spans="2:32" x14ac:dyDescent="0.25">
      <c r="B53" s="1" t="s">
        <v>71</v>
      </c>
      <c r="C53" s="302">
        <f t="shared" si="51"/>
        <v>59210.095728376873</v>
      </c>
      <c r="D53" s="303">
        <f t="shared" si="46"/>
        <v>1.0011204767923558</v>
      </c>
      <c r="E53" s="301"/>
      <c r="F53" s="301"/>
      <c r="G53" s="302">
        <f t="shared" si="47"/>
        <v>4373.5716764394538</v>
      </c>
      <c r="H53" s="303">
        <f t="shared" si="33"/>
        <v>1.0008938874384889</v>
      </c>
      <c r="I53" s="301"/>
      <c r="J53" s="301"/>
      <c r="K53" s="302">
        <f t="shared" si="48"/>
        <v>515.48122138919575</v>
      </c>
      <c r="L53" s="303">
        <f t="shared" si="35"/>
        <v>1.0001338873522807</v>
      </c>
      <c r="M53" s="301"/>
      <c r="N53" s="301"/>
      <c r="O53" s="302">
        <f t="shared" si="49"/>
        <v>17.703875655612652</v>
      </c>
      <c r="P53" s="303">
        <f t="shared" si="37"/>
        <v>1.0028511373361424</v>
      </c>
      <c r="Q53" s="301"/>
      <c r="R53" s="301"/>
      <c r="S53" s="302">
        <f t="shared" si="50"/>
        <v>1</v>
      </c>
      <c r="T53" s="303">
        <f t="shared" si="39"/>
        <v>1</v>
      </c>
      <c r="U53" s="301"/>
      <c r="V53" s="301"/>
      <c r="W53" s="302">
        <f t="shared" si="40"/>
        <v>14736.31318210784</v>
      </c>
      <c r="X53" s="303">
        <f t="shared" si="41"/>
        <v>1.0011351832546356</v>
      </c>
      <c r="Y53" s="301"/>
      <c r="Z53" s="301"/>
      <c r="AA53" s="302">
        <f t="shared" si="42"/>
        <v>19</v>
      </c>
      <c r="AB53" s="303">
        <f t="shared" si="43"/>
        <v>1</v>
      </c>
      <c r="AC53" s="301"/>
      <c r="AD53" s="301"/>
      <c r="AE53" s="302">
        <f t="shared" si="44"/>
        <v>265.64149473068096</v>
      </c>
      <c r="AF53" s="303">
        <f t="shared" si="31"/>
        <v>1.00054608053265</v>
      </c>
    </row>
    <row r="54" spans="2:32" x14ac:dyDescent="0.25">
      <c r="B54" s="1" t="s">
        <v>72</v>
      </c>
      <c r="C54" s="302">
        <f t="shared" si="51"/>
        <v>59276.439266513684</v>
      </c>
      <c r="D54" s="303">
        <f>C54/C53</f>
        <v>1.0011204767923558</v>
      </c>
      <c r="E54" s="301"/>
      <c r="F54" s="301"/>
      <c r="G54" s="302">
        <f t="shared" si="47"/>
        <v>4377.4811572223543</v>
      </c>
      <c r="H54" s="303">
        <f>G54/G53</f>
        <v>1.0008938874384889</v>
      </c>
      <c r="I54" s="301"/>
      <c r="J54" s="301"/>
      <c r="K54" s="302">
        <f t="shared" si="48"/>
        <v>515.55023780507793</v>
      </c>
      <c r="L54" s="303">
        <f>K54/K53</f>
        <v>1.0001338873522807</v>
      </c>
      <c r="M54" s="301"/>
      <c r="N54" s="301"/>
      <c r="O54" s="302">
        <f t="shared" si="49"/>
        <v>17.754351836488791</v>
      </c>
      <c r="P54" s="303">
        <f t="shared" si="37"/>
        <v>1.0028511373361424</v>
      </c>
      <c r="Q54" s="301"/>
      <c r="R54" s="301"/>
      <c r="S54" s="302">
        <f t="shared" si="50"/>
        <v>1</v>
      </c>
      <c r="T54" s="303">
        <f t="shared" si="39"/>
        <v>1</v>
      </c>
      <c r="U54" s="301"/>
      <c r="V54" s="301"/>
      <c r="W54" s="302">
        <f>W53*X$14^(1/12)</f>
        <v>14753.041598067235</v>
      </c>
      <c r="X54" s="303">
        <f>W54/W53</f>
        <v>1.0011351832546356</v>
      </c>
      <c r="Y54" s="301"/>
      <c r="Z54" s="301"/>
      <c r="AA54" s="302">
        <f t="shared" si="42"/>
        <v>19</v>
      </c>
      <c r="AB54" s="303">
        <f t="shared" si="43"/>
        <v>1</v>
      </c>
      <c r="AC54" s="301"/>
      <c r="AD54" s="301"/>
      <c r="AE54" s="302">
        <f>AE53*AF$14^(1/12)</f>
        <v>265.78655637961742</v>
      </c>
      <c r="AF54" s="303">
        <f>AE54/AE53</f>
        <v>1.00054608053265</v>
      </c>
    </row>
    <row r="55" spans="2:32" x14ac:dyDescent="0.25">
      <c r="B55" s="1" t="s">
        <v>438</v>
      </c>
      <c r="C55" s="302">
        <f t="shared" si="51"/>
        <v>59342.857141045301</v>
      </c>
      <c r="D55" s="303">
        <f>C55/C54</f>
        <v>1.0011204767923558</v>
      </c>
      <c r="E55" s="301"/>
      <c r="F55" s="301"/>
      <c r="G55" s="302">
        <f t="shared" si="47"/>
        <v>4381.3941326410177</v>
      </c>
      <c r="H55" s="303">
        <f>G55/G54</f>
        <v>1.0008938874384889</v>
      </c>
      <c r="I55" s="301"/>
      <c r="J55" s="301"/>
      <c r="K55" s="302">
        <f t="shared" si="48"/>
        <v>515.61926346138534</v>
      </c>
      <c r="L55" s="303">
        <f>K55/K54</f>
        <v>1.0001338873522807</v>
      </c>
      <c r="M55" s="301"/>
      <c r="N55" s="301"/>
      <c r="O55" s="302">
        <f t="shared" si="49"/>
        <v>17.804971931888812</v>
      </c>
      <c r="P55" s="303">
        <f t="shared" si="37"/>
        <v>1.0028511373361424</v>
      </c>
      <c r="Q55" s="301"/>
      <c r="R55" s="301"/>
      <c r="S55" s="302">
        <f t="shared" si="50"/>
        <v>1</v>
      </c>
      <c r="T55" s="303">
        <f t="shared" si="39"/>
        <v>1</v>
      </c>
      <c r="U55" s="301"/>
      <c r="V55" s="301"/>
      <c r="W55" s="302">
        <f>W54*X$14^(1/12)</f>
        <v>14769.789003844304</v>
      </c>
      <c r="X55" s="303">
        <f>W55/W54</f>
        <v>1.0011351832546356</v>
      </c>
      <c r="Y55" s="301"/>
      <c r="Z55" s="301"/>
      <c r="AA55" s="302">
        <f t="shared" si="42"/>
        <v>19</v>
      </c>
      <c r="AB55" s="303">
        <f t="shared" si="43"/>
        <v>1</v>
      </c>
      <c r="AC55" s="301"/>
      <c r="AD55" s="301"/>
      <c r="AE55" s="302">
        <f>AE54*AF$14^(1/12)</f>
        <v>265.93169724389645</v>
      </c>
      <c r="AF55" s="303">
        <f>AE55/AE54</f>
        <v>1.00054608053265</v>
      </c>
    </row>
    <row r="56" spans="2:32" x14ac:dyDescent="0.25">
      <c r="B56" s="1" t="s">
        <v>74</v>
      </c>
      <c r="C56" s="302">
        <f t="shared" si="51"/>
        <v>59409.349435263932</v>
      </c>
      <c r="D56" s="303">
        <f>C56/C55</f>
        <v>1.0011204767923558</v>
      </c>
      <c r="E56" s="301"/>
      <c r="F56" s="301"/>
      <c r="G56" s="302">
        <f t="shared" si="47"/>
        <v>4385.3106058192543</v>
      </c>
      <c r="H56" s="303">
        <f>G56/G55</f>
        <v>1.0008938874384889</v>
      </c>
      <c r="I56" s="301"/>
      <c r="J56" s="301"/>
      <c r="K56" s="302">
        <f t="shared" si="48"/>
        <v>515.68829835935514</v>
      </c>
      <c r="L56" s="303">
        <f>K56/K55</f>
        <v>1.0001338873522807</v>
      </c>
      <c r="M56" s="301"/>
      <c r="N56" s="301"/>
      <c r="O56" s="302">
        <f t="shared" si="49"/>
        <v>17.855736352132787</v>
      </c>
      <c r="P56" s="303">
        <f t="shared" si="37"/>
        <v>1.0028511373361424</v>
      </c>
      <c r="Q56" s="301"/>
      <c r="R56" s="301"/>
      <c r="S56" s="302">
        <f t="shared" si="50"/>
        <v>1</v>
      </c>
      <c r="T56" s="303">
        <f t="shared" si="39"/>
        <v>1</v>
      </c>
      <c r="U56" s="301"/>
      <c r="V56" s="301"/>
      <c r="W56" s="302">
        <f>W55*X$14^(1/12)</f>
        <v>14786.555420995968</v>
      </c>
      <c r="X56" s="303">
        <f>W56/W55</f>
        <v>1.0011351832546356</v>
      </c>
      <c r="Y56" s="301"/>
      <c r="Z56" s="301"/>
      <c r="AA56" s="302">
        <f t="shared" si="42"/>
        <v>19</v>
      </c>
      <c r="AB56" s="303">
        <f t="shared" si="43"/>
        <v>1</v>
      </c>
      <c r="AC56" s="301"/>
      <c r="AD56" s="301"/>
      <c r="AE56" s="302">
        <f>AE55*AF$14^(1/12)</f>
        <v>266.07691736677594</v>
      </c>
      <c r="AF56" s="303">
        <f>AE56/AE55</f>
        <v>1.00054608053265</v>
      </c>
    </row>
    <row r="57" spans="2:32" x14ac:dyDescent="0.25">
      <c r="B57" s="1" t="s">
        <v>75</v>
      </c>
      <c r="C57" s="302">
        <f t="shared" si="51"/>
        <v>59475.916232555101</v>
      </c>
      <c r="D57" s="303">
        <f>C57/C56</f>
        <v>1.0011204767923558</v>
      </c>
      <c r="E57" s="301"/>
      <c r="F57" s="301"/>
      <c r="G57" s="302">
        <f t="shared" si="47"/>
        <v>4389.2305798836687</v>
      </c>
      <c r="H57" s="303">
        <f>G57/G56</f>
        <v>1.0008938874384889</v>
      </c>
      <c r="I57" s="301"/>
      <c r="J57" s="301"/>
      <c r="K57" s="302">
        <f t="shared" si="48"/>
        <v>515.75734250022458</v>
      </c>
      <c r="L57" s="303">
        <f>K57/K56</f>
        <v>1.0001338873522807</v>
      </c>
      <c r="M57" s="301"/>
      <c r="N57" s="301"/>
      <c r="O57" s="302">
        <f t="shared" si="49"/>
        <v>17.906645508710668</v>
      </c>
      <c r="P57" s="303">
        <f t="shared" si="37"/>
        <v>1.0028511373361424</v>
      </c>
      <c r="Q57" s="301"/>
      <c r="R57" s="301"/>
      <c r="S57" s="302">
        <f t="shared" si="50"/>
        <v>1</v>
      </c>
      <c r="T57" s="303">
        <f t="shared" si="39"/>
        <v>1</v>
      </c>
      <c r="U57" s="301"/>
      <c r="V57" s="301"/>
      <c r="W57" s="302">
        <f>W56*X$14^(1/12)</f>
        <v>14803.340871103625</v>
      </c>
      <c r="X57" s="303">
        <f>W57/W56</f>
        <v>1.0011351832546356</v>
      </c>
      <c r="Y57" s="301"/>
      <c r="Z57" s="301"/>
      <c r="AA57" s="302">
        <f t="shared" si="42"/>
        <v>19</v>
      </c>
      <c r="AB57" s="303">
        <f t="shared" si="43"/>
        <v>1</v>
      </c>
      <c r="AC57" s="301"/>
      <c r="AD57" s="301"/>
      <c r="AE57" s="302">
        <f>AE56*AF$14^(1/12)</f>
        <v>266.22221679153745</v>
      </c>
      <c r="AF57" s="303">
        <f>AE57/AE56</f>
        <v>1.00054608053265</v>
      </c>
    </row>
    <row r="58" spans="2:32" x14ac:dyDescent="0.25">
      <c r="B58" s="1" t="s">
        <v>76</v>
      </c>
      <c r="C58" s="302">
        <f t="shared" si="51"/>
        <v>59542.557616397775</v>
      </c>
      <c r="D58" s="303">
        <f>C58/C57</f>
        <v>1.0011204767923558</v>
      </c>
      <c r="E58" s="301"/>
      <c r="F58" s="301"/>
      <c r="G58" s="302">
        <f t="shared" si="47"/>
        <v>4393.1540579636585</v>
      </c>
      <c r="H58" s="303">
        <f>G58/G57</f>
        <v>1.0008938874384889</v>
      </c>
      <c r="I58" s="301"/>
      <c r="J58" s="301"/>
      <c r="K58" s="302">
        <f t="shared" si="48"/>
        <v>515.82639588523125</v>
      </c>
      <c r="L58" s="303">
        <f>K58/K57</f>
        <v>1.0001338873522807</v>
      </c>
      <c r="M58" s="301"/>
      <c r="N58" s="301"/>
      <c r="O58" s="302">
        <f t="shared" si="49"/>
        <v>17.957699814285618</v>
      </c>
      <c r="P58" s="303">
        <f t="shared" si="37"/>
        <v>1.0028511373361424</v>
      </c>
      <c r="Q58" s="301"/>
      <c r="R58" s="301"/>
      <c r="S58" s="302">
        <f t="shared" si="50"/>
        <v>1</v>
      </c>
      <c r="T58" s="303">
        <f t="shared" si="39"/>
        <v>1</v>
      </c>
      <c r="U58" s="301"/>
      <c r="V58" s="301"/>
      <c r="W58" s="302">
        <f>W57*X$14^(1/12)</f>
        <v>14820.145375773163</v>
      </c>
      <c r="X58" s="303">
        <f>W58/W57</f>
        <v>1.0011351832546356</v>
      </c>
      <c r="Y58" s="301"/>
      <c r="Z58" s="301"/>
      <c r="AA58" s="302">
        <f t="shared" si="42"/>
        <v>19</v>
      </c>
      <c r="AB58" s="303">
        <f t="shared" si="43"/>
        <v>1</v>
      </c>
      <c r="AC58" s="301"/>
      <c r="AD58" s="301"/>
      <c r="AE58" s="302">
        <f>AE57*AF$14^(1/12)</f>
        <v>266.36759556148627</v>
      </c>
      <c r="AF58" s="303">
        <f>AE58/AE57</f>
        <v>1.00054608053265</v>
      </c>
    </row>
    <row r="65" spans="4:4" x14ac:dyDescent="0.25">
      <c r="D65" s="587"/>
    </row>
  </sheetData>
  <mergeCells count="16">
    <mergeCell ref="AD2:AE2"/>
    <mergeCell ref="AF2:AF3"/>
    <mergeCell ref="V2:W2"/>
    <mergeCell ref="X2:X3"/>
    <mergeCell ref="B2:C2"/>
    <mergeCell ref="D2:D3"/>
    <mergeCell ref="F2:G2"/>
    <mergeCell ref="H2:H3"/>
    <mergeCell ref="J2:K2"/>
    <mergeCell ref="L2:L3"/>
    <mergeCell ref="N2:O2"/>
    <mergeCell ref="P2:P3"/>
    <mergeCell ref="R2:S2"/>
    <mergeCell ref="T2:T3"/>
    <mergeCell ref="Z2:AA2"/>
    <mergeCell ref="AB2:AB3"/>
  </mergeCells>
  <phoneticPr fontId="3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5"/>
  <dimension ref="A2:AT50"/>
  <sheetViews>
    <sheetView workbookViewId="0">
      <selection activeCell="AO18" sqref="AO18"/>
    </sheetView>
  </sheetViews>
  <sheetFormatPr defaultColWidth="8.88671875" defaultRowHeight="13.2" x14ac:dyDescent="0.25"/>
  <cols>
    <col min="1" max="2" width="8.88671875" style="1"/>
    <col min="3" max="3" width="17.44140625" style="1" bestFit="1" customWidth="1"/>
    <col min="4" max="4" width="15.33203125" style="1" customWidth="1"/>
    <col min="5" max="5" width="12.77734375" style="1" customWidth="1"/>
    <col min="6" max="6" width="11.33203125" style="1" bestFit="1" customWidth="1"/>
    <col min="7" max="7" width="11.33203125" style="1" customWidth="1"/>
    <col min="8" max="10" width="12.109375" style="1" customWidth="1"/>
    <col min="11" max="12" width="8.88671875" style="1"/>
    <col min="13" max="13" width="14.44140625" style="1" bestFit="1" customWidth="1"/>
    <col min="14" max="14" width="8.88671875" style="1"/>
    <col min="15" max="15" width="9.77734375" style="1" customWidth="1"/>
    <col min="16" max="16" width="10.44140625" style="1" customWidth="1"/>
    <col min="17" max="21" width="8.88671875" style="1"/>
    <col min="22" max="22" width="10.109375" style="1" bestFit="1" customWidth="1"/>
    <col min="23" max="23" width="8.88671875" style="1"/>
    <col min="24" max="24" width="11.6640625" style="1" customWidth="1"/>
    <col min="25" max="25" width="11.109375" style="1" customWidth="1"/>
    <col min="26" max="29" width="8.88671875" style="1"/>
    <col min="30" max="30" width="14.6640625" style="1" customWidth="1"/>
    <col min="31" max="31" width="16.109375" style="1" customWidth="1"/>
    <col min="32" max="32" width="15.77734375" style="1" customWidth="1"/>
    <col min="33" max="33" width="11" style="1" customWidth="1"/>
    <col min="34" max="34" width="8.88671875" style="1"/>
    <col min="35" max="35" width="9.33203125" style="1" customWidth="1"/>
    <col min="36" max="36" width="10.6640625" style="1" bestFit="1" customWidth="1"/>
    <col min="37" max="40" width="8.88671875" style="1"/>
    <col min="41" max="41" width="9.77734375" style="1" bestFit="1" customWidth="1"/>
    <col min="42" max="42" width="11.44140625" style="1" customWidth="1"/>
    <col min="43" max="16384" width="8.88671875" style="1"/>
  </cols>
  <sheetData>
    <row r="2" spans="1:46" x14ac:dyDescent="0.25">
      <c r="C2" s="492" t="s">
        <v>298</v>
      </c>
      <c r="D2" s="492"/>
      <c r="E2" s="492"/>
      <c r="F2" s="265"/>
      <c r="G2" s="465" t="s">
        <v>549</v>
      </c>
      <c r="M2" s="492" t="s">
        <v>299</v>
      </c>
      <c r="N2" s="492"/>
      <c r="O2" s="492"/>
      <c r="P2" s="265"/>
      <c r="V2" s="492" t="s">
        <v>115</v>
      </c>
      <c r="W2" s="492"/>
      <c r="X2" s="492"/>
      <c r="Y2" s="265"/>
      <c r="AD2" s="492" t="s">
        <v>439</v>
      </c>
      <c r="AE2" s="492"/>
      <c r="AF2" s="492"/>
      <c r="AG2" s="265"/>
      <c r="AM2" s="492" t="s">
        <v>117</v>
      </c>
      <c r="AN2" s="492"/>
      <c r="AO2" s="492"/>
      <c r="AP2" s="265"/>
    </row>
    <row r="3" spans="1:46" x14ac:dyDescent="0.25">
      <c r="A3" s="13"/>
      <c r="B3" s="13"/>
      <c r="C3" s="157" t="s">
        <v>396</v>
      </c>
      <c r="D3" s="157" t="s">
        <v>397</v>
      </c>
      <c r="E3" s="157" t="s">
        <v>440</v>
      </c>
      <c r="F3" s="157" t="s">
        <v>441</v>
      </c>
      <c r="G3" s="157" t="s">
        <v>550</v>
      </c>
      <c r="H3" s="289"/>
      <c r="I3" s="289"/>
      <c r="J3" s="289"/>
      <c r="L3" s="13"/>
      <c r="M3" s="157" t="s">
        <v>396</v>
      </c>
      <c r="N3" s="157" t="s">
        <v>397</v>
      </c>
      <c r="O3" s="157" t="s">
        <v>440</v>
      </c>
      <c r="P3" s="157" t="s">
        <v>441</v>
      </c>
      <c r="Q3" s="289"/>
      <c r="R3" s="289"/>
      <c r="U3" s="13"/>
      <c r="V3" s="157" t="s">
        <v>396</v>
      </c>
      <c r="W3" s="157" t="s">
        <v>397</v>
      </c>
      <c r="X3" s="157" t="s">
        <v>440</v>
      </c>
      <c r="Y3" s="157" t="s">
        <v>441</v>
      </c>
      <c r="Z3" s="289"/>
      <c r="AA3" s="289"/>
      <c r="AD3" s="157" t="s">
        <v>396</v>
      </c>
      <c r="AE3" s="157" t="s">
        <v>397</v>
      </c>
      <c r="AF3" s="157" t="s">
        <v>440</v>
      </c>
      <c r="AG3" s="157" t="s">
        <v>441</v>
      </c>
      <c r="AI3" s="13"/>
      <c r="AJ3" s="289"/>
      <c r="AK3" s="289"/>
      <c r="AM3" s="157" t="s">
        <v>396</v>
      </c>
      <c r="AN3" s="157" t="s">
        <v>397</v>
      </c>
      <c r="AO3" s="157" t="s">
        <v>440</v>
      </c>
      <c r="AP3" s="157" t="s">
        <v>441</v>
      </c>
      <c r="AR3" s="13"/>
      <c r="AS3" s="289"/>
      <c r="AT3" s="289"/>
    </row>
    <row r="4" spans="1:46" x14ac:dyDescent="0.25">
      <c r="A4" s="13"/>
      <c r="B4" s="13"/>
      <c r="C4" s="157" t="s">
        <v>303</v>
      </c>
      <c r="D4" s="157" t="s">
        <v>305</v>
      </c>
      <c r="E4" s="157" t="s">
        <v>442</v>
      </c>
      <c r="F4" s="157"/>
      <c r="G4" s="157" t="s">
        <v>551</v>
      </c>
      <c r="H4" s="289"/>
      <c r="I4" s="289"/>
      <c r="J4" s="289"/>
      <c r="L4" s="13"/>
      <c r="M4" s="157" t="s">
        <v>303</v>
      </c>
      <c r="N4" s="157" t="s">
        <v>305</v>
      </c>
      <c r="O4" s="157" t="s">
        <v>442</v>
      </c>
      <c r="P4" s="157"/>
      <c r="Q4" s="289"/>
      <c r="R4" s="289"/>
      <c r="U4" s="13"/>
      <c r="V4" s="157" t="s">
        <v>303</v>
      </c>
      <c r="W4" s="157" t="s">
        <v>305</v>
      </c>
      <c r="X4" s="157" t="s">
        <v>442</v>
      </c>
      <c r="Y4" s="157"/>
      <c r="Z4" s="289"/>
      <c r="AA4" s="289"/>
      <c r="AD4" s="157" t="s">
        <v>303</v>
      </c>
      <c r="AE4" s="157" t="s">
        <v>305</v>
      </c>
      <c r="AF4" s="157" t="s">
        <v>442</v>
      </c>
      <c r="AG4" s="157"/>
      <c r="AI4" s="13"/>
      <c r="AJ4" s="289"/>
      <c r="AK4" s="289"/>
      <c r="AM4" s="157" t="s">
        <v>303</v>
      </c>
      <c r="AN4" s="157" t="s">
        <v>305</v>
      </c>
      <c r="AO4" s="157" t="s">
        <v>442</v>
      </c>
      <c r="AP4" s="157"/>
      <c r="AR4" s="13"/>
      <c r="AS4" s="289"/>
      <c r="AT4" s="289"/>
    </row>
    <row r="5" spans="1:46" x14ac:dyDescent="0.25">
      <c r="A5" s="286"/>
      <c r="B5" s="286">
        <v>2015</v>
      </c>
      <c r="C5" s="290">
        <f>'Normalized Annual Summary'!Y5</f>
        <v>331248131.3818177</v>
      </c>
      <c r="D5" s="290">
        <f>SUMIF('Monthly Data'!B:B,B5,'Monthly Data'!O:O)</f>
        <v>839348</v>
      </c>
      <c r="E5" s="291">
        <f t="shared" ref="E5:E14" si="0">D5/C5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90"/>
      <c r="AL5" s="286">
        <v>2015</v>
      </c>
      <c r="AM5" s="290">
        <f>'Normalized Annual Summary'!BN5</f>
        <v>27388.346366584021</v>
      </c>
      <c r="AN5" s="290">
        <f>SUMIF('Monthly Data'!$B:$B,AL5,'Monthly Data'!AE:AE)</f>
        <v>100</v>
      </c>
      <c r="AO5" s="291">
        <f>AN5/AM5</f>
        <v>3.6511879418177659E-3</v>
      </c>
      <c r="AP5" s="292"/>
      <c r="AQ5" s="292"/>
      <c r="AR5" s="286"/>
      <c r="AS5" s="290"/>
      <c r="AT5" s="290"/>
    </row>
    <row r="6" spans="1:46" x14ac:dyDescent="0.25">
      <c r="A6" s="286"/>
      <c r="B6" s="286">
        <f t="shared" ref="B6:B14" si="4">B5+1</f>
        <v>2016</v>
      </c>
      <c r="C6" s="290">
        <f>'Normalized Annual Summary'!Y6</f>
        <v>336135880.18643844</v>
      </c>
      <c r="D6" s="290">
        <f>SUMIF('Monthly Data'!B:B,B6,'Monthly Data'!O:O)</f>
        <v>851612</v>
      </c>
      <c r="E6" s="291">
        <f t="shared" si="0"/>
        <v>2.5335349488059761E-3</v>
      </c>
      <c r="F6" s="292"/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/>
      <c r="AH6" s="292"/>
      <c r="AI6" s="286"/>
      <c r="AJ6" s="290"/>
      <c r="AK6" s="290"/>
      <c r="AL6" s="286">
        <f t="shared" ref="AL6:AL14" si="8">AL5+1</f>
        <v>2016</v>
      </c>
      <c r="AM6" s="290">
        <f>'Normalized Annual Summary'!BN6</f>
        <v>25737.974442113293</v>
      </c>
      <c r="AN6" s="290">
        <f>SUMIF('Monthly Data'!$B:$B,AL6,'Monthly Data'!AE:AE)</f>
        <v>85</v>
      </c>
      <c r="AO6" s="291">
        <f>AN6/AM6</f>
        <v>3.30251318693208E-3</v>
      </c>
      <c r="AP6" s="292"/>
      <c r="AQ6" s="292"/>
      <c r="AR6" s="286"/>
      <c r="AS6" s="290"/>
      <c r="AT6" s="290"/>
    </row>
    <row r="7" spans="1:46" x14ac:dyDescent="0.25">
      <c r="A7" s="286"/>
      <c r="B7" s="286">
        <f t="shared" si="4"/>
        <v>2017</v>
      </c>
      <c r="C7" s="290">
        <f>'Normalized Annual Summary'!Y7</f>
        <v>344049960.45204061</v>
      </c>
      <c r="D7" s="290">
        <f>SUMIF('Monthly Data'!B:B,B7,'Monthly Data'!O:O)</f>
        <v>818803.64996520523</v>
      </c>
      <c r="E7" s="291">
        <f t="shared" si="0"/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90"/>
      <c r="AL7" s="286">
        <f t="shared" si="8"/>
        <v>2017</v>
      </c>
      <c r="AM7" s="290">
        <f>'Normalized Annual Summary'!BN7</f>
        <v>25667.652107572001</v>
      </c>
      <c r="AN7" s="290">
        <f>SUMIF('Monthly Data'!$B:$B,AL7,'Monthly Data'!AE:AE)</f>
        <v>85</v>
      </c>
      <c r="AO7" s="291">
        <f>AN7/AM7</f>
        <v>3.3115611682661404E-3</v>
      </c>
      <c r="AP7" s="292">
        <f>AVERAGE(AO5:AO6)</f>
        <v>3.4768505643749227E-3</v>
      </c>
      <c r="AQ7" s="292"/>
      <c r="AR7" s="286"/>
      <c r="AS7" s="290"/>
      <c r="AT7" s="290"/>
    </row>
    <row r="8" spans="1:46" x14ac:dyDescent="0.25">
      <c r="A8" s="286"/>
      <c r="B8" s="286">
        <f t="shared" si="4"/>
        <v>2018</v>
      </c>
      <c r="C8" s="290">
        <f>'Normalized Annual Summary'!Y8</f>
        <v>324633082.5551976</v>
      </c>
      <c r="D8" s="290">
        <f>SUMIF('Monthly Data'!B:B,B8,'Monthly Data'!O:O)</f>
        <v>829834.35003479477</v>
      </c>
      <c r="E8" s="291">
        <f t="shared" si="0"/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90"/>
      <c r="AL8" s="286">
        <f t="shared" si="8"/>
        <v>2018</v>
      </c>
      <c r="AM8" s="290">
        <f>'Normalized Annual Summary'!BN8</f>
        <v>25647.396528704936</v>
      </c>
      <c r="AN8" s="290">
        <f>SUMIF('Monthly Data'!$B:$B,AL8,'Monthly Data'!AE:AE)</f>
        <v>85</v>
      </c>
      <c r="AO8" s="291">
        <f t="shared" ref="AO8:AO14" si="12">AN8/AM8</f>
        <v>3.314176544385968E-3</v>
      </c>
      <c r="AP8" s="292">
        <f>AVERAGE(AO6,AO8)</f>
        <v>3.308344865659024E-3</v>
      </c>
      <c r="AQ8" s="292"/>
      <c r="AR8" s="286"/>
      <c r="AS8" s="290"/>
      <c r="AT8" s="290"/>
    </row>
    <row r="9" spans="1:46" x14ac:dyDescent="0.25">
      <c r="A9" s="286"/>
      <c r="B9" s="286">
        <f t="shared" si="4"/>
        <v>2019</v>
      </c>
      <c r="C9" s="290">
        <f>'Normalized Annual Summary'!Y9</f>
        <v>328874818.72622365</v>
      </c>
      <c r="D9" s="290">
        <f>SUMIF('Monthly Data'!B:B,B9,'Monthly Data'!O:O)</f>
        <v>800107.8899999999</v>
      </c>
      <c r="E9" s="291">
        <f t="shared" si="0"/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90"/>
      <c r="AL9" s="286">
        <f t="shared" si="8"/>
        <v>2019</v>
      </c>
      <c r="AM9" s="290">
        <f>'Normalized Annual Summary'!BN9</f>
        <v>25815.827469006294</v>
      </c>
      <c r="AN9" s="290">
        <f>SUMIF('Monthly Data'!$B:$B,AL9,'Monthly Data'!AE:AE)</f>
        <v>85</v>
      </c>
      <c r="AO9" s="291">
        <f t="shared" si="12"/>
        <v>3.2925537677244102E-3</v>
      </c>
      <c r="AP9" s="292">
        <f>AVERAGE(AO8:AO9)</f>
        <v>3.3033651560551891E-3</v>
      </c>
      <c r="AQ9" s="292"/>
      <c r="AR9" s="286"/>
      <c r="AS9" s="290"/>
      <c r="AT9" s="290"/>
    </row>
    <row r="10" spans="1:46" x14ac:dyDescent="0.25">
      <c r="A10" s="286"/>
      <c r="B10" s="286">
        <f t="shared" si="4"/>
        <v>2020</v>
      </c>
      <c r="C10" s="290">
        <f>'Normalized Annual Summary'!Y10</f>
        <v>304515885.12731272</v>
      </c>
      <c r="D10" s="290">
        <f>SUMIF('Monthly Data'!B:B,B10,'Monthly Data'!O:O)</f>
        <v>816353.62433400005</v>
      </c>
      <c r="E10" s="291">
        <f t="shared" si="0"/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90"/>
      <c r="AL10" s="286">
        <f t="shared" si="8"/>
        <v>2020</v>
      </c>
      <c r="AM10" s="290">
        <f>'Normalized Annual Summary'!BN10</f>
        <v>26988.839999999997</v>
      </c>
      <c r="AN10" s="290">
        <f>SUMIF('Monthly Data'!$B:$B,AL10,'Monthly Data'!AE:AE)</f>
        <v>85</v>
      </c>
      <c r="AO10" s="291">
        <f t="shared" si="12"/>
        <v>3.1494499207820716E-3</v>
      </c>
      <c r="AP10" s="292">
        <f>AVERAGE(AO8,AO10)</f>
        <v>3.2318132325840198E-3</v>
      </c>
      <c r="AQ10" s="292"/>
      <c r="AR10" s="286"/>
      <c r="AS10" s="290"/>
      <c r="AT10" s="290"/>
    </row>
    <row r="11" spans="1:46" x14ac:dyDescent="0.25">
      <c r="A11" s="286"/>
      <c r="B11" s="286">
        <f t="shared" si="4"/>
        <v>2021</v>
      </c>
      <c r="C11" s="290">
        <f>'Normalized Annual Summary'!Y11</f>
        <v>310470030.40933514</v>
      </c>
      <c r="D11" s="290">
        <f>SUMIF('Monthly Data'!B:B,B11,'Monthly Data'!O:O)</f>
        <v>798585.1100000001</v>
      </c>
      <c r="E11" s="291">
        <f t="shared" si="0"/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90"/>
      <c r="AL11" s="286">
        <f t="shared" si="8"/>
        <v>2021</v>
      </c>
      <c r="AM11" s="290">
        <f>'Normalized Annual Summary'!BN11</f>
        <v>26915.1</v>
      </c>
      <c r="AN11" s="290">
        <f>SUMIF('Monthly Data'!$B:$B,AL11,'Monthly Data'!AE:AE)</f>
        <v>81</v>
      </c>
      <c r="AO11" s="291">
        <f t="shared" si="12"/>
        <v>3.0094630894925154E-3</v>
      </c>
      <c r="AP11" s="292">
        <f>AVERAGE(AO10:AO11)</f>
        <v>3.0794565051372935E-3</v>
      </c>
      <c r="AQ11" s="292"/>
      <c r="AR11" s="286"/>
      <c r="AS11" s="290"/>
      <c r="AT11" s="290"/>
    </row>
    <row r="12" spans="1:46" x14ac:dyDescent="0.25">
      <c r="A12" s="286"/>
      <c r="B12" s="286">
        <f t="shared" si="4"/>
        <v>2022</v>
      </c>
      <c r="C12" s="290">
        <f>'Normalized Annual Summary'!Y12</f>
        <v>342060680.01827008</v>
      </c>
      <c r="D12" s="290">
        <f>SUMIF('Monthly Data'!B:B,B12,'Monthly Data'!O:O)</f>
        <v>825642.3595324757</v>
      </c>
      <c r="E12" s="291">
        <f t="shared" si="0"/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90"/>
      <c r="AL12" s="286">
        <f t="shared" si="8"/>
        <v>2022</v>
      </c>
      <c r="AM12" s="290">
        <f>'Normalized Annual Summary'!BN12</f>
        <v>26915.1</v>
      </c>
      <c r="AN12" s="290">
        <f>SUMIF('Monthly Data'!$B:$B,AL12,'Monthly Data'!AE:AE)</f>
        <v>79</v>
      </c>
      <c r="AO12" s="291">
        <f t="shared" si="12"/>
        <v>2.935155358887762E-3</v>
      </c>
      <c r="AP12" s="292">
        <f>AVERAGE(AO10,AO12)</f>
        <v>3.042302639834917E-3</v>
      </c>
      <c r="AQ12" s="292"/>
      <c r="AR12" s="286"/>
      <c r="AS12" s="290"/>
      <c r="AT12" s="290"/>
    </row>
    <row r="13" spans="1:46" x14ac:dyDescent="0.25">
      <c r="A13" s="286"/>
      <c r="B13" s="286">
        <f t="shared" si="4"/>
        <v>2023</v>
      </c>
      <c r="C13" s="290">
        <f>'Normalized Annual Summary'!Y13</f>
        <v>321367374.95395875</v>
      </c>
      <c r="D13" s="290">
        <f>SUMIF('Monthly Data'!B:B,B13,'Monthly Data'!O:O)</f>
        <v>832495.70427905454</v>
      </c>
      <c r="E13" s="291">
        <f t="shared" si="0"/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90"/>
      <c r="AL13" s="286">
        <f t="shared" si="8"/>
        <v>2023</v>
      </c>
      <c r="AM13" s="290">
        <f>'Normalized Annual Summary'!BN13</f>
        <v>26915.1</v>
      </c>
      <c r="AN13" s="290">
        <f>SUMIF('Monthly Data'!$B:$B,AL13,'Monthly Data'!AE:AE)</f>
        <v>77</v>
      </c>
      <c r="AO13" s="291">
        <f t="shared" si="12"/>
        <v>2.8608476282830086E-3</v>
      </c>
      <c r="AP13" s="292">
        <f>AVERAGE(AO12:AO13)</f>
        <v>2.8980014935853851E-3</v>
      </c>
      <c r="AQ13" s="292"/>
      <c r="AR13" s="286"/>
      <c r="AS13" s="290"/>
      <c r="AT13" s="290"/>
    </row>
    <row r="14" spans="1:46" x14ac:dyDescent="0.25">
      <c r="A14" s="286"/>
      <c r="B14" s="286">
        <f t="shared" si="4"/>
        <v>2024</v>
      </c>
      <c r="C14" s="290">
        <f>'Normalized Annual Summary'!Y14</f>
        <v>316661892.99999994</v>
      </c>
      <c r="D14" s="290">
        <f>SUMIF('Monthly Data'!B:B,B14,'Monthly Data'!O:O)</f>
        <v>857480.99999999977</v>
      </c>
      <c r="E14" s="291">
        <f t="shared" si="0"/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AVERAGE(AF12,AF14)</f>
        <v>2.8442805334985225E-3</v>
      </c>
      <c r="AH14" s="292"/>
      <c r="AI14" s="286"/>
      <c r="AJ14" s="290"/>
      <c r="AK14" s="290"/>
      <c r="AL14" s="286">
        <f t="shared" si="8"/>
        <v>2024</v>
      </c>
      <c r="AM14" s="290">
        <f>'Normalized Annual Summary'!BN14</f>
        <v>22593</v>
      </c>
      <c r="AN14" s="290">
        <f>SUMIF('Monthly Data'!$B:$B,AL14,'Monthly Data'!AE:AE)</f>
        <v>75</v>
      </c>
      <c r="AO14" s="291">
        <f t="shared" si="12"/>
        <v>3.3196122692869473E-3</v>
      </c>
      <c r="AP14" s="292">
        <f>AVERAGE(AO12,AO14)</f>
        <v>3.1273838140873549E-3</v>
      </c>
      <c r="AQ14" s="292"/>
      <c r="AR14" s="286"/>
      <c r="AS14" s="290"/>
      <c r="AT14" s="290"/>
    </row>
    <row r="15" spans="1:46" x14ac:dyDescent="0.25">
      <c r="A15" s="286"/>
      <c r="B15" s="286"/>
      <c r="C15" s="231"/>
      <c r="D15" s="231"/>
      <c r="E15" s="291"/>
      <c r="F15" s="292"/>
      <c r="G15" s="292"/>
      <c r="H15" s="292"/>
      <c r="I15" s="292"/>
      <c r="J15" s="292"/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C15" s="286"/>
      <c r="AD15" s="290"/>
      <c r="AE15" s="290"/>
      <c r="AF15" s="291"/>
      <c r="AG15" s="292"/>
      <c r="AH15" s="292"/>
      <c r="AI15" s="286"/>
      <c r="AJ15" s="290"/>
      <c r="AK15" s="290"/>
      <c r="AL15" s="286"/>
      <c r="AM15" s="290"/>
      <c r="AN15" s="290"/>
      <c r="AO15" s="291"/>
      <c r="AP15" s="292"/>
      <c r="AQ15" s="292"/>
      <c r="AR15" s="286"/>
      <c r="AS15" s="290"/>
      <c r="AT15" s="290"/>
    </row>
    <row r="16" spans="1:46" s="232" customFormat="1" ht="39.6" x14ac:dyDescent="0.25">
      <c r="B16" s="461"/>
      <c r="C16" s="461" t="s">
        <v>443</v>
      </c>
      <c r="D16" s="462" t="s">
        <v>444</v>
      </c>
      <c r="E16" s="232" t="s">
        <v>445</v>
      </c>
      <c r="F16" s="232" t="s">
        <v>446</v>
      </c>
      <c r="G16" s="232" t="s">
        <v>424</v>
      </c>
      <c r="H16" s="232" t="s">
        <v>547</v>
      </c>
      <c r="I16" s="463" t="s">
        <v>542</v>
      </c>
      <c r="J16" s="232" t="s">
        <v>548</v>
      </c>
      <c r="L16" s="461"/>
      <c r="M16" s="461" t="s">
        <v>443</v>
      </c>
      <c r="N16" s="462" t="s">
        <v>444</v>
      </c>
      <c r="O16" s="232" t="s">
        <v>445</v>
      </c>
      <c r="P16" s="232" t="s">
        <v>446</v>
      </c>
      <c r="Q16" s="232" t="s">
        <v>424</v>
      </c>
      <c r="R16" s="232" t="s">
        <v>447</v>
      </c>
      <c r="U16" s="461"/>
      <c r="V16" s="461" t="s">
        <v>443</v>
      </c>
      <c r="W16" s="462" t="s">
        <v>444</v>
      </c>
      <c r="X16" s="232" t="s">
        <v>445</v>
      </c>
      <c r="Y16" s="232" t="s">
        <v>446</v>
      </c>
      <c r="Z16" s="232" t="s">
        <v>424</v>
      </c>
      <c r="AA16" s="232" t="s">
        <v>447</v>
      </c>
      <c r="AC16" s="461"/>
      <c r="AD16" s="461" t="s">
        <v>443</v>
      </c>
      <c r="AE16" s="462" t="s">
        <v>444</v>
      </c>
      <c r="AF16" s="232" t="s">
        <v>445</v>
      </c>
      <c r="AG16" s="232" t="s">
        <v>448</v>
      </c>
      <c r="AI16" s="461"/>
      <c r="AJ16" s="461"/>
      <c r="AK16" s="464"/>
      <c r="AL16" s="461"/>
      <c r="AM16" s="461" t="s">
        <v>443</v>
      </c>
      <c r="AN16" s="462" t="s">
        <v>444</v>
      </c>
      <c r="AO16" s="232" t="s">
        <v>445</v>
      </c>
      <c r="AP16" s="232" t="s">
        <v>448</v>
      </c>
      <c r="AR16" s="461"/>
      <c r="AS16" s="461"/>
      <c r="AT16" s="464"/>
    </row>
    <row r="17" spans="1:46" x14ac:dyDescent="0.25">
      <c r="B17" s="13"/>
      <c r="C17" s="13" t="s">
        <v>309</v>
      </c>
      <c r="D17" s="14" t="s">
        <v>449</v>
      </c>
      <c r="E17" s="15" t="s">
        <v>313</v>
      </c>
      <c r="F17" s="294" t="s">
        <v>429</v>
      </c>
      <c r="G17" s="294" t="s">
        <v>450</v>
      </c>
      <c r="H17" s="294" t="s">
        <v>451</v>
      </c>
      <c r="I17" s="294" t="s">
        <v>353</v>
      </c>
      <c r="J17" s="294" t="s">
        <v>546</v>
      </c>
      <c r="L17" s="13"/>
      <c r="M17" s="13" t="s">
        <v>309</v>
      </c>
      <c r="N17" s="14" t="s">
        <v>449</v>
      </c>
      <c r="O17" s="15" t="s">
        <v>313</v>
      </c>
      <c r="P17" s="294" t="s">
        <v>429</v>
      </c>
      <c r="Q17" s="294" t="s">
        <v>450</v>
      </c>
      <c r="R17" s="294" t="s">
        <v>451</v>
      </c>
      <c r="U17" s="13"/>
      <c r="V17" s="13" t="s">
        <v>309</v>
      </c>
      <c r="W17" s="14" t="s">
        <v>449</v>
      </c>
      <c r="X17" s="15" t="s">
        <v>313</v>
      </c>
      <c r="Y17" s="294" t="s">
        <v>429</v>
      </c>
      <c r="Z17" s="294" t="s">
        <v>450</v>
      </c>
      <c r="AA17" s="294" t="s">
        <v>451</v>
      </c>
      <c r="AC17" s="13"/>
      <c r="AD17" s="13" t="s">
        <v>309</v>
      </c>
      <c r="AE17" s="14" t="s">
        <v>452</v>
      </c>
      <c r="AF17" s="15" t="s">
        <v>313</v>
      </c>
      <c r="AG17" s="294" t="s">
        <v>429</v>
      </c>
      <c r="AI17" s="13"/>
      <c r="AJ17" s="13"/>
      <c r="AK17" s="14"/>
      <c r="AL17" s="13"/>
      <c r="AM17" s="13" t="s">
        <v>309</v>
      </c>
      <c r="AN17" s="14" t="s">
        <v>452</v>
      </c>
      <c r="AO17" s="15" t="s">
        <v>313</v>
      </c>
      <c r="AP17" s="294" t="s">
        <v>429</v>
      </c>
      <c r="AR17" s="13"/>
      <c r="AS17" s="13"/>
      <c r="AT17" s="14"/>
    </row>
    <row r="18" spans="1:46" x14ac:dyDescent="0.25">
      <c r="B18" s="10">
        <v>2023</v>
      </c>
      <c r="C18" s="11">
        <f ca="1">'Normalized Annual Summary'!AE13</f>
        <v>330636830.21801919</v>
      </c>
      <c r="D18" s="16">
        <f ca="1">C18*E18</f>
        <v>839867.34117068886</v>
      </c>
      <c r="E18" s="26">
        <f>AVERAGE(E5:E14)</f>
        <v>2.54015059549442E-3</v>
      </c>
      <c r="F18" s="128">
        <f>TREND($E$5:$E$14,$B$5:$B$14,B18)</f>
        <v>2.5916841771863493E-3</v>
      </c>
      <c r="G18" s="27"/>
      <c r="H18" s="126">
        <f ca="1">D18+G18</f>
        <v>839867.34117068886</v>
      </c>
      <c r="I18" s="126">
        <f>SUMIFS('Monthly Data'!DM:DM,'Monthly Data'!B:B,'kW Forecast'!B18)</f>
        <v>11850.900000000001</v>
      </c>
      <c r="J18" s="126">
        <f ca="1">H18+I18</f>
        <v>851718.24117068888</v>
      </c>
      <c r="L18" s="10">
        <v>2023</v>
      </c>
      <c r="M18" s="11">
        <f ca="1">'Normalized Annual Summary'!AT13</f>
        <v>80563761.373952091</v>
      </c>
      <c r="N18" s="16">
        <f ca="1">M18*O18</f>
        <v>191404.93425379548</v>
      </c>
      <c r="O18" s="26">
        <f>AVERAGE(O5:O14)</f>
        <v>2.3758192391905948E-3</v>
      </c>
      <c r="P18" s="128">
        <f>TREND($O$5:$O$14,$L$5:$L$14,L18)</f>
        <v>2.3447500747407687E-3</v>
      </c>
      <c r="Q18" s="27"/>
      <c r="R18" s="126">
        <f ca="1">N18+Q18</f>
        <v>191404.93425379548</v>
      </c>
      <c r="U18" s="10">
        <v>2023</v>
      </c>
      <c r="V18" s="11">
        <f ca="1">'Normalized Annual Summary'!BC13</f>
        <v>37272893.983256243</v>
      </c>
      <c r="W18" s="16">
        <f ca="1">V18*X18</f>
        <v>82919.958637702905</v>
      </c>
      <c r="X18" s="26">
        <f>AVERAGE(X5:X14)</f>
        <v>2.2246718667713935E-3</v>
      </c>
      <c r="Y18" s="128">
        <f>TREND($X$5:$X$14,$U$5:$U$14,U18)</f>
        <v>2.1362378507217006E-3</v>
      </c>
      <c r="Z18" s="27"/>
      <c r="AA18" s="126">
        <f ca="1">W18+Z18</f>
        <v>82919.958637702905</v>
      </c>
      <c r="AC18" s="10">
        <v>2023</v>
      </c>
      <c r="AD18" s="11">
        <f>'Normalized Annual Summary'!BK13</f>
        <v>4495190.04</v>
      </c>
      <c r="AE18" s="16">
        <f>AD18*AF18</f>
        <v>12744.617295303044</v>
      </c>
      <c r="AF18" s="26">
        <f>AVERAGE(AF5:AF14)</f>
        <v>2.8351676307111244E-3</v>
      </c>
      <c r="AG18" s="17">
        <f>TREND($AG$7:$AG$14,$AC$7:$AC$14,AC18)</f>
        <v>2.83830612528582E-3</v>
      </c>
      <c r="AI18" s="13"/>
      <c r="AJ18" s="13"/>
      <c r="AK18" s="14"/>
      <c r="AL18" s="10">
        <v>2023</v>
      </c>
      <c r="AM18" s="11">
        <f>'Normalized Annual Summary'!BQ13</f>
        <v>26915.1</v>
      </c>
      <c r="AN18" s="16">
        <f>AM18*AO18</f>
        <v>82.223091150385329</v>
      </c>
      <c r="AO18" s="26">
        <f>AVERAGE(AO10:AO14)</f>
        <v>3.0549056533464613E-3</v>
      </c>
      <c r="AP18" s="17">
        <f>TREND($AP$7:$AP$14,$AL$7:$AL$14,AL18)</f>
        <v>3.0217276294954853E-3</v>
      </c>
      <c r="AR18" s="13"/>
      <c r="AS18" s="13"/>
      <c r="AT18" s="14"/>
    </row>
    <row r="19" spans="1:46" x14ac:dyDescent="0.25">
      <c r="B19" s="10">
        <v>2024</v>
      </c>
      <c r="C19" s="11">
        <f ca="1">'Normalized Annual Summary'!AE14</f>
        <v>330668073.25240904</v>
      </c>
      <c r="D19" s="16">
        <f ca="1">C19*E19</f>
        <v>839946.70318309928</v>
      </c>
      <c r="E19" s="26">
        <f>E18</f>
        <v>2.54015059549442E-3</v>
      </c>
      <c r="F19" s="128">
        <f>TREND($E$5:$E$14,$B$5:$B$14,B19)</f>
        <v>2.6064080576697554E-3</v>
      </c>
      <c r="G19" s="127"/>
      <c r="H19" s="126">
        <f ca="1">D19+G19</f>
        <v>839946.70318309928</v>
      </c>
      <c r="I19" s="126">
        <f>SUMIFS('Monthly Data'!DM:DM,'Monthly Data'!B:B,'kW Forecast'!B19)</f>
        <v>11717.31</v>
      </c>
      <c r="J19" s="126">
        <f t="shared" ref="J19:J21" ca="1" si="13">H19+I19</f>
        <v>851664.01318309933</v>
      </c>
      <c r="L19" s="10">
        <v>2024</v>
      </c>
      <c r="M19" s="11">
        <f ca="1">'Normalized Annual Summary'!AT14</f>
        <v>79972313.529479399</v>
      </c>
      <c r="N19" s="16">
        <f ca="1">M19*O19</f>
        <v>189999.76108591945</v>
      </c>
      <c r="O19" s="26">
        <f>O18</f>
        <v>2.3758192391905948E-3</v>
      </c>
      <c r="P19" s="128">
        <f>TREND($O$5:$O$14,$L$5:$L$14,L19)</f>
        <v>2.3358731706122453E-3</v>
      </c>
      <c r="Q19" s="127"/>
      <c r="R19" s="126">
        <f ca="1">N19+Q19</f>
        <v>189999.76108591945</v>
      </c>
      <c r="U19" s="10">
        <v>2024</v>
      </c>
      <c r="V19" s="11">
        <f ca="1">'Normalized Annual Summary'!BC14</f>
        <v>36750440.935227141</v>
      </c>
      <c r="W19" s="16">
        <f ca="1">V19*X19</f>
        <v>81757.672040043602</v>
      </c>
      <c r="X19" s="26">
        <f>X18</f>
        <v>2.2246718667713935E-3</v>
      </c>
      <c r="Y19" s="128">
        <f>TREND($X$5:$X$14,$U$5:$U$14,U19)</f>
        <v>2.1109709889932174E-3</v>
      </c>
      <c r="Z19" s="127"/>
      <c r="AA19" s="126">
        <f ca="1">W19+Z19</f>
        <v>81757.672040043602</v>
      </c>
      <c r="AC19" s="10">
        <v>2024</v>
      </c>
      <c r="AD19" s="11">
        <f>'Normalized Annual Summary'!BK14</f>
        <v>4498710.0000000009</v>
      </c>
      <c r="AE19" s="16">
        <f>AD19*AF19</f>
        <v>12754.596971956445</v>
      </c>
      <c r="AF19" s="26">
        <f>AF18</f>
        <v>2.8351676307111244E-3</v>
      </c>
      <c r="AG19" s="17">
        <f>TREND($AG$7:$AG$14,$AC$7:$AC$14,AC19)</f>
        <v>2.8378661247038745E-3</v>
      </c>
      <c r="AI19" s="10"/>
      <c r="AJ19" s="11"/>
      <c r="AK19" s="16"/>
      <c r="AL19" s="10">
        <v>2024</v>
      </c>
      <c r="AM19" s="11">
        <f>'Normalized Annual Summary'!BQ14</f>
        <v>22593</v>
      </c>
      <c r="AN19" s="16">
        <f>AM19*AO19</f>
        <v>69.019483426056595</v>
      </c>
      <c r="AO19" s="26">
        <f>AO18</f>
        <v>3.0549056533464613E-3</v>
      </c>
      <c r="AP19" s="17">
        <f>TREND($AP$7:$AP$14,$AL$7:$AL$14,AL19)</f>
        <v>2.9570427677277633E-3</v>
      </c>
      <c r="AR19" s="10"/>
      <c r="AS19" s="11"/>
      <c r="AT19" s="16"/>
    </row>
    <row r="20" spans="1:46" x14ac:dyDescent="0.25">
      <c r="B20" s="10">
        <v>2025</v>
      </c>
      <c r="C20" s="11">
        <f ca="1">'Normalized Annual Summary'!AE15</f>
        <v>331207455.05772609</v>
      </c>
      <c r="D20" s="16">
        <f ca="1">C20*E20</f>
        <v>841316.81419707427</v>
      </c>
      <c r="E20" s="26">
        <f>E19</f>
        <v>2.54015059549442E-3</v>
      </c>
      <c r="F20" s="128">
        <f>TREND($E$5:$E$14,$B$5:$B$14,B20)</f>
        <v>2.621131938153165E-3</v>
      </c>
      <c r="G20" s="127">
        <f>'Total Additional-Lost Loads'!H18</f>
        <v>1467.7808657887438</v>
      </c>
      <c r="H20" s="126">
        <f ca="1">D20+G20</f>
        <v>842784.59506286297</v>
      </c>
      <c r="I20" s="126">
        <f>I19</f>
        <v>11717.31</v>
      </c>
      <c r="J20" s="126">
        <f t="shared" ca="1" si="13"/>
        <v>854501.90506286302</v>
      </c>
      <c r="L20" s="10">
        <v>2025</v>
      </c>
      <c r="M20" s="11">
        <f ca="1">'Normalized Annual Summary'!AT15</f>
        <v>81054511.108828157</v>
      </c>
      <c r="N20" s="16">
        <f ca="1">M20*O20</f>
        <v>192570.86691554173</v>
      </c>
      <c r="O20" s="26">
        <f>O19</f>
        <v>2.3758192391905948E-3</v>
      </c>
      <c r="P20" s="128">
        <f>TREND($O$5:$O$14,$L$5:$L$14,L20)</f>
        <v>2.3269962664837218E-3</v>
      </c>
      <c r="Q20" s="127">
        <f>'Total Additional-Lost Loads'!H19</f>
        <v>953.05548030267232</v>
      </c>
      <c r="R20" s="126">
        <f ca="1">N20+Q20</f>
        <v>193523.92239584439</v>
      </c>
      <c r="U20" s="10">
        <v>2025</v>
      </c>
      <c r="V20" s="11">
        <f ca="1">'Normalized Annual Summary'!BC15</f>
        <v>36234332.850474231</v>
      </c>
      <c r="W20" s="16">
        <f ca="1">V20*X20</f>
        <v>80609.500903680528</v>
      </c>
      <c r="X20" s="26">
        <f>X19</f>
        <v>2.2246718667713935E-3</v>
      </c>
      <c r="Y20" s="128">
        <f>TREND($X$5:$X$14,$U$5:$U$14,U20)</f>
        <v>2.0857041272647342E-3</v>
      </c>
      <c r="Z20" s="127">
        <f>'Total Additional-Lost Loads'!H20</f>
        <v>117.61139009465856</v>
      </c>
      <c r="AA20" s="126">
        <f ca="1">W20+Z20</f>
        <v>80727.112293775193</v>
      </c>
      <c r="AC20" s="10">
        <v>2025</v>
      </c>
      <c r="AD20" s="11">
        <f>'Normalized Annual Summary'!BK15</f>
        <v>4533005.3102651397</v>
      </c>
      <c r="AE20" s="16">
        <f>AD20*AF20</f>
        <v>12851.829925505361</v>
      </c>
      <c r="AF20" s="26">
        <f>AF19</f>
        <v>2.8351676307111244E-3</v>
      </c>
      <c r="AG20" s="17">
        <f>TREND($AG$7:$AG$14,$AC$7:$AC$14,AC20)</f>
        <v>2.8374261241219294E-3</v>
      </c>
      <c r="AI20" s="10"/>
      <c r="AJ20" s="11"/>
      <c r="AK20" s="16"/>
      <c r="AL20" s="10">
        <v>2025</v>
      </c>
      <c r="AM20" s="11">
        <f>'Normalized Annual Summary'!BQ15</f>
        <v>25474.399999999998</v>
      </c>
      <c r="AN20" s="16">
        <f>AM20*AO20</f>
        <v>77.82188857560908</v>
      </c>
      <c r="AO20" s="26">
        <f>AO19</f>
        <v>3.0549056533464613E-3</v>
      </c>
      <c r="AP20" s="17">
        <f>TREND($AP$7:$AP$14,$AL$7:$AL$14,AL20)</f>
        <v>2.8923579059600413E-3</v>
      </c>
      <c r="AR20" s="10"/>
      <c r="AS20" s="11"/>
      <c r="AT20" s="16"/>
    </row>
    <row r="21" spans="1:46" x14ac:dyDescent="0.25">
      <c r="B21" s="10">
        <v>2026</v>
      </c>
      <c r="C21" s="11">
        <f ca="1">'Normalized Annual Summary'!AE16</f>
        <v>332241096.63748759</v>
      </c>
      <c r="D21" s="16">
        <f ca="1">C21*E21</f>
        <v>843942.41947143327</v>
      </c>
      <c r="E21" s="26">
        <f>E20</f>
        <v>2.54015059549442E-3</v>
      </c>
      <c r="F21" s="128">
        <f>TREND($E$5:$E$14,$B$5:$B$14,B21)</f>
        <v>2.6358558186365746E-3</v>
      </c>
      <c r="G21" s="127">
        <f>'Total Additional-Lost Loads'!I18</f>
        <v>3250.2623660122435</v>
      </c>
      <c r="H21" s="126">
        <f ca="1">D21+G21</f>
        <v>847192.68183744547</v>
      </c>
      <c r="I21" s="126">
        <f>I20</f>
        <v>11717.31</v>
      </c>
      <c r="J21" s="126">
        <f t="shared" ca="1" si="13"/>
        <v>858909.99183744553</v>
      </c>
      <c r="L21" s="10">
        <v>2026</v>
      </c>
      <c r="M21" s="11">
        <f ca="1">'Normalized Annual Summary'!AT16</f>
        <v>81591070.490146488</v>
      </c>
      <c r="N21" s="16">
        <f ca="1">M21*O21</f>
        <v>193845.63501664603</v>
      </c>
      <c r="O21" s="26">
        <f>O20</f>
        <v>2.3758192391905948E-3</v>
      </c>
      <c r="P21" s="128">
        <f>TREND($O$5:$O$14,$L$5:$L$14,L21)</f>
        <v>2.3181193623552018E-3</v>
      </c>
      <c r="Q21" s="127">
        <f>'Total Additional-Lost Loads'!I19</f>
        <v>2147.5798078247972</v>
      </c>
      <c r="R21" s="126">
        <f ca="1">N21+Q21</f>
        <v>195993.21482447084</v>
      </c>
      <c r="U21" s="10">
        <v>2026</v>
      </c>
      <c r="V21" s="11">
        <f ca="1">'Normalized Annual Summary'!BC16</f>
        <v>35826019.64463947</v>
      </c>
      <c r="W21" s="16">
        <f ca="1">V21*X21</f>
        <v>79701.138001828702</v>
      </c>
      <c r="X21" s="26">
        <f>X20</f>
        <v>2.2246718667713935E-3</v>
      </c>
      <c r="Y21" s="128">
        <f>TREND($X$5:$X$14,$U$5:$U$14,U21)</f>
        <v>2.060437265536251E-3</v>
      </c>
      <c r="Z21" s="127">
        <f>'Total Additional-Lost Loads'!I20</f>
        <v>247.84319640483974</v>
      </c>
      <c r="AA21" s="126">
        <f ca="1">W21+Z21</f>
        <v>79948.981198233538</v>
      </c>
      <c r="AC21" s="10">
        <v>2026</v>
      </c>
      <c r="AD21" s="11">
        <f>'Normalized Annual Summary'!BK16</f>
        <v>4595142.2306357278</v>
      </c>
      <c r="AE21" s="16">
        <f>AD21*AF21</f>
        <v>13027.998510812127</v>
      </c>
      <c r="AF21" s="26">
        <f>AF20</f>
        <v>2.8351676307111244E-3</v>
      </c>
      <c r="AG21" s="17">
        <f>TREND($AG$7:$AG$14,$AC$7:$AC$14,AC21)</f>
        <v>2.8369861235399839E-3</v>
      </c>
      <c r="AI21" s="10"/>
      <c r="AJ21" s="11"/>
      <c r="AK21" s="16"/>
      <c r="AL21" s="10">
        <v>2026</v>
      </c>
      <c r="AM21" s="11">
        <f>'Normalized Annual Summary'!BQ16</f>
        <v>25474.399999999998</v>
      </c>
      <c r="AN21" s="16">
        <f>AM21*AO21</f>
        <v>77.82188857560908</v>
      </c>
      <c r="AO21" s="26">
        <f>AO20</f>
        <v>3.0549056533464613E-3</v>
      </c>
      <c r="AP21" s="17">
        <f>TREND($AP$7:$AP$14,$AL$7:$AL$14,AL21)</f>
        <v>2.8276730441923192E-3</v>
      </c>
      <c r="AR21" s="10"/>
      <c r="AS21" s="11"/>
      <c r="AT21" s="16"/>
    </row>
    <row r="23" spans="1:46" x14ac:dyDescent="0.25">
      <c r="A23" s="286"/>
      <c r="B23" s="286"/>
      <c r="C23" s="295" t="s">
        <v>396</v>
      </c>
      <c r="D23" s="22" t="s">
        <v>397</v>
      </c>
      <c r="E23" s="291" t="s">
        <v>453</v>
      </c>
      <c r="F23" s="286"/>
      <c r="G23" s="286"/>
      <c r="H23" s="286"/>
      <c r="I23" s="286"/>
      <c r="J23" s="286"/>
      <c r="K23" s="286"/>
      <c r="L23" s="286"/>
      <c r="M23" s="295" t="s">
        <v>396</v>
      </c>
      <c r="N23" s="22" t="s">
        <v>397</v>
      </c>
      <c r="O23" s="291" t="s">
        <v>453</v>
      </c>
      <c r="P23" s="286"/>
      <c r="Q23" s="286"/>
      <c r="R23" s="286"/>
      <c r="S23" s="286"/>
      <c r="T23" s="286"/>
      <c r="U23" s="286"/>
      <c r="V23" s="295" t="s">
        <v>396</v>
      </c>
      <c r="W23" s="22" t="s">
        <v>397</v>
      </c>
      <c r="X23" s="291" t="s">
        <v>453</v>
      </c>
      <c r="Y23" s="286"/>
      <c r="Z23" s="286"/>
      <c r="AA23" s="286"/>
      <c r="AB23" s="286"/>
      <c r="AC23" s="286"/>
      <c r="AD23" s="295" t="s">
        <v>396</v>
      </c>
      <c r="AE23" s="22" t="s">
        <v>397</v>
      </c>
      <c r="AF23" s="291" t="s">
        <v>453</v>
      </c>
      <c r="AL23" s="286"/>
      <c r="AM23" s="295" t="s">
        <v>396</v>
      </c>
      <c r="AN23" s="22" t="s">
        <v>397</v>
      </c>
      <c r="AO23" s="291" t="s">
        <v>453</v>
      </c>
    </row>
    <row r="24" spans="1:46" x14ac:dyDescent="0.25">
      <c r="A24" s="286" t="s">
        <v>454</v>
      </c>
      <c r="B24" s="286"/>
      <c r="C24" s="23">
        <f>C14/C10-1</f>
        <v>3.9886286613945332E-2</v>
      </c>
      <c r="D24" s="23">
        <f>D14/D10-1</f>
        <v>5.0379363109402941E-2</v>
      </c>
      <c r="E24" s="296">
        <f>D24-C24</f>
        <v>1.0493076495457609E-2</v>
      </c>
      <c r="F24" s="286"/>
      <c r="G24" s="286"/>
      <c r="H24" s="286"/>
      <c r="I24" s="286"/>
      <c r="J24" s="286"/>
      <c r="K24" s="286"/>
      <c r="L24" s="286"/>
      <c r="M24" s="23">
        <f>M14/M10-1</f>
        <v>0.15007267127536483</v>
      </c>
      <c r="N24" s="23">
        <f>N14/N10-1</f>
        <v>7.3565322634443708E-2</v>
      </c>
      <c r="O24" s="296">
        <f>N24-M24</f>
        <v>-7.6507348640921125E-2</v>
      </c>
      <c r="P24" s="286"/>
      <c r="Q24" s="286"/>
      <c r="R24" s="286"/>
      <c r="S24" s="286"/>
      <c r="T24" s="286"/>
      <c r="U24" s="286"/>
      <c r="V24" s="23">
        <f>V14/V10-1</f>
        <v>0.28961359696681499</v>
      </c>
      <c r="W24" s="23">
        <f>W14/W10-1</f>
        <v>0.13888104824708813</v>
      </c>
      <c r="X24" s="296">
        <f>W24-V24</f>
        <v>-0.15073254871972686</v>
      </c>
      <c r="Y24" s="286"/>
      <c r="Z24" s="286"/>
      <c r="AA24" s="286"/>
      <c r="AB24" s="286"/>
      <c r="AC24" s="286"/>
      <c r="AD24" s="23">
        <f>AD14/AD10-1</f>
        <v>3.2478700741807698E-2</v>
      </c>
      <c r="AE24" s="23">
        <f>AE14/AE10-1</f>
        <v>4.4063306478777209E-2</v>
      </c>
      <c r="AF24" s="296">
        <f>AE24-AD24</f>
        <v>1.1584605736969511E-2</v>
      </c>
      <c r="AL24" s="286"/>
      <c r="AM24" s="23">
        <f>AM14/AM10-1</f>
        <v>-0.16287621105612526</v>
      </c>
      <c r="AN24" s="23">
        <f>AN14/AN10-1</f>
        <v>-0.11764705882352944</v>
      </c>
      <c r="AO24" s="296">
        <f>AN24-AM24</f>
        <v>4.5229152232595826E-2</v>
      </c>
    </row>
    <row r="25" spans="1:46" x14ac:dyDescent="0.25">
      <c r="A25" s="286" t="s">
        <v>455</v>
      </c>
      <c r="B25" s="286"/>
      <c r="C25" s="23">
        <f>C14/C5-1</f>
        <v>-4.4034175592087332E-2</v>
      </c>
      <c r="D25" s="23">
        <f>D14/D5-1</f>
        <v>2.1603673327391881E-2</v>
      </c>
      <c r="E25" s="296">
        <f>D25-C25</f>
        <v>6.5637848919479214E-2</v>
      </c>
      <c r="F25" s="286"/>
      <c r="G25" s="286"/>
      <c r="H25" s="286"/>
      <c r="I25" s="286"/>
      <c r="J25" s="286"/>
      <c r="K25" s="286"/>
      <c r="L25" s="286"/>
      <c r="M25" s="23">
        <f>M14/M5-1</f>
        <v>3.0239633579927094E-3</v>
      </c>
      <c r="N25" s="23">
        <f>N14/N5-1</f>
        <v>-4.8892572735573792E-3</v>
      </c>
      <c r="O25" s="296">
        <f>N25-M25</f>
        <v>-7.9132206315500886E-3</v>
      </c>
      <c r="P25" s="286"/>
      <c r="Q25" s="286"/>
      <c r="R25" s="286"/>
      <c r="S25" s="286"/>
      <c r="T25" s="286"/>
      <c r="U25" s="286"/>
      <c r="V25" s="23">
        <f>V14/V5-1</f>
        <v>-5.3178675922863849E-2</v>
      </c>
      <c r="W25" s="23">
        <f>W14/W5-1</f>
        <v>-0.1350082596240304</v>
      </c>
      <c r="X25" s="296">
        <f>W25-V25</f>
        <v>-8.1829583701166553E-2</v>
      </c>
      <c r="Y25" s="286"/>
      <c r="Z25" s="286"/>
      <c r="AA25" s="286"/>
      <c r="AB25" s="286"/>
      <c r="AC25" s="286"/>
      <c r="AD25" s="23">
        <f>AD14/AD5-1</f>
        <v>-0.51103300854078992</v>
      </c>
      <c r="AE25" s="23">
        <f>AE14/AE5-1</f>
        <v>-0.50908533782748577</v>
      </c>
      <c r="AF25" s="296">
        <f>AE25-AD25</f>
        <v>1.9476707133041504E-3</v>
      </c>
      <c r="AL25" s="286"/>
      <c r="AM25" s="23">
        <f>AM14/AM5-1</f>
        <v>-0.17508710830511209</v>
      </c>
      <c r="AN25" s="23">
        <f>AN14/AN5-1</f>
        <v>-0.25</v>
      </c>
      <c r="AO25" s="296">
        <f>AN25-AM25</f>
        <v>-7.4912891694887906E-2</v>
      </c>
    </row>
    <row r="26" spans="1:46" x14ac:dyDescent="0.25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L26" s="286"/>
      <c r="AM26" s="286"/>
      <c r="AN26" s="286"/>
      <c r="AO26" s="286"/>
    </row>
    <row r="27" spans="1:46" x14ac:dyDescent="0.25">
      <c r="A27" s="286"/>
      <c r="B27" s="286"/>
      <c r="C27" s="286"/>
      <c r="D27" s="286" t="s">
        <v>456</v>
      </c>
      <c r="E27" s="286"/>
      <c r="F27" s="286"/>
      <c r="G27" s="286"/>
      <c r="H27" s="286"/>
      <c r="I27" s="286"/>
      <c r="J27" s="286"/>
      <c r="K27" s="286"/>
      <c r="L27" s="286"/>
      <c r="M27" s="286"/>
      <c r="N27" s="286" t="s">
        <v>456</v>
      </c>
      <c r="O27" s="286"/>
      <c r="P27" s="286"/>
      <c r="Q27" s="286"/>
      <c r="R27" s="286"/>
      <c r="S27" s="286"/>
      <c r="T27" s="286"/>
      <c r="U27" s="286"/>
      <c r="V27" s="286"/>
      <c r="W27" s="286" t="s">
        <v>456</v>
      </c>
      <c r="X27" s="286"/>
      <c r="Y27" s="286"/>
      <c r="Z27" s="286"/>
      <c r="AA27" s="286"/>
      <c r="AB27" s="286"/>
      <c r="AC27" s="286"/>
      <c r="AD27" s="286"/>
      <c r="AE27" s="286" t="s">
        <v>456</v>
      </c>
      <c r="AF27" s="286"/>
      <c r="AL27" s="286"/>
      <c r="AM27" s="286"/>
      <c r="AN27" s="286" t="s">
        <v>457</v>
      </c>
      <c r="AO27" s="286"/>
    </row>
    <row r="50" spans="5:5" x14ac:dyDescent="0.25">
      <c r="E50" s="259"/>
    </row>
  </sheetData>
  <mergeCells count="5">
    <mergeCell ref="AM2:AO2"/>
    <mergeCell ref="C2:E2"/>
    <mergeCell ref="AD2:AF2"/>
    <mergeCell ref="M2:O2"/>
    <mergeCell ref="V2:X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2:AS36"/>
  <sheetViews>
    <sheetView topLeftCell="A4" workbookViewId="0">
      <selection activeCell="AN19" sqref="AN19"/>
    </sheetView>
  </sheetViews>
  <sheetFormatPr defaultColWidth="9.33203125" defaultRowHeight="13.2" x14ac:dyDescent="0.25"/>
  <cols>
    <col min="1" max="1" width="9.33203125" style="1"/>
    <col min="2" max="2" width="9.44140625" style="1" bestFit="1" customWidth="1"/>
    <col min="3" max="3" width="17.5546875" style="1" bestFit="1" customWidth="1"/>
    <col min="4" max="4" width="15.33203125" style="1" customWidth="1"/>
    <col min="5" max="5" width="12.77734375" style="1" customWidth="1"/>
    <col min="6" max="6" width="11.44140625" style="1" bestFit="1" customWidth="1"/>
    <col min="7" max="10" width="11.33203125" style="1" customWidth="1"/>
    <col min="11" max="11" width="9.33203125" style="1"/>
    <col min="12" max="12" width="9.44140625" style="1" bestFit="1" customWidth="1"/>
    <col min="13" max="13" width="11.77734375" style="1" customWidth="1"/>
    <col min="14" max="14" width="9.44140625" style="1" bestFit="1" customWidth="1"/>
    <col min="15" max="16" width="9.88671875" style="1" bestFit="1" customWidth="1"/>
    <col min="17" max="18" width="9.44140625" style="1" bestFit="1" customWidth="1"/>
    <col min="19" max="20" width="9.33203125" style="1"/>
    <col min="21" max="21" width="9.44140625" style="1" bestFit="1" customWidth="1"/>
    <col min="22" max="22" width="14.5546875" style="1" bestFit="1" customWidth="1"/>
    <col min="23" max="23" width="9.44140625" style="1" bestFit="1" customWidth="1"/>
    <col min="24" max="25" width="9.88671875" style="1" bestFit="1" customWidth="1"/>
    <col min="26" max="27" width="9.44140625" style="1" bestFit="1" customWidth="1"/>
    <col min="28" max="28" width="9.33203125" style="1"/>
    <col min="29" max="29" width="9.44140625" style="1" bestFit="1" customWidth="1"/>
    <col min="30" max="30" width="14.6640625" style="1" customWidth="1"/>
    <col min="31" max="31" width="16.109375" style="1" customWidth="1"/>
    <col min="32" max="32" width="15.77734375" style="1" customWidth="1"/>
    <col min="33" max="33" width="11" style="1" customWidth="1"/>
    <col min="34" max="34" width="9.33203125" style="1"/>
    <col min="35" max="35" width="9.33203125" style="1" customWidth="1"/>
    <col min="36" max="36" width="9.33203125" style="1"/>
    <col min="37" max="38" width="9.44140625" style="1" bestFit="1" customWidth="1"/>
    <col min="39" max="39" width="13.5546875" style="1" bestFit="1" customWidth="1"/>
    <col min="40" max="40" width="19.21875" style="1" bestFit="1" customWidth="1"/>
    <col min="41" max="41" width="9.88671875" style="1" bestFit="1" customWidth="1"/>
    <col min="42" max="16384" width="9.33203125" style="1"/>
  </cols>
  <sheetData>
    <row r="2" spans="1:45" x14ac:dyDescent="0.25">
      <c r="C2" s="492" t="s">
        <v>458</v>
      </c>
      <c r="D2" s="492"/>
      <c r="E2" s="492"/>
      <c r="F2" s="265"/>
      <c r="G2" s="465" t="s">
        <v>549</v>
      </c>
      <c r="M2" s="492" t="s">
        <v>299</v>
      </c>
      <c r="N2" s="492"/>
      <c r="O2" s="492"/>
      <c r="P2" s="265"/>
      <c r="V2" s="492" t="s">
        <v>115</v>
      </c>
      <c r="W2" s="492"/>
      <c r="X2" s="492"/>
      <c r="Y2" s="265"/>
      <c r="AD2" s="492" t="s">
        <v>439</v>
      </c>
      <c r="AE2" s="492"/>
      <c r="AF2" s="492"/>
      <c r="AG2" s="265"/>
      <c r="AL2" s="492" t="s">
        <v>117</v>
      </c>
      <c r="AM2" s="492"/>
      <c r="AN2" s="492"/>
      <c r="AO2" s="265"/>
    </row>
    <row r="3" spans="1:45" x14ac:dyDescent="0.25">
      <c r="A3" s="13"/>
      <c r="B3" s="13"/>
      <c r="C3" s="157" t="s">
        <v>396</v>
      </c>
      <c r="D3" s="157" t="s">
        <v>397</v>
      </c>
      <c r="E3" s="157" t="s">
        <v>440</v>
      </c>
      <c r="F3" s="157" t="s">
        <v>441</v>
      </c>
      <c r="G3" s="157" t="s">
        <v>550</v>
      </c>
      <c r="H3" s="289"/>
      <c r="I3" s="289"/>
      <c r="J3" s="289"/>
      <c r="L3" s="13"/>
      <c r="M3" s="157" t="s">
        <v>396</v>
      </c>
      <c r="N3" s="157" t="s">
        <v>397</v>
      </c>
      <c r="O3" s="157" t="s">
        <v>440</v>
      </c>
      <c r="P3" s="157" t="s">
        <v>441</v>
      </c>
      <c r="Q3" s="289"/>
      <c r="R3" s="289"/>
      <c r="U3" s="13"/>
      <c r="V3" s="157" t="s">
        <v>396</v>
      </c>
      <c r="W3" s="157" t="s">
        <v>397</v>
      </c>
      <c r="X3" s="157" t="s">
        <v>440</v>
      </c>
      <c r="Y3" s="157" t="s">
        <v>441</v>
      </c>
      <c r="Z3" s="289"/>
      <c r="AA3" s="289"/>
      <c r="AC3" s="13"/>
      <c r="AD3" s="157" t="s">
        <v>396</v>
      </c>
      <c r="AE3" s="157" t="s">
        <v>397</v>
      </c>
      <c r="AF3" s="157" t="s">
        <v>440</v>
      </c>
      <c r="AG3" s="157" t="s">
        <v>441</v>
      </c>
      <c r="AI3" s="13"/>
      <c r="AJ3" s="289"/>
      <c r="AL3" s="157" t="s">
        <v>396</v>
      </c>
      <c r="AM3" s="157" t="s">
        <v>397</v>
      </c>
      <c r="AN3" s="157" t="s">
        <v>440</v>
      </c>
      <c r="AO3" s="157" t="s">
        <v>441</v>
      </c>
      <c r="AQ3" s="13"/>
      <c r="AR3" s="289"/>
      <c r="AS3" s="289"/>
    </row>
    <row r="4" spans="1:45" x14ac:dyDescent="0.25">
      <c r="A4" s="13"/>
      <c r="B4" s="13"/>
      <c r="C4" s="157" t="s">
        <v>303</v>
      </c>
      <c r="D4" s="157" t="s">
        <v>305</v>
      </c>
      <c r="E4" s="157" t="s">
        <v>442</v>
      </c>
      <c r="F4" s="157"/>
      <c r="G4" s="157" t="s">
        <v>551</v>
      </c>
      <c r="H4" s="289"/>
      <c r="I4" s="289"/>
      <c r="J4" s="289"/>
      <c r="L4" s="13"/>
      <c r="M4" s="157" t="s">
        <v>303</v>
      </c>
      <c r="N4" s="157" t="s">
        <v>305</v>
      </c>
      <c r="O4" s="157" t="s">
        <v>442</v>
      </c>
      <c r="P4" s="157"/>
      <c r="Q4" s="289"/>
      <c r="R4" s="289"/>
      <c r="U4" s="13"/>
      <c r="V4" s="157" t="s">
        <v>303</v>
      </c>
      <c r="W4" s="157" t="s">
        <v>305</v>
      </c>
      <c r="X4" s="157" t="s">
        <v>442</v>
      </c>
      <c r="Y4" s="157"/>
      <c r="Z4" s="289"/>
      <c r="AA4" s="289"/>
      <c r="AC4" s="13"/>
      <c r="AD4" s="157" t="s">
        <v>303</v>
      </c>
      <c r="AE4" s="157" t="s">
        <v>305</v>
      </c>
      <c r="AF4" s="157" t="s">
        <v>442</v>
      </c>
      <c r="AG4" s="157"/>
      <c r="AI4" s="13"/>
      <c r="AJ4" s="289"/>
      <c r="AL4" s="157" t="s">
        <v>303</v>
      </c>
      <c r="AM4" s="157" t="s">
        <v>305</v>
      </c>
      <c r="AN4" s="157" t="s">
        <v>442</v>
      </c>
      <c r="AO4" s="157"/>
      <c r="AQ4" s="13"/>
      <c r="AR4" s="289"/>
      <c r="AS4" s="289"/>
    </row>
    <row r="5" spans="1:45" x14ac:dyDescent="0.25">
      <c r="A5" s="286"/>
      <c r="B5" s="286">
        <v>2015</v>
      </c>
      <c r="C5" s="290">
        <f ca="1">'Normalized Annual Summary'!AE5</f>
        <v>330815436.45446718</v>
      </c>
      <c r="D5" s="290">
        <f t="shared" ref="D5:D14" ca="1" si="0">C5*E5</f>
        <v>838251.59646598832</v>
      </c>
      <c r="E5" s="291">
        <f>'kW Forecast'!E5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86">
        <v>2015</v>
      </c>
      <c r="AL5" s="290">
        <f>'Normalized Annual Summary'!BN5</f>
        <v>27388.346366584021</v>
      </c>
      <c r="AM5" s="290">
        <f>SUMIF('Monthly Data'!$B:$B,AK5,'Monthly Data'!AE:AE)</f>
        <v>100</v>
      </c>
      <c r="AN5" s="291">
        <f>AM5/AL5</f>
        <v>3.6511879418177659E-3</v>
      </c>
      <c r="AO5" s="292"/>
      <c r="AP5" s="292"/>
      <c r="AQ5" s="286"/>
      <c r="AR5" s="290"/>
      <c r="AS5" s="290"/>
    </row>
    <row r="6" spans="1:45" x14ac:dyDescent="0.25">
      <c r="A6" s="286"/>
      <c r="B6" s="286">
        <f t="shared" ref="B6:B14" si="4">B5+1</f>
        <v>2016</v>
      </c>
      <c r="C6" s="290">
        <f ca="1">'Normalized Annual Summary'!AE6</f>
        <v>331398637.06460929</v>
      </c>
      <c r="D6" s="290">
        <f t="shared" ca="1" si="0"/>
        <v>839610.0289898552</v>
      </c>
      <c r="E6" s="291">
        <f>'kW Forecast'!E6</f>
        <v>2.5335349488059761E-3</v>
      </c>
      <c r="F6" s="292">
        <f>AVERAGE(E5:E6)</f>
        <v>2.5337149987537202E-3</v>
      </c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>
        <f>AVERAGE(AF5:AF6)</f>
        <v>2.8302986818430978E-3</v>
      </c>
      <c r="AH6" s="292"/>
      <c r="AI6" s="286"/>
      <c r="AJ6" s="290"/>
      <c r="AK6" s="286">
        <f t="shared" ref="AK6:AK14" si="8">AK5+1</f>
        <v>2016</v>
      </c>
      <c r="AL6" s="290">
        <f>'Normalized Annual Summary'!BN6</f>
        <v>25737.974442113293</v>
      </c>
      <c r="AM6" s="290">
        <f>SUMIF('Monthly Data'!$B:$B,AK6,'Monthly Data'!AE:AE)</f>
        <v>85</v>
      </c>
      <c r="AN6" s="291">
        <f>AM6/AL6</f>
        <v>3.30251318693208E-3</v>
      </c>
      <c r="AO6" s="292"/>
      <c r="AP6" s="292"/>
      <c r="AQ6" s="286"/>
      <c r="AR6" s="290"/>
      <c r="AS6" s="290"/>
    </row>
    <row r="7" spans="1:45" x14ac:dyDescent="0.25">
      <c r="A7" s="286"/>
      <c r="B7" s="286">
        <f t="shared" si="4"/>
        <v>2017</v>
      </c>
      <c r="C7" s="290">
        <f ca="1">'Normalized Annual Summary'!AE7</f>
        <v>329801832.15272731</v>
      </c>
      <c r="D7" s="290">
        <f t="shared" ca="1" si="0"/>
        <v>784894.56466456468</v>
      </c>
      <c r="E7" s="291">
        <f>'kW Forecast'!E7</f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86">
        <f t="shared" si="8"/>
        <v>2017</v>
      </c>
      <c r="AL7" s="290">
        <f>'Normalized Annual Summary'!BN7</f>
        <v>25667.652107572001</v>
      </c>
      <c r="AM7" s="290">
        <f>SUMIF('Monthly Data'!$B:$B,AK7,'Monthly Data'!AE:AE)</f>
        <v>85</v>
      </c>
      <c r="AN7" s="291">
        <f>AM7/AL7</f>
        <v>3.3115611682661404E-3</v>
      </c>
      <c r="AO7" s="292">
        <f>AVERAGE(AN5:AN6)</f>
        <v>3.4768505643749227E-3</v>
      </c>
      <c r="AP7" s="292"/>
      <c r="AQ7" s="286"/>
      <c r="AR7" s="290"/>
      <c r="AS7" s="290"/>
    </row>
    <row r="8" spans="1:45" x14ac:dyDescent="0.25">
      <c r="A8" s="286"/>
      <c r="B8" s="286">
        <f t="shared" si="4"/>
        <v>2018</v>
      </c>
      <c r="C8" s="290">
        <f ca="1">'Normalized Annual Summary'!AE8</f>
        <v>329494692.25764823</v>
      </c>
      <c r="D8" s="290">
        <f t="shared" ca="1" si="0"/>
        <v>842261.70554582786</v>
      </c>
      <c r="E8" s="291">
        <f>'kW Forecast'!E8</f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86">
        <f t="shared" si="8"/>
        <v>2018</v>
      </c>
      <c r="AL8" s="290">
        <f>'Normalized Annual Summary'!BN8</f>
        <v>25647.396528704936</v>
      </c>
      <c r="AM8" s="290">
        <f>SUMIF('Monthly Data'!$B:$B,AK8,'Monthly Data'!AE:AE)</f>
        <v>85</v>
      </c>
      <c r="AN8" s="291">
        <f t="shared" ref="AN8:AN14" si="12">AM8/AL8</f>
        <v>3.314176544385968E-3</v>
      </c>
      <c r="AO8" s="292">
        <f>AVERAGE(AN6,AN8)</f>
        <v>3.308344865659024E-3</v>
      </c>
      <c r="AP8" s="292"/>
      <c r="AQ8" s="286"/>
      <c r="AR8" s="290"/>
      <c r="AS8" s="290"/>
    </row>
    <row r="9" spans="1:45" x14ac:dyDescent="0.25">
      <c r="A9" s="286"/>
      <c r="B9" s="286">
        <f t="shared" si="4"/>
        <v>2019</v>
      </c>
      <c r="C9" s="290">
        <f ca="1">'Normalized Annual Summary'!AE9</f>
        <v>330391328.13140881</v>
      </c>
      <c r="D9" s="290">
        <f t="shared" ca="1" si="0"/>
        <v>803797.3519814536</v>
      </c>
      <c r="E9" s="291">
        <f>'kW Forecast'!E9</f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86">
        <f t="shared" si="8"/>
        <v>2019</v>
      </c>
      <c r="AL9" s="290">
        <f>'Normalized Annual Summary'!BN9</f>
        <v>25815.827469006294</v>
      </c>
      <c r="AM9" s="290">
        <f>SUMIF('Monthly Data'!$B:$B,AK9,'Monthly Data'!AE:AE)</f>
        <v>85</v>
      </c>
      <c r="AN9" s="291">
        <f t="shared" si="12"/>
        <v>3.2925537677244102E-3</v>
      </c>
      <c r="AO9" s="292">
        <f>AVERAGE(AN8:AN9)</f>
        <v>3.3033651560551891E-3</v>
      </c>
      <c r="AP9" s="292"/>
      <c r="AQ9" s="286"/>
      <c r="AR9" s="290"/>
      <c r="AS9" s="290"/>
    </row>
    <row r="10" spans="1:45" x14ac:dyDescent="0.25">
      <c r="A10" s="286"/>
      <c r="B10" s="286">
        <f t="shared" si="4"/>
        <v>2020</v>
      </c>
      <c r="C10" s="290">
        <f ca="1">'Normalized Annual Summary'!AE10</f>
        <v>310949756.54078704</v>
      </c>
      <c r="D10" s="290">
        <f t="shared" ca="1" si="0"/>
        <v>833601.70400213555</v>
      </c>
      <c r="E10" s="291">
        <f>'kW Forecast'!E10</f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86">
        <f t="shared" si="8"/>
        <v>2020</v>
      </c>
      <c r="AL10" s="290">
        <f>'Normalized Annual Summary'!BN10</f>
        <v>26988.839999999997</v>
      </c>
      <c r="AM10" s="290">
        <f>SUMIF('Monthly Data'!$B:$B,AK10,'Monthly Data'!AE:AE)</f>
        <v>85</v>
      </c>
      <c r="AN10" s="291">
        <f t="shared" si="12"/>
        <v>3.1494499207820716E-3</v>
      </c>
      <c r="AO10" s="292">
        <f>AVERAGE(AN8,AN10)</f>
        <v>3.2318132325840198E-3</v>
      </c>
      <c r="AP10" s="292"/>
      <c r="AQ10" s="286"/>
      <c r="AR10" s="290"/>
      <c r="AS10" s="290"/>
    </row>
    <row r="11" spans="1:45" x14ac:dyDescent="0.25">
      <c r="A11" s="286"/>
      <c r="B11" s="286">
        <f t="shared" si="4"/>
        <v>2021</v>
      </c>
      <c r="C11" s="290">
        <f ca="1">'Normalized Annual Summary'!AE11</f>
        <v>313321853.80133212</v>
      </c>
      <c r="D11" s="290">
        <f t="shared" ca="1" si="0"/>
        <v>805920.51591404539</v>
      </c>
      <c r="E11" s="291">
        <f>'kW Forecast'!E11</f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86">
        <f t="shared" si="8"/>
        <v>2021</v>
      </c>
      <c r="AL11" s="290">
        <f>'Normalized Annual Summary'!BN11</f>
        <v>26915.1</v>
      </c>
      <c r="AM11" s="290">
        <f>SUMIF('Monthly Data'!$B:$B,AK11,'Monthly Data'!AE:AE)</f>
        <v>81</v>
      </c>
      <c r="AN11" s="291">
        <f t="shared" si="12"/>
        <v>3.0094630894925154E-3</v>
      </c>
      <c r="AO11" s="292">
        <f>AVERAGE(AN10:AN11)</f>
        <v>3.0794565051372935E-3</v>
      </c>
      <c r="AP11" s="292"/>
      <c r="AQ11" s="286"/>
      <c r="AR11" s="290"/>
      <c r="AS11" s="290"/>
    </row>
    <row r="12" spans="1:45" x14ac:dyDescent="0.25">
      <c r="A12" s="286"/>
      <c r="B12" s="286">
        <f t="shared" si="4"/>
        <v>2022</v>
      </c>
      <c r="C12" s="290">
        <f ca="1">'Normalized Annual Summary'!AE12</f>
        <v>322600059.29068702</v>
      </c>
      <c r="D12" s="290">
        <f t="shared" ca="1" si="0"/>
        <v>778669.66213086247</v>
      </c>
      <c r="E12" s="291">
        <f>'kW Forecast'!E12</f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86">
        <f t="shared" si="8"/>
        <v>2022</v>
      </c>
      <c r="AL12" s="290">
        <f>'Normalized Annual Summary'!BN12</f>
        <v>26915.1</v>
      </c>
      <c r="AM12" s="290">
        <f>SUMIF('Monthly Data'!$B:$B,AK12,'Monthly Data'!AE:AE)</f>
        <v>79</v>
      </c>
      <c r="AN12" s="291">
        <f t="shared" si="12"/>
        <v>2.935155358887762E-3</v>
      </c>
      <c r="AO12" s="292">
        <f>AVERAGE(AN10,AN12)</f>
        <v>3.042302639834917E-3</v>
      </c>
      <c r="AP12" s="292"/>
      <c r="AQ12" s="286"/>
      <c r="AR12" s="290"/>
      <c r="AS12" s="290"/>
    </row>
    <row r="13" spans="1:45" x14ac:dyDescent="0.25">
      <c r="A13" s="286"/>
      <c r="B13" s="286">
        <f t="shared" si="4"/>
        <v>2023</v>
      </c>
      <c r="C13" s="290">
        <f ca="1">'Normalized Annual Summary'!AE13</f>
        <v>330636830.21801919</v>
      </c>
      <c r="D13" s="290">
        <f t="shared" ca="1" si="0"/>
        <v>856508.04121724796</v>
      </c>
      <c r="E13" s="291">
        <f>'kW Forecast'!E13</f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86">
        <f t="shared" si="8"/>
        <v>2023</v>
      </c>
      <c r="AL13" s="290">
        <f>'Normalized Annual Summary'!BN13</f>
        <v>26915.1</v>
      </c>
      <c r="AM13" s="290">
        <f>SUMIF('Monthly Data'!$B:$B,AK13,'Monthly Data'!AE:AE)</f>
        <v>77</v>
      </c>
      <c r="AN13" s="291">
        <f t="shared" si="12"/>
        <v>2.8608476282830086E-3</v>
      </c>
      <c r="AO13" s="292">
        <f>AVERAGE(AN12:AN13)</f>
        <v>2.8980014935853851E-3</v>
      </c>
      <c r="AP13" s="292"/>
      <c r="AQ13" s="286"/>
      <c r="AR13" s="290"/>
      <c r="AS13" s="290"/>
    </row>
    <row r="14" spans="1:45" x14ac:dyDescent="0.25">
      <c r="A14" s="286"/>
      <c r="B14" s="286">
        <f t="shared" si="4"/>
        <v>2024</v>
      </c>
      <c r="C14" s="290">
        <f ca="1">'Normalized Annual Summary'!AE14</f>
        <v>330668073.25240904</v>
      </c>
      <c r="D14" s="290">
        <f t="shared" ca="1" si="0"/>
        <v>895407.99315738608</v>
      </c>
      <c r="E14" s="291">
        <f>'kW Forecast'!E14</f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AVERAGE(AF13:AF14)</f>
        <v>2.8447486564279526E-3</v>
      </c>
      <c r="AH14" s="292"/>
      <c r="AI14" s="286"/>
      <c r="AJ14" s="290"/>
      <c r="AK14" s="286">
        <f t="shared" si="8"/>
        <v>2024</v>
      </c>
      <c r="AL14" s="290">
        <f>'Normalized Annual Summary'!BN14</f>
        <v>22593</v>
      </c>
      <c r="AM14" s="290">
        <f>SUMIF('Monthly Data'!$B:$B,AK14,'Monthly Data'!AE:AE)</f>
        <v>75</v>
      </c>
      <c r="AN14" s="291">
        <f t="shared" si="12"/>
        <v>3.3196122692869473E-3</v>
      </c>
      <c r="AO14" s="292">
        <f>AVERAGE(AN12,AN14)</f>
        <v>3.1273838140873549E-3</v>
      </c>
      <c r="AP14" s="292"/>
      <c r="AQ14" s="286"/>
      <c r="AR14" s="290"/>
      <c r="AS14" s="290"/>
    </row>
    <row r="15" spans="1:45" x14ac:dyDescent="0.25"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K15" s="286"/>
      <c r="AL15" s="290"/>
      <c r="AM15" s="290"/>
      <c r="AN15" s="291"/>
      <c r="AO15" s="292"/>
      <c r="AP15" s="292"/>
      <c r="AQ15" s="286"/>
      <c r="AR15" s="290"/>
      <c r="AS15" s="290"/>
    </row>
    <row r="16" spans="1:45" ht="39.6" x14ac:dyDescent="0.25">
      <c r="B16" s="286"/>
      <c r="C16" s="286" t="s">
        <v>443</v>
      </c>
      <c r="D16" s="293" t="s">
        <v>444</v>
      </c>
      <c r="E16" s="1" t="s">
        <v>445</v>
      </c>
      <c r="F16" s="1" t="s">
        <v>459</v>
      </c>
      <c r="G16" s="1" t="s">
        <v>421</v>
      </c>
      <c r="H16" s="232" t="s">
        <v>547</v>
      </c>
      <c r="I16" s="463" t="s">
        <v>542</v>
      </c>
      <c r="J16" s="232" t="s">
        <v>548</v>
      </c>
      <c r="L16" s="286"/>
      <c r="M16" s="286" t="s">
        <v>443</v>
      </c>
      <c r="N16" s="293" t="s">
        <v>444</v>
      </c>
      <c r="O16" s="1" t="s">
        <v>445</v>
      </c>
      <c r="P16" s="1" t="s">
        <v>446</v>
      </c>
      <c r="Q16" s="1" t="s">
        <v>424</v>
      </c>
      <c r="R16" s="1" t="s">
        <v>447</v>
      </c>
      <c r="U16" s="286"/>
      <c r="V16" s="286" t="s">
        <v>443</v>
      </c>
      <c r="W16" s="293" t="s">
        <v>444</v>
      </c>
      <c r="X16" s="1" t="s">
        <v>445</v>
      </c>
      <c r="Y16" s="1" t="s">
        <v>446</v>
      </c>
      <c r="Z16" s="1" t="s">
        <v>424</v>
      </c>
      <c r="AA16" s="1" t="s">
        <v>447</v>
      </c>
      <c r="AC16" s="286"/>
      <c r="AD16" s="286" t="s">
        <v>443</v>
      </c>
      <c r="AE16" s="293" t="s">
        <v>444</v>
      </c>
      <c r="AF16" s="1" t="s">
        <v>445</v>
      </c>
      <c r="AG16" s="1" t="s">
        <v>448</v>
      </c>
      <c r="AI16" s="286"/>
      <c r="AJ16" s="286"/>
      <c r="AK16" s="286"/>
      <c r="AL16" s="286" t="s">
        <v>443</v>
      </c>
      <c r="AM16" s="293" t="s">
        <v>444</v>
      </c>
      <c r="AN16" s="1" t="s">
        <v>445</v>
      </c>
      <c r="AO16" s="1" t="s">
        <v>448</v>
      </c>
      <c r="AQ16" s="286"/>
      <c r="AR16" s="286"/>
      <c r="AS16" s="291"/>
    </row>
    <row r="17" spans="1:45" x14ac:dyDescent="0.25">
      <c r="B17" s="13"/>
      <c r="C17" s="13" t="s">
        <v>309</v>
      </c>
      <c r="D17" s="14" t="s">
        <v>449</v>
      </c>
      <c r="E17" s="15" t="s">
        <v>313</v>
      </c>
      <c r="F17" s="15" t="s">
        <v>429</v>
      </c>
      <c r="G17" s="15" t="s">
        <v>450</v>
      </c>
      <c r="H17" s="294" t="s">
        <v>451</v>
      </c>
      <c r="I17" s="294" t="s">
        <v>353</v>
      </c>
      <c r="J17" s="294" t="s">
        <v>546</v>
      </c>
      <c r="L17" s="13"/>
      <c r="M17" s="13" t="s">
        <v>309</v>
      </c>
      <c r="N17" s="14" t="s">
        <v>449</v>
      </c>
      <c r="O17" s="15" t="s">
        <v>313</v>
      </c>
      <c r="P17" s="294" t="s">
        <v>429</v>
      </c>
      <c r="Q17" s="294" t="s">
        <v>450</v>
      </c>
      <c r="R17" s="294" t="s">
        <v>451</v>
      </c>
      <c r="U17" s="13"/>
      <c r="V17" s="13" t="s">
        <v>309</v>
      </c>
      <c r="W17" s="14" t="s">
        <v>449</v>
      </c>
      <c r="X17" s="15" t="s">
        <v>313</v>
      </c>
      <c r="Y17" s="294" t="s">
        <v>429</v>
      </c>
      <c r="Z17" s="294" t="s">
        <v>450</v>
      </c>
      <c r="AA17" s="294" t="s">
        <v>451</v>
      </c>
      <c r="AC17" s="13"/>
      <c r="AD17" s="13" t="s">
        <v>309</v>
      </c>
      <c r="AE17" s="14" t="s">
        <v>452</v>
      </c>
      <c r="AF17" s="15" t="s">
        <v>313</v>
      </c>
      <c r="AG17" s="1" t="s">
        <v>429</v>
      </c>
      <c r="AI17" s="13"/>
      <c r="AJ17" s="13"/>
      <c r="AK17" s="13"/>
      <c r="AL17" s="13" t="s">
        <v>309</v>
      </c>
      <c r="AM17" s="14" t="s">
        <v>452</v>
      </c>
      <c r="AN17" s="15" t="s">
        <v>313</v>
      </c>
      <c r="AO17" s="294" t="s">
        <v>429</v>
      </c>
      <c r="AQ17" s="13"/>
      <c r="AR17" s="13"/>
      <c r="AS17" s="14"/>
    </row>
    <row r="18" spans="1:45" x14ac:dyDescent="0.25">
      <c r="B18" s="10">
        <v>2015</v>
      </c>
      <c r="C18" s="11">
        <f ca="1">'Normalized Annual Summary'!AE5</f>
        <v>330815436.45446718</v>
      </c>
      <c r="D18" s="16">
        <f t="shared" ref="D18:D29" ca="1" si="13">C18*E18</f>
        <v>840321.02790856129</v>
      </c>
      <c r="E18" s="26">
        <f>AVERAGE(E5:E14)</f>
        <v>2.54015059549442E-3</v>
      </c>
      <c r="F18" s="128">
        <f t="shared" ref="F18:F29" si="14">TREND($E$5:$E$14,$B$5:$B$14,B18)</f>
        <v>2.4738931333190793E-3</v>
      </c>
      <c r="G18" s="27"/>
      <c r="H18" s="126">
        <f ca="1">D18+G18</f>
        <v>840321.02790856129</v>
      </c>
      <c r="I18" s="126">
        <f>SUMIFS('Monthly Data'!DM:DM,'Monthly Data'!B:B,B18)</f>
        <v>0</v>
      </c>
      <c r="J18" s="126">
        <f ca="1">H18+I18</f>
        <v>840321.02790856129</v>
      </c>
      <c r="L18" s="10">
        <v>2015</v>
      </c>
      <c r="M18" s="11">
        <f ca="1">'Normalized Annual Summary'!AT5</f>
        <v>82865540.461772874</v>
      </c>
      <c r="N18" s="16">
        <f t="shared" ref="N18:N25" ca="1" si="15">M18*O18</f>
        <v>196873.54529500668</v>
      </c>
      <c r="O18" s="26">
        <f>AVERAGE(O5:O14)</f>
        <v>2.3758192391905948E-3</v>
      </c>
      <c r="P18" s="128">
        <f t="shared" ref="P18:P25" si="16">TREND($O$5:$O$14,$L$5:$L$14,L18)</f>
        <v>2.4157653077689425E-3</v>
      </c>
      <c r="Q18" s="27"/>
      <c r="R18" s="126">
        <f t="shared" ref="R18:R25" ca="1" si="17">N18+Q18</f>
        <v>196873.54529500668</v>
      </c>
      <c r="U18" s="10">
        <v>2015</v>
      </c>
      <c r="V18" s="11">
        <f ca="1">'Normalized Annual Summary'!BC5</f>
        <v>41136839.603501953</v>
      </c>
      <c r="W18" s="16">
        <f t="shared" ref="W18:W25" ca="1" si="18">V18*X18</f>
        <v>91515.969753798083</v>
      </c>
      <c r="X18" s="26">
        <f>AVERAGE(X5:X14)</f>
        <v>2.2246718667713935E-3</v>
      </c>
      <c r="Y18" s="128">
        <f t="shared" ref="Y18:Y25" si="19">TREND($X$5:$X$14,$U$5:$U$14,U18)</f>
        <v>2.3383727445495661E-3</v>
      </c>
      <c r="Z18" s="127"/>
      <c r="AA18" s="126">
        <f t="shared" ref="AA18:AA25" ca="1" si="20">W18+Z18</f>
        <v>91515.969753798083</v>
      </c>
      <c r="AC18" s="10">
        <v>2015</v>
      </c>
      <c r="AD18" s="11">
        <f>'Normalized Annual Summary'!BK5</f>
        <v>9200437</v>
      </c>
      <c r="AE18" s="16">
        <f t="shared" ref="AE18:AE29" si="21">AD18*AF18</f>
        <v>26084.781170796967</v>
      </c>
      <c r="AF18" s="26">
        <f>AVERAGE(AF5:AF14)</f>
        <v>2.8351676307111244E-3</v>
      </c>
      <c r="AG18" s="17">
        <f t="shared" ref="AG18:AG29" si="22">TREND($AG$7:$AG$14,$AC$7:$AC$14,AC18)</f>
        <v>2.8416700889649068E-3</v>
      </c>
      <c r="AI18" s="13"/>
      <c r="AJ18" s="13"/>
      <c r="AK18" s="10">
        <v>2015</v>
      </c>
      <c r="AL18" s="11">
        <f>'Normalized Annual Summary'!BQ5</f>
        <v>27388.346366584021</v>
      </c>
      <c r="AM18" s="16">
        <f t="shared" ref="AM18:AM25" si="23">AL18*AN18</f>
        <v>83.66881415108854</v>
      </c>
      <c r="AN18" s="26">
        <f>AVERAGE(AN10:AN14)</f>
        <v>3.0549056533464613E-3</v>
      </c>
      <c r="AO18" s="17">
        <f t="shared" ref="AO18:AO25" si="24">TREND($AO$7:$AO$14,$AK$7:$AK$14,AK18)</f>
        <v>3.5392065236372616E-3</v>
      </c>
    </row>
    <row r="19" spans="1:45" x14ac:dyDescent="0.25">
      <c r="B19" s="10">
        <v>2016</v>
      </c>
      <c r="C19" s="11">
        <f ca="1">'Normalized Annual Summary'!AE6</f>
        <v>331398637.06460929</v>
      </c>
      <c r="D19" s="16">
        <f t="shared" ca="1" si="13"/>
        <v>841802.44528570643</v>
      </c>
      <c r="E19" s="26">
        <f t="shared" ref="E19:E26" si="25">E18</f>
        <v>2.54015059549442E-3</v>
      </c>
      <c r="F19" s="128">
        <f t="shared" si="14"/>
        <v>2.4886170138024889E-3</v>
      </c>
      <c r="G19" s="27"/>
      <c r="H19" s="126">
        <f ca="1">D19+G19</f>
        <v>841802.44528570643</v>
      </c>
      <c r="I19" s="126">
        <f>SUMIFS('Monthly Data'!DM:DM,'Monthly Data'!B:B,B19)</f>
        <v>0</v>
      </c>
      <c r="J19" s="126">
        <f t="shared" ref="J19:J29" ca="1" si="26">H19+I19</f>
        <v>841802.44528570643</v>
      </c>
      <c r="L19" s="10">
        <v>2016</v>
      </c>
      <c r="M19" s="11">
        <f ca="1">'Normalized Annual Summary'!AT6</f>
        <v>80011562.442332551</v>
      </c>
      <c r="N19" s="16">
        <f t="shared" ca="1" si="15"/>
        <v>190093.00940819329</v>
      </c>
      <c r="O19" s="26">
        <f t="shared" ref="O19:O26" si="27">O18</f>
        <v>2.3758192391905948E-3</v>
      </c>
      <c r="P19" s="128">
        <f t="shared" si="16"/>
        <v>2.4068884036404226E-3</v>
      </c>
      <c r="Q19" s="127"/>
      <c r="R19" s="126">
        <f t="shared" ca="1" si="17"/>
        <v>190093.00940819329</v>
      </c>
      <c r="U19" s="10">
        <v>2016</v>
      </c>
      <c r="V19" s="11">
        <f ca="1">'Normalized Annual Summary'!BC6</f>
        <v>40716784.192698166</v>
      </c>
      <c r="W19" s="16">
        <f t="shared" ca="1" si="18"/>
        <v>90581.484298897791</v>
      </c>
      <c r="X19" s="26">
        <f t="shared" ref="X19:X26" si="28">X18</f>
        <v>2.2246718667713935E-3</v>
      </c>
      <c r="Y19" s="128">
        <f t="shared" si="19"/>
        <v>2.3131058828210829E-3</v>
      </c>
      <c r="Z19" s="127"/>
      <c r="AA19" s="126">
        <f t="shared" ca="1" si="20"/>
        <v>90581.484298897791</v>
      </c>
      <c r="AC19" s="10">
        <v>2016</v>
      </c>
      <c r="AD19" s="11">
        <f>'Normalized Annual Summary'!BK6</f>
        <v>9395991</v>
      </c>
      <c r="AE19" s="16">
        <f t="shared" si="21"/>
        <v>26639.209541653046</v>
      </c>
      <c r="AF19" s="26">
        <f t="shared" ref="AF19:AF26" si="29">AF18</f>
        <v>2.8351676307111244E-3</v>
      </c>
      <c r="AG19" s="17">
        <f t="shared" si="22"/>
        <v>2.8412690986270805E-3</v>
      </c>
      <c r="AI19" s="13"/>
      <c r="AJ19" s="13"/>
      <c r="AK19" s="10">
        <v>2016</v>
      </c>
      <c r="AL19" s="11">
        <f>'Normalized Annual Summary'!BQ6</f>
        <v>25737.974442113293</v>
      </c>
      <c r="AM19" s="16">
        <f t="shared" si="23"/>
        <v>78.627083628898632</v>
      </c>
      <c r="AN19" s="26">
        <f t="shared" ref="AN19:AN26" si="30">AN18</f>
        <v>3.0549056533464613E-3</v>
      </c>
      <c r="AO19" s="17">
        <f t="shared" si="24"/>
        <v>3.4745216618695396E-3</v>
      </c>
    </row>
    <row r="20" spans="1:45" x14ac:dyDescent="0.25">
      <c r="B20" s="10">
        <v>2017</v>
      </c>
      <c r="C20" s="11">
        <f ca="1">'Normalized Annual Summary'!AE7</f>
        <v>329801832.15272731</v>
      </c>
      <c r="D20" s="16">
        <f t="shared" ca="1" si="13"/>
        <v>837746.32033790101</v>
      </c>
      <c r="E20" s="26">
        <f t="shared" si="25"/>
        <v>2.54015059549442E-3</v>
      </c>
      <c r="F20" s="128">
        <f t="shared" si="14"/>
        <v>2.5033408942858985E-3</v>
      </c>
      <c r="G20" s="27"/>
      <c r="H20" s="126">
        <f ca="1">D20+G20</f>
        <v>837746.32033790101</v>
      </c>
      <c r="I20" s="126">
        <f>SUMIFS('Monthly Data'!DM:DM,'Monthly Data'!B:B,B20)</f>
        <v>12793.669999999998</v>
      </c>
      <c r="J20" s="126">
        <f t="shared" ca="1" si="26"/>
        <v>850539.99033790105</v>
      </c>
      <c r="L20" s="10">
        <v>2017</v>
      </c>
      <c r="M20" s="11">
        <f ca="1">'Normalized Annual Summary'!AT7</f>
        <v>79381758.521771416</v>
      </c>
      <c r="N20" s="16">
        <f t="shared" ca="1" si="15"/>
        <v>188596.70913680649</v>
      </c>
      <c r="O20" s="26">
        <f t="shared" si="27"/>
        <v>2.3758192391905948E-3</v>
      </c>
      <c r="P20" s="128">
        <f t="shared" si="16"/>
        <v>2.3980114995118991E-3</v>
      </c>
      <c r="Q20" s="27"/>
      <c r="R20" s="126">
        <f t="shared" ca="1" si="17"/>
        <v>188596.70913680649</v>
      </c>
      <c r="U20" s="10">
        <v>2017</v>
      </c>
      <c r="V20" s="11">
        <f ca="1">'Normalized Annual Summary'!BC7</f>
        <v>40206623.472441524</v>
      </c>
      <c r="W20" s="16">
        <f t="shared" ca="1" si="18"/>
        <v>89446.544097011007</v>
      </c>
      <c r="X20" s="26">
        <f t="shared" si="28"/>
        <v>2.2246718667713935E-3</v>
      </c>
      <c r="Y20" s="128">
        <f t="shared" si="19"/>
        <v>2.2878390210925997E-3</v>
      </c>
      <c r="Z20" s="27"/>
      <c r="AA20" s="126">
        <f t="shared" ca="1" si="20"/>
        <v>89446.544097011007</v>
      </c>
      <c r="AC20" s="10">
        <v>2017</v>
      </c>
      <c r="AD20" s="11">
        <f>'Normalized Annual Summary'!BK7</f>
        <v>4988073.9999999991</v>
      </c>
      <c r="AE20" s="16">
        <f t="shared" si="21"/>
        <v>14142.025944391758</v>
      </c>
      <c r="AF20" s="26">
        <f t="shared" si="29"/>
        <v>2.8351676307111244E-3</v>
      </c>
      <c r="AG20" s="17">
        <f t="shared" si="22"/>
        <v>2.8408681082892542E-3</v>
      </c>
      <c r="AI20" s="13"/>
      <c r="AJ20" s="13"/>
      <c r="AK20" s="10">
        <v>2017</v>
      </c>
      <c r="AL20" s="11">
        <f>'Normalized Annual Summary'!BQ7</f>
        <v>25667.652107572001</v>
      </c>
      <c r="AM20" s="16">
        <f t="shared" si="23"/>
        <v>78.412255531551921</v>
      </c>
      <c r="AN20" s="26">
        <f t="shared" si="30"/>
        <v>3.0549056533464613E-3</v>
      </c>
      <c r="AO20" s="17">
        <f t="shared" si="24"/>
        <v>3.4098368001018176E-3</v>
      </c>
    </row>
    <row r="21" spans="1:45" x14ac:dyDescent="0.25">
      <c r="B21" s="10">
        <v>2018</v>
      </c>
      <c r="C21" s="11">
        <f ca="1">'Normalized Annual Summary'!AE8</f>
        <v>329494692.25764823</v>
      </c>
      <c r="D21" s="16">
        <f ca="1">C21*E21</f>
        <v>836966.13875051576</v>
      </c>
      <c r="E21" s="26">
        <f t="shared" si="25"/>
        <v>2.54015059549442E-3</v>
      </c>
      <c r="F21" s="128">
        <f t="shared" si="14"/>
        <v>2.5180647747693047E-3</v>
      </c>
      <c r="G21" s="27"/>
      <c r="H21" s="126">
        <f ca="1">D21+G21</f>
        <v>836966.13875051576</v>
      </c>
      <c r="I21" s="126">
        <f>SUMIFS('Monthly Data'!DM:DM,'Monthly Data'!B:B,B21)</f>
        <v>13219.050000000001</v>
      </c>
      <c r="J21" s="126">
        <f t="shared" ca="1" si="26"/>
        <v>850185.18875051581</v>
      </c>
      <c r="L21" s="10">
        <v>2018</v>
      </c>
      <c r="M21" s="11">
        <f ca="1">'Normalized Annual Summary'!AT8</f>
        <v>80358755.283868641</v>
      </c>
      <c r="N21" s="16">
        <f t="shared" ca="1" si="15"/>
        <v>190917.87684082397</v>
      </c>
      <c r="O21" s="26">
        <f t="shared" si="27"/>
        <v>2.3758192391905948E-3</v>
      </c>
      <c r="P21" s="128">
        <f t="shared" si="16"/>
        <v>2.3891345953833791E-3</v>
      </c>
      <c r="Q21" s="127"/>
      <c r="R21" s="126">
        <f t="shared" ca="1" si="17"/>
        <v>190917.87684082397</v>
      </c>
      <c r="U21" s="10">
        <v>2018</v>
      </c>
      <c r="V21" s="11">
        <f ca="1">'Normalized Annual Summary'!BC8</f>
        <v>39663375.793481179</v>
      </c>
      <c r="W21" s="16">
        <f t="shared" ca="1" si="18"/>
        <v>88237.996268939067</v>
      </c>
      <c r="X21" s="26">
        <f t="shared" si="28"/>
        <v>2.2246718667713935E-3</v>
      </c>
      <c r="Y21" s="128">
        <f t="shared" si="19"/>
        <v>2.2625721593641165E-3</v>
      </c>
      <c r="Z21" s="127"/>
      <c r="AA21" s="126">
        <f t="shared" ca="1" si="20"/>
        <v>88237.996268939067</v>
      </c>
      <c r="AC21" s="10">
        <v>2018</v>
      </c>
      <c r="AD21" s="11">
        <f>'Normalized Annual Summary'!BK8</f>
        <v>4221567</v>
      </c>
      <c r="AE21" s="16">
        <f t="shared" si="21"/>
        <v>11968.85010927827</v>
      </c>
      <c r="AF21" s="26">
        <f t="shared" si="29"/>
        <v>2.8351676307111244E-3</v>
      </c>
      <c r="AG21" s="17">
        <f t="shared" si="22"/>
        <v>2.8404671179514279E-3</v>
      </c>
      <c r="AI21" s="13"/>
      <c r="AJ21" s="13"/>
      <c r="AK21" s="10">
        <v>2018</v>
      </c>
      <c r="AL21" s="11">
        <f>'Normalized Annual Summary'!BQ8</f>
        <v>25647.396528704936</v>
      </c>
      <c r="AM21" s="16">
        <f t="shared" si="23"/>
        <v>78.350376649159116</v>
      </c>
      <c r="AN21" s="26">
        <f t="shared" si="30"/>
        <v>3.0549056533464613E-3</v>
      </c>
      <c r="AO21" s="17">
        <f t="shared" si="24"/>
        <v>3.3451519383340955E-3</v>
      </c>
    </row>
    <row r="22" spans="1:45" x14ac:dyDescent="0.25">
      <c r="B22" s="10">
        <v>2019</v>
      </c>
      <c r="C22" s="11">
        <f ca="1">'Normalized Annual Summary'!AE9</f>
        <v>330391328.13140881</v>
      </c>
      <c r="D22" s="16">
        <f t="shared" ca="1" si="13"/>
        <v>839243.72889919044</v>
      </c>
      <c r="E22" s="26">
        <f t="shared" si="25"/>
        <v>2.54015059549442E-3</v>
      </c>
      <c r="F22" s="128">
        <f t="shared" si="14"/>
        <v>2.5327886552527143E-3</v>
      </c>
      <c r="G22" s="27"/>
      <c r="H22" s="126">
        <f t="shared" ref="H22:H26" ca="1" si="31">D22+G22</f>
        <v>839243.72889919044</v>
      </c>
      <c r="I22" s="126">
        <f>SUMIFS('Monthly Data'!DM:DM,'Monthly Data'!B:B,B22)</f>
        <v>12465.470000000001</v>
      </c>
      <c r="J22" s="126">
        <f t="shared" ca="1" si="26"/>
        <v>851709.19889919041</v>
      </c>
      <c r="L22" s="10">
        <v>2019</v>
      </c>
      <c r="M22" s="11">
        <f ca="1">'Normalized Annual Summary'!AT9</f>
        <v>80374098.104640603</v>
      </c>
      <c r="N22" s="16">
        <f t="shared" ca="1" si="15"/>
        <v>190954.32860959746</v>
      </c>
      <c r="O22" s="26">
        <f t="shared" si="27"/>
        <v>2.3758192391905948E-3</v>
      </c>
      <c r="P22" s="128">
        <f t="shared" si="16"/>
        <v>2.3802576912548556E-3</v>
      </c>
      <c r="Q22" s="27"/>
      <c r="R22" s="126">
        <f t="shared" ca="1" si="17"/>
        <v>190954.32860959746</v>
      </c>
      <c r="U22" s="10">
        <v>2019</v>
      </c>
      <c r="V22" s="11">
        <f ca="1">'Normalized Annual Summary'!BC9</f>
        <v>39143150.653065212</v>
      </c>
      <c r="W22" s="16">
        <f t="shared" ca="1" si="18"/>
        <v>87080.66603466848</v>
      </c>
      <c r="X22" s="26">
        <f t="shared" si="28"/>
        <v>2.2246718667713935E-3</v>
      </c>
      <c r="Y22" s="128">
        <f t="shared" si="19"/>
        <v>2.2373052976356333E-3</v>
      </c>
      <c r="Z22" s="127"/>
      <c r="AA22" s="126">
        <f t="shared" ca="1" si="20"/>
        <v>87080.66603466848</v>
      </c>
      <c r="AC22" s="10">
        <v>2019</v>
      </c>
      <c r="AD22" s="11">
        <f>'Normalized Annual Summary'!BK9</f>
        <v>4294351.9999999991</v>
      </c>
      <c r="AE22" s="16">
        <f t="shared" si="21"/>
        <v>12175.207785279576</v>
      </c>
      <c r="AF22" s="26">
        <f t="shared" si="29"/>
        <v>2.8351676307111244E-3</v>
      </c>
      <c r="AG22" s="17">
        <f t="shared" si="22"/>
        <v>2.8400661276136016E-3</v>
      </c>
      <c r="AI22" s="10"/>
      <c r="AJ22" s="11"/>
      <c r="AK22" s="10">
        <v>2019</v>
      </c>
      <c r="AL22" s="11">
        <f>'Normalized Annual Summary'!BQ9</f>
        <v>25815.827469006294</v>
      </c>
      <c r="AM22" s="16">
        <f t="shared" si="23"/>
        <v>78.864917280884185</v>
      </c>
      <c r="AN22" s="26">
        <f t="shared" si="30"/>
        <v>3.0549056533464613E-3</v>
      </c>
      <c r="AO22" s="17">
        <f t="shared" si="24"/>
        <v>3.2804670765663735E-3</v>
      </c>
    </row>
    <row r="23" spans="1:45" x14ac:dyDescent="0.25">
      <c r="B23" s="10">
        <v>2020</v>
      </c>
      <c r="C23" s="11">
        <f ca="1">'Normalized Annual Summary'!AE10</f>
        <v>310949756.54078704</v>
      </c>
      <c r="D23" s="16">
        <f t="shared" ca="1" si="13"/>
        <v>789859.20924592507</v>
      </c>
      <c r="E23" s="26">
        <f t="shared" si="25"/>
        <v>2.54015059549442E-3</v>
      </c>
      <c r="F23" s="128">
        <f t="shared" si="14"/>
        <v>2.5475125357361239E-3</v>
      </c>
      <c r="G23" s="27"/>
      <c r="H23" s="126">
        <f t="shared" ca="1" si="31"/>
        <v>789859.20924592507</v>
      </c>
      <c r="I23" s="126">
        <f>SUMIFS('Monthly Data'!DM:DM,'Monthly Data'!B:B,B23)</f>
        <v>12746.87</v>
      </c>
      <c r="J23" s="126">
        <f t="shared" ca="1" si="26"/>
        <v>802606.07924592507</v>
      </c>
      <c r="L23" s="10">
        <v>2020</v>
      </c>
      <c r="M23" s="11">
        <f ca="1">'Normalized Annual Summary'!AT10</f>
        <v>70970308.051682234</v>
      </c>
      <c r="N23" s="16">
        <f t="shared" ca="1" si="15"/>
        <v>168612.62328046982</v>
      </c>
      <c r="O23" s="26">
        <f t="shared" si="27"/>
        <v>2.3758192391905948E-3</v>
      </c>
      <c r="P23" s="128">
        <f t="shared" si="16"/>
        <v>2.3713807871263322E-3</v>
      </c>
      <c r="Q23" s="127"/>
      <c r="R23" s="126">
        <f t="shared" ca="1" si="17"/>
        <v>168612.62328046982</v>
      </c>
      <c r="U23" s="10">
        <v>2020</v>
      </c>
      <c r="V23" s="11">
        <f ca="1">'Normalized Annual Summary'!BC10</f>
        <v>34494178.539770007</v>
      </c>
      <c r="W23" s="16">
        <f t="shared" ca="1" si="18"/>
        <v>76738.228564815887</v>
      </c>
      <c r="X23" s="26">
        <f t="shared" si="28"/>
        <v>2.2246718667713935E-3</v>
      </c>
      <c r="Y23" s="128">
        <f t="shared" si="19"/>
        <v>2.2120384359071502E-3</v>
      </c>
      <c r="Z23" s="27"/>
      <c r="AA23" s="126">
        <f t="shared" ca="1" si="20"/>
        <v>76738.228564815887</v>
      </c>
      <c r="AC23" s="10">
        <v>2020</v>
      </c>
      <c r="AD23" s="11">
        <f>'Normalized Annual Summary'!BK10</f>
        <v>4357194.0000000009</v>
      </c>
      <c r="AE23" s="16">
        <f t="shared" si="21"/>
        <v>12353.37538952873</v>
      </c>
      <c r="AF23" s="26">
        <f t="shared" si="29"/>
        <v>2.8351676307111244E-3</v>
      </c>
      <c r="AG23" s="17">
        <f t="shared" si="22"/>
        <v>2.8396651372757753E-3</v>
      </c>
      <c r="AI23" s="10"/>
      <c r="AJ23" s="11"/>
      <c r="AK23" s="10">
        <v>2020</v>
      </c>
      <c r="AL23" s="11">
        <f>'Normalized Annual Summary'!BQ10</f>
        <v>26988.839999999997</v>
      </c>
      <c r="AM23" s="16">
        <f t="shared" si="23"/>
        <v>82.448359893263103</v>
      </c>
      <c r="AN23" s="26">
        <f t="shared" si="30"/>
        <v>3.0549056533464613E-3</v>
      </c>
      <c r="AO23" s="17">
        <f t="shared" si="24"/>
        <v>3.2157822147986515E-3</v>
      </c>
    </row>
    <row r="24" spans="1:45" x14ac:dyDescent="0.25">
      <c r="B24" s="10">
        <v>2021</v>
      </c>
      <c r="C24" s="11">
        <f ca="1">'Normalized Annual Summary'!AE11</f>
        <v>313321853.80133212</v>
      </c>
      <c r="D24" s="16">
        <f t="shared" ca="1" si="13"/>
        <v>795884.69351486932</v>
      </c>
      <c r="E24" s="26">
        <f t="shared" si="25"/>
        <v>2.54015059549442E-3</v>
      </c>
      <c r="F24" s="128">
        <f t="shared" si="14"/>
        <v>2.56223641621953E-3</v>
      </c>
      <c r="G24" s="27"/>
      <c r="H24" s="126">
        <f t="shared" ca="1" si="31"/>
        <v>795884.69351486932</v>
      </c>
      <c r="I24" s="126">
        <f>SUMIFS('Monthly Data'!DM:DM,'Monthly Data'!B:B,B24)</f>
        <v>12275.619999999999</v>
      </c>
      <c r="J24" s="126">
        <f t="shared" ca="1" si="26"/>
        <v>808160.31351486931</v>
      </c>
      <c r="L24" s="10">
        <v>2021</v>
      </c>
      <c r="M24" s="11">
        <f ca="1">'Normalized Annual Summary'!AT11</f>
        <v>71394980.440309331</v>
      </c>
      <c r="N24" s="16">
        <f t="shared" ca="1" si="15"/>
        <v>169621.56811172311</v>
      </c>
      <c r="O24" s="26">
        <f t="shared" si="27"/>
        <v>2.3758192391905948E-3</v>
      </c>
      <c r="P24" s="128">
        <f t="shared" si="16"/>
        <v>2.3625038829978122E-3</v>
      </c>
      <c r="Q24" s="27"/>
      <c r="R24" s="126">
        <f t="shared" ca="1" si="17"/>
        <v>169621.56811172311</v>
      </c>
      <c r="U24" s="10">
        <v>2021</v>
      </c>
      <c r="V24" s="11">
        <f ca="1">'Normalized Annual Summary'!BC11</f>
        <v>34327512.306018122</v>
      </c>
      <c r="W24" s="16">
        <f t="shared" ca="1" si="18"/>
        <v>76367.450883447324</v>
      </c>
      <c r="X24" s="26">
        <f t="shared" si="28"/>
        <v>2.2246718667713935E-3</v>
      </c>
      <c r="Y24" s="128">
        <f t="shared" si="19"/>
        <v>2.186771574178667E-3</v>
      </c>
      <c r="Z24" s="127"/>
      <c r="AA24" s="126">
        <f t="shared" ca="1" si="20"/>
        <v>76367.450883447324</v>
      </c>
      <c r="AC24" s="10">
        <v>2021</v>
      </c>
      <c r="AD24" s="11">
        <f>'Normalized Annual Summary'!BK11</f>
        <v>4352366.9999999981</v>
      </c>
      <c r="AE24" s="16">
        <f t="shared" si="21"/>
        <v>12339.690035375279</v>
      </c>
      <c r="AF24" s="26">
        <f t="shared" si="29"/>
        <v>2.8351676307111244E-3</v>
      </c>
      <c r="AG24" s="17">
        <f t="shared" si="22"/>
        <v>2.839264146937949E-3</v>
      </c>
      <c r="AI24" s="10"/>
      <c r="AJ24" s="11"/>
      <c r="AK24" s="10">
        <v>2021</v>
      </c>
      <c r="AL24" s="11">
        <f>'Normalized Annual Summary'!BQ11</f>
        <v>26915.1</v>
      </c>
      <c r="AM24" s="16">
        <f t="shared" si="23"/>
        <v>82.223091150385329</v>
      </c>
      <c r="AN24" s="26">
        <f t="shared" si="30"/>
        <v>3.0549056533464613E-3</v>
      </c>
      <c r="AO24" s="17">
        <f t="shared" si="24"/>
        <v>3.1510973530309294E-3</v>
      </c>
    </row>
    <row r="25" spans="1:45" x14ac:dyDescent="0.25">
      <c r="B25" s="10">
        <v>2022</v>
      </c>
      <c r="C25" s="11">
        <f ca="1">'Normalized Annual Summary'!AE12</f>
        <v>322600059.29068702</v>
      </c>
      <c r="D25" s="16">
        <f t="shared" ca="1" si="13"/>
        <v>819452.73271377385</v>
      </c>
      <c r="E25" s="26">
        <f t="shared" si="25"/>
        <v>2.54015059549442E-3</v>
      </c>
      <c r="F25" s="128">
        <f t="shared" si="14"/>
        <v>2.5769602967029397E-3</v>
      </c>
      <c r="G25" s="27"/>
      <c r="H25" s="126">
        <f t="shared" ca="1" si="31"/>
        <v>819452.73271377385</v>
      </c>
      <c r="I25" s="126">
        <f>SUMIFS('Monthly Data'!DM:DM,'Monthly Data'!B:B,B25)</f>
        <v>11967.370000000003</v>
      </c>
      <c r="J25" s="126">
        <f t="shared" ca="1" si="26"/>
        <v>831420.10271377384</v>
      </c>
      <c r="L25" s="10">
        <v>2022</v>
      </c>
      <c r="M25" s="11">
        <f ca="1">'Normalized Annual Summary'!AT12</f>
        <v>77235901.918604329</v>
      </c>
      <c r="N25" s="16">
        <f t="shared" ca="1" si="15"/>
        <v>183498.54173445795</v>
      </c>
      <c r="O25" s="26">
        <f t="shared" si="27"/>
        <v>2.3758192391905948E-3</v>
      </c>
      <c r="P25" s="128">
        <f t="shared" si="16"/>
        <v>2.3536269788692887E-3</v>
      </c>
      <c r="Q25" s="127"/>
      <c r="R25" s="126">
        <f t="shared" ca="1" si="17"/>
        <v>183498.54173445795</v>
      </c>
      <c r="U25" s="10">
        <v>2022</v>
      </c>
      <c r="V25" s="11">
        <f ca="1">'Normalized Annual Summary'!BC12</f>
        <v>35702555.923387952</v>
      </c>
      <c r="W25" s="16">
        <f t="shared" ca="1" si="18"/>
        <v>79426.47173459355</v>
      </c>
      <c r="X25" s="26">
        <f t="shared" si="28"/>
        <v>2.2246718667713935E-3</v>
      </c>
      <c r="Y25" s="128">
        <f t="shared" si="19"/>
        <v>2.1615047124501838E-3</v>
      </c>
      <c r="Z25" s="127">
        <f>'Total Additional-Lost Loads'!H17</f>
        <v>0</v>
      </c>
      <c r="AA25" s="126">
        <f t="shared" ca="1" si="20"/>
        <v>79426.47173459355</v>
      </c>
      <c r="AC25" s="10">
        <v>2022</v>
      </c>
      <c r="AD25" s="11">
        <f>'Normalized Annual Summary'!BK12</f>
        <v>4432743</v>
      </c>
      <c r="AE25" s="16">
        <f t="shared" si="21"/>
        <v>12567.569468861322</v>
      </c>
      <c r="AF25" s="26">
        <f t="shared" si="29"/>
        <v>2.8351676307111244E-3</v>
      </c>
      <c r="AG25" s="17">
        <f t="shared" si="22"/>
        <v>2.8388631566001227E-3</v>
      </c>
      <c r="AI25" s="10"/>
      <c r="AJ25" s="11"/>
      <c r="AK25" s="10">
        <v>2022</v>
      </c>
      <c r="AL25" s="11">
        <f>'Normalized Annual Summary'!BQ12</f>
        <v>26915.1</v>
      </c>
      <c r="AM25" s="16">
        <f t="shared" si="23"/>
        <v>82.223091150385329</v>
      </c>
      <c r="AN25" s="26">
        <f t="shared" si="30"/>
        <v>3.0549056533464613E-3</v>
      </c>
      <c r="AO25" s="17">
        <f t="shared" si="24"/>
        <v>3.0864124912632074E-3</v>
      </c>
    </row>
    <row r="26" spans="1:45" x14ac:dyDescent="0.25">
      <c r="B26" s="10">
        <v>2023</v>
      </c>
      <c r="C26" s="11">
        <f ca="1">'Normalized Annual Summary'!AE13</f>
        <v>330636830.21801919</v>
      </c>
      <c r="D26" s="16">
        <f t="shared" ca="1" si="13"/>
        <v>839867.34117068886</v>
      </c>
      <c r="E26" s="26">
        <f t="shared" si="25"/>
        <v>2.54015059549442E-3</v>
      </c>
      <c r="F26" s="128">
        <f t="shared" si="14"/>
        <v>2.5916841771863493E-3</v>
      </c>
      <c r="G26" s="27"/>
      <c r="H26" s="126">
        <f t="shared" ca="1" si="31"/>
        <v>839867.34117068886</v>
      </c>
      <c r="I26" s="126">
        <f>SUMIFS('Monthly Data'!DM:DM,'Monthly Data'!B:B,B26)</f>
        <v>11850.900000000001</v>
      </c>
      <c r="J26" s="126">
        <f t="shared" ca="1" si="26"/>
        <v>851718.24117068888</v>
      </c>
      <c r="L26" s="10">
        <v>2023</v>
      </c>
      <c r="M26" s="11">
        <f ca="1">'Normalized Annual Summary'!AT13</f>
        <v>80563761.373952091</v>
      </c>
      <c r="N26" s="16">
        <f ca="1">M26*O26</f>
        <v>191404.93425379548</v>
      </c>
      <c r="O26" s="26">
        <f t="shared" si="27"/>
        <v>2.3758192391905948E-3</v>
      </c>
      <c r="P26" s="128">
        <f>TREND($O$5:$O$14,$L$5:$L$14,L26)</f>
        <v>2.3447500747407687E-3</v>
      </c>
      <c r="Q26" s="27"/>
      <c r="R26" s="126">
        <f ca="1">N26+Q26</f>
        <v>191404.93425379548</v>
      </c>
      <c r="U26" s="10">
        <v>2023</v>
      </c>
      <c r="V26" s="11">
        <f ca="1">'Normalized Annual Summary'!BC13</f>
        <v>37272893.983256243</v>
      </c>
      <c r="W26" s="16">
        <f ca="1">V26*X26</f>
        <v>82919.958637702905</v>
      </c>
      <c r="X26" s="26">
        <f t="shared" si="28"/>
        <v>2.2246718667713935E-3</v>
      </c>
      <c r="Y26" s="128">
        <f>TREND($X$5:$X$14,$U$5:$U$14,U26)</f>
        <v>2.1362378507217006E-3</v>
      </c>
      <c r="Z26" s="27"/>
      <c r="AA26" s="126">
        <f ca="1">W26+Z26</f>
        <v>82919.958637702905</v>
      </c>
      <c r="AC26" s="10">
        <v>2023</v>
      </c>
      <c r="AD26" s="11">
        <f>'Normalized Annual Summary'!BK13</f>
        <v>4495190.04</v>
      </c>
      <c r="AE26" s="16">
        <f t="shared" si="21"/>
        <v>12744.617295303044</v>
      </c>
      <c r="AF26" s="26">
        <f t="shared" si="29"/>
        <v>2.8351676307111244E-3</v>
      </c>
      <c r="AG26" s="17">
        <f t="shared" si="22"/>
        <v>2.8384621662622964E-3</v>
      </c>
      <c r="AI26" s="10"/>
      <c r="AJ26" s="11"/>
      <c r="AK26" s="10">
        <v>2023</v>
      </c>
      <c r="AL26" s="11">
        <f>'Normalized Annual Summary'!BQ13</f>
        <v>26915.1</v>
      </c>
      <c r="AM26" s="16">
        <f>AL26*AN26</f>
        <v>82.223091150385329</v>
      </c>
      <c r="AN26" s="26">
        <f t="shared" si="30"/>
        <v>3.0549056533464613E-3</v>
      </c>
      <c r="AO26" s="17">
        <f>TREND($AO$7:$AO$14,$AK$7:$AK$14,AK26)</f>
        <v>3.0217276294954853E-3</v>
      </c>
      <c r="AQ26" s="13"/>
      <c r="AR26" s="13"/>
      <c r="AS26" s="14"/>
    </row>
    <row r="27" spans="1:45" x14ac:dyDescent="0.25">
      <c r="B27" s="10">
        <v>2024</v>
      </c>
      <c r="C27" s="11">
        <f ca="1">'Normalized Annual Summary'!AE14</f>
        <v>330668073.25240904</v>
      </c>
      <c r="D27" s="16">
        <f t="shared" ca="1" si="13"/>
        <v>839946.70318309928</v>
      </c>
      <c r="E27" s="26">
        <f>E26</f>
        <v>2.54015059549442E-3</v>
      </c>
      <c r="F27" s="128">
        <f t="shared" si="14"/>
        <v>2.6064080576697554E-3</v>
      </c>
      <c r="G27" s="127"/>
      <c r="H27" s="126">
        <f ca="1">D27+G27</f>
        <v>839946.70318309928</v>
      </c>
      <c r="I27" s="126">
        <f>SUMIFS('Monthly Data'!DM:DM,'Monthly Data'!B:B,B27)</f>
        <v>11717.31</v>
      </c>
      <c r="J27" s="126">
        <f t="shared" ca="1" si="26"/>
        <v>851664.01318309933</v>
      </c>
      <c r="L27" s="10">
        <v>2024</v>
      </c>
      <c r="M27" s="11">
        <f ca="1">'Normalized Annual Summary'!AT14</f>
        <v>79972313.529479399</v>
      </c>
      <c r="N27" s="16">
        <f ca="1">M27*O27</f>
        <v>189999.76108591945</v>
      </c>
      <c r="O27" s="26">
        <f>O26</f>
        <v>2.3758192391905948E-3</v>
      </c>
      <c r="P27" s="128">
        <f>TREND($O$5:$O$14,$L$5:$L$14,L27)</f>
        <v>2.3358731706122453E-3</v>
      </c>
      <c r="Q27" s="127"/>
      <c r="R27" s="126">
        <f ca="1">N27+Q27</f>
        <v>189999.76108591945</v>
      </c>
      <c r="U27" s="10">
        <v>2024</v>
      </c>
      <c r="V27" s="11">
        <f ca="1">'Normalized Annual Summary'!BC14</f>
        <v>36750440.935227141</v>
      </c>
      <c r="W27" s="16">
        <f ca="1">V27*X27</f>
        <v>81757.672040043602</v>
      </c>
      <c r="X27" s="26">
        <f>X26</f>
        <v>2.2246718667713935E-3</v>
      </c>
      <c r="Y27" s="128">
        <f>TREND($X$5:$X$14,$U$5:$U$14,U27)</f>
        <v>2.1109709889932174E-3</v>
      </c>
      <c r="Z27" s="127"/>
      <c r="AA27" s="126">
        <f ca="1">W27+Z27</f>
        <v>81757.672040043602</v>
      </c>
      <c r="AC27" s="10">
        <v>2024</v>
      </c>
      <c r="AD27" s="11">
        <f>'Normalized Annual Summary'!BK14</f>
        <v>4498710.0000000009</v>
      </c>
      <c r="AE27" s="16">
        <f t="shared" si="21"/>
        <v>12754.596971956445</v>
      </c>
      <c r="AF27" s="26">
        <f>AF26</f>
        <v>2.8351676307111244E-3</v>
      </c>
      <c r="AG27" s="17">
        <f t="shared" si="22"/>
        <v>2.8380611759244705E-3</v>
      </c>
      <c r="AI27" s="10"/>
      <c r="AJ27" s="11"/>
      <c r="AK27" s="10">
        <v>2024</v>
      </c>
      <c r="AL27" s="11">
        <f>'Normalized Annual Summary'!BQ14</f>
        <v>22593</v>
      </c>
      <c r="AM27" s="16">
        <f>AL27*AN27</f>
        <v>69.019483426056595</v>
      </c>
      <c r="AN27" s="26">
        <f>AN26</f>
        <v>3.0549056533464613E-3</v>
      </c>
      <c r="AO27" s="17">
        <f>TREND($AO$7:$AO$14,$AK$7:$AK$14,AK27)</f>
        <v>2.9570427677277633E-3</v>
      </c>
      <c r="AQ27" s="10"/>
      <c r="AR27" s="11"/>
      <c r="AS27" s="16"/>
    </row>
    <row r="28" spans="1:45" x14ac:dyDescent="0.25">
      <c r="B28" s="10">
        <v>2025</v>
      </c>
      <c r="C28" s="11">
        <f ca="1">'Normalized Annual Summary'!AE15</f>
        <v>331207455.05772609</v>
      </c>
      <c r="D28" s="16">
        <f t="shared" ca="1" si="13"/>
        <v>841316.81419707427</v>
      </c>
      <c r="E28" s="26">
        <f>E27</f>
        <v>2.54015059549442E-3</v>
      </c>
      <c r="F28" s="128">
        <f t="shared" si="14"/>
        <v>2.621131938153165E-3</v>
      </c>
      <c r="G28" s="127">
        <f>'Total Additional-Lost Loads'!H18+'Total Additional-Lost Loads'!H28</f>
        <v>1467.7808657887438</v>
      </c>
      <c r="H28" s="126">
        <f ca="1">D28+G28</f>
        <v>842784.59506286297</v>
      </c>
      <c r="I28" s="126">
        <f>I27</f>
        <v>11717.31</v>
      </c>
      <c r="J28" s="126">
        <f t="shared" ca="1" si="26"/>
        <v>854501.90506286302</v>
      </c>
      <c r="L28" s="10">
        <v>2025</v>
      </c>
      <c r="M28" s="11">
        <f ca="1">'Normalized Annual Summary'!AT15</f>
        <v>81054511.108828157</v>
      </c>
      <c r="N28" s="16">
        <f ca="1">M28*O28</f>
        <v>192570.86691554173</v>
      </c>
      <c r="O28" s="26">
        <f>O27</f>
        <v>2.3758192391905948E-3</v>
      </c>
      <c r="P28" s="128">
        <f>TREND($O$5:$O$14,$L$5:$L$14,L28)</f>
        <v>2.3269962664837218E-3</v>
      </c>
      <c r="Q28" s="127">
        <f>'Total Additional-Lost Loads'!H19</f>
        <v>953.05548030267232</v>
      </c>
      <c r="R28" s="126">
        <f ca="1">N28+Q28</f>
        <v>193523.92239584439</v>
      </c>
      <c r="U28" s="10">
        <v>2025</v>
      </c>
      <c r="V28" s="11">
        <f ca="1">'Normalized Annual Summary'!BC15</f>
        <v>36234332.850474231</v>
      </c>
      <c r="W28" s="16">
        <f ca="1">V28*X28</f>
        <v>80609.500903680528</v>
      </c>
      <c r="X28" s="26">
        <f>X27</f>
        <v>2.2246718667713935E-3</v>
      </c>
      <c r="Y28" s="128">
        <f>TREND($X$5:$X$14,$U$5:$U$14,U28)</f>
        <v>2.0857041272647342E-3</v>
      </c>
      <c r="Z28" s="127">
        <f>'Total Additional-Lost Loads'!H20</f>
        <v>117.61139009465856</v>
      </c>
      <c r="AA28" s="126">
        <f ca="1">W28+Z28</f>
        <v>80727.112293775193</v>
      </c>
      <c r="AC28" s="10">
        <v>2025</v>
      </c>
      <c r="AD28" s="11">
        <f>'Normalized Annual Summary'!BK15</f>
        <v>4533005.3102651397</v>
      </c>
      <c r="AE28" s="16">
        <f t="shared" si="21"/>
        <v>12851.829925505361</v>
      </c>
      <c r="AF28" s="26">
        <f>AF27</f>
        <v>2.8351676307111244E-3</v>
      </c>
      <c r="AG28" s="17">
        <f t="shared" si="22"/>
        <v>2.8376601855866438E-3</v>
      </c>
      <c r="AI28" s="10"/>
      <c r="AJ28" s="11"/>
      <c r="AK28" s="10">
        <v>2025</v>
      </c>
      <c r="AL28" s="11">
        <f>'Normalized Annual Summary'!BQ15</f>
        <v>25474.399999999998</v>
      </c>
      <c r="AM28" s="16">
        <f>AL28*AN28</f>
        <v>77.82188857560908</v>
      </c>
      <c r="AN28" s="26">
        <f>AN27</f>
        <v>3.0549056533464613E-3</v>
      </c>
      <c r="AO28" s="17">
        <f>TREND($AO$7:$AO$14,$AK$7:$AK$14,AK28)</f>
        <v>2.8923579059600413E-3</v>
      </c>
      <c r="AQ28" s="10"/>
      <c r="AR28" s="11"/>
      <c r="AS28" s="16"/>
    </row>
    <row r="29" spans="1:45" x14ac:dyDescent="0.25">
      <c r="B29" s="10">
        <v>2026</v>
      </c>
      <c r="C29" s="11">
        <f ca="1">'Normalized Annual Summary'!AE16</f>
        <v>332241096.63748759</v>
      </c>
      <c r="D29" s="16">
        <f t="shared" ca="1" si="13"/>
        <v>843942.41947143327</v>
      </c>
      <c r="E29" s="26">
        <f>E28</f>
        <v>2.54015059549442E-3</v>
      </c>
      <c r="F29" s="128">
        <f t="shared" si="14"/>
        <v>2.6358558186365746E-3</v>
      </c>
      <c r="G29" s="127">
        <f>'Total Additional-Lost Loads'!I18+'Total Additional-Lost Loads'!I28</f>
        <v>3250.2623660122435</v>
      </c>
      <c r="H29" s="126">
        <f ca="1">D29+G29</f>
        <v>847192.68183744547</v>
      </c>
      <c r="I29" s="126">
        <f>I28</f>
        <v>11717.31</v>
      </c>
      <c r="J29" s="126">
        <f t="shared" ca="1" si="26"/>
        <v>858909.99183744553</v>
      </c>
      <c r="L29" s="10">
        <v>2026</v>
      </c>
      <c r="M29" s="11">
        <f ca="1">'Normalized Annual Summary'!AT16</f>
        <v>81591070.490146488</v>
      </c>
      <c r="N29" s="16">
        <f ca="1">M29*O29</f>
        <v>193845.63501664603</v>
      </c>
      <c r="O29" s="26">
        <f>O28</f>
        <v>2.3758192391905948E-3</v>
      </c>
      <c r="P29" s="128">
        <f>TREND($O$5:$O$14,$L$5:$L$14,L29)</f>
        <v>2.3181193623552018E-3</v>
      </c>
      <c r="Q29" s="127">
        <f>'Total Additional-Lost Loads'!I19</f>
        <v>2147.5798078247972</v>
      </c>
      <c r="R29" s="126">
        <f ca="1">N29+Q29</f>
        <v>195993.21482447084</v>
      </c>
      <c r="U29" s="10">
        <v>2026</v>
      </c>
      <c r="V29" s="11">
        <f ca="1">'Normalized Annual Summary'!BC16</f>
        <v>35826019.64463947</v>
      </c>
      <c r="W29" s="16">
        <f ca="1">V29*X29</f>
        <v>79701.138001828702</v>
      </c>
      <c r="X29" s="26">
        <f>X28</f>
        <v>2.2246718667713935E-3</v>
      </c>
      <c r="Y29" s="128">
        <f>TREND($X$5:$X$14,$U$5:$U$14,U29)</f>
        <v>2.060437265536251E-3</v>
      </c>
      <c r="Z29" s="127">
        <f>'Total Additional-Lost Loads'!I20</f>
        <v>247.84319640483974</v>
      </c>
      <c r="AA29" s="126">
        <f ca="1">W29+Z29</f>
        <v>79948.981198233538</v>
      </c>
      <c r="AC29" s="10">
        <v>2026</v>
      </c>
      <c r="AD29" s="11">
        <f>'Normalized Annual Summary'!BK16</f>
        <v>4595142.2306357278</v>
      </c>
      <c r="AE29" s="16">
        <f t="shared" si="21"/>
        <v>13027.998510812127</v>
      </c>
      <c r="AF29" s="26">
        <f>AF28</f>
        <v>2.8351676307111244E-3</v>
      </c>
      <c r="AG29" s="17">
        <f t="shared" si="22"/>
        <v>2.8372591952488179E-3</v>
      </c>
      <c r="AI29" s="10"/>
      <c r="AJ29" s="11"/>
      <c r="AK29" s="10">
        <v>2026</v>
      </c>
      <c r="AL29" s="11">
        <f>'Normalized Annual Summary'!BQ16</f>
        <v>25474.399999999998</v>
      </c>
      <c r="AM29" s="16">
        <f>AL29*AN29</f>
        <v>77.82188857560908</v>
      </c>
      <c r="AN29" s="26">
        <f>AN28</f>
        <v>3.0549056533464613E-3</v>
      </c>
      <c r="AO29" s="17">
        <f>TREND($AO$7:$AO$14,$AK$7:$AK$14,AK29)</f>
        <v>2.8276730441923192E-3</v>
      </c>
      <c r="AQ29" s="10"/>
      <c r="AR29" s="11"/>
      <c r="AS29" s="16"/>
    </row>
    <row r="30" spans="1:45" x14ac:dyDescent="0.25">
      <c r="B30" s="10"/>
      <c r="C30" s="11"/>
      <c r="D30" s="16"/>
      <c r="E30" s="17"/>
      <c r="F30" s="27"/>
      <c r="G30" s="27"/>
      <c r="H30" s="27"/>
      <c r="I30" s="27"/>
      <c r="J30" s="27"/>
      <c r="AC30" s="10"/>
      <c r="AD30" s="11"/>
      <c r="AE30" s="16"/>
      <c r="AF30" s="26"/>
      <c r="AG30" s="17"/>
      <c r="AI30" s="10"/>
      <c r="AJ30" s="11"/>
    </row>
    <row r="31" spans="1:45" x14ac:dyDescent="0.25">
      <c r="K31" s="286"/>
      <c r="L31" s="286"/>
      <c r="M31" s="295" t="s">
        <v>396</v>
      </c>
      <c r="N31" s="22" t="s">
        <v>397</v>
      </c>
      <c r="O31" s="291" t="s">
        <v>453</v>
      </c>
      <c r="P31" s="286"/>
      <c r="Q31" s="286"/>
      <c r="R31" s="286"/>
      <c r="S31" s="286"/>
      <c r="T31" s="286"/>
      <c r="U31" s="286"/>
      <c r="V31" s="295" t="s">
        <v>396</v>
      </c>
      <c r="W31" s="22" t="s">
        <v>397</v>
      </c>
      <c r="X31" s="291" t="s">
        <v>453</v>
      </c>
      <c r="Y31" s="286"/>
      <c r="Z31" s="286"/>
      <c r="AA31" s="286"/>
      <c r="AB31" s="286"/>
      <c r="AK31" s="286"/>
      <c r="AL31" s="295" t="s">
        <v>396</v>
      </c>
      <c r="AM31" s="22" t="s">
        <v>397</v>
      </c>
      <c r="AN31" s="291" t="s">
        <v>453</v>
      </c>
    </row>
    <row r="32" spans="1:45" x14ac:dyDescent="0.25">
      <c r="A32" s="286"/>
      <c r="B32" s="286"/>
      <c r="C32" s="295" t="s">
        <v>396</v>
      </c>
      <c r="D32" s="22" t="s">
        <v>397</v>
      </c>
      <c r="E32" s="291" t="s">
        <v>453</v>
      </c>
      <c r="F32" s="286"/>
      <c r="G32" s="286"/>
      <c r="H32" s="286"/>
      <c r="I32" s="286"/>
      <c r="J32" s="286"/>
      <c r="K32" s="286"/>
      <c r="L32" s="286"/>
      <c r="M32" s="23">
        <f>M14/M10-1</f>
        <v>0.15007267127536483</v>
      </c>
      <c r="N32" s="23">
        <f>N14/N10-1</f>
        <v>7.3565322634443708E-2</v>
      </c>
      <c r="O32" s="296">
        <f>N32-M32</f>
        <v>-7.6507348640921125E-2</v>
      </c>
      <c r="P32" s="286"/>
      <c r="Q32" s="286"/>
      <c r="R32" s="286"/>
      <c r="S32" s="286"/>
      <c r="T32" s="286"/>
      <c r="U32" s="286"/>
      <c r="V32" s="23">
        <f>V14/V10-1</f>
        <v>0.28961359696681499</v>
      </c>
      <c r="W32" s="23">
        <f>W14/W10-1</f>
        <v>0.13888104824708813</v>
      </c>
      <c r="X32" s="296">
        <f>W32-V32</f>
        <v>-0.15073254871972686</v>
      </c>
      <c r="Y32" s="286"/>
      <c r="Z32" s="286"/>
      <c r="AA32" s="286"/>
      <c r="AB32" s="286"/>
      <c r="AC32" s="286"/>
      <c r="AD32" s="295" t="s">
        <v>396</v>
      </c>
      <c r="AE32" s="22" t="s">
        <v>397</v>
      </c>
      <c r="AF32" s="291" t="s">
        <v>453</v>
      </c>
      <c r="AK32" s="286"/>
      <c r="AL32" s="23">
        <f>AL14/AL10-1</f>
        <v>-0.16287621105612526</v>
      </c>
      <c r="AM32" s="23">
        <f>AM14/AM10-1</f>
        <v>-0.11764705882352944</v>
      </c>
      <c r="AN32" s="296">
        <f>AM32-AL32</f>
        <v>4.5229152232595826E-2</v>
      </c>
    </row>
    <row r="33" spans="1:40" x14ac:dyDescent="0.25">
      <c r="A33" s="286" t="s">
        <v>454</v>
      </c>
      <c r="B33" s="286"/>
      <c r="C33" s="23">
        <f ca="1">C14/C10-1</f>
        <v>6.3413192314352385E-2</v>
      </c>
      <c r="D33" s="23">
        <f ca="1">D14/D10-1</f>
        <v>7.4143669402926493E-2</v>
      </c>
      <c r="E33" s="296">
        <f ca="1">D33-C33</f>
        <v>1.0730477088574109E-2</v>
      </c>
      <c r="F33" s="286"/>
      <c r="G33" s="286"/>
      <c r="H33" s="286"/>
      <c r="I33" s="286"/>
      <c r="J33" s="286"/>
      <c r="K33" s="286"/>
      <c r="L33" s="286"/>
      <c r="M33" s="23">
        <f>M14/M5-1</f>
        <v>3.0239633579927094E-3</v>
      </c>
      <c r="N33" s="23">
        <f>N14/N5-1</f>
        <v>-4.8892572735573792E-3</v>
      </c>
      <c r="O33" s="296">
        <f>N33-M33</f>
        <v>-7.9132206315500886E-3</v>
      </c>
      <c r="P33" s="286"/>
      <c r="Q33" s="286"/>
      <c r="R33" s="286"/>
      <c r="S33" s="286"/>
      <c r="T33" s="286"/>
      <c r="U33" s="286"/>
      <c r="V33" s="23">
        <f>V14/V5-1</f>
        <v>-5.3178675922863849E-2</v>
      </c>
      <c r="W33" s="23">
        <f>W14/W5-1</f>
        <v>-0.1350082596240304</v>
      </c>
      <c r="X33" s="296">
        <f>W33-V33</f>
        <v>-8.1829583701166553E-2</v>
      </c>
      <c r="Y33" s="286"/>
      <c r="Z33" s="286"/>
      <c r="AA33" s="286"/>
      <c r="AB33" s="286"/>
      <c r="AC33" s="286"/>
      <c r="AD33" s="23">
        <f>AD14/AD10-1</f>
        <v>3.2478700741807698E-2</v>
      </c>
      <c r="AE33" s="23">
        <f>AE14/AE10-1</f>
        <v>4.4063306478777209E-2</v>
      </c>
      <c r="AF33" s="296">
        <f>AE33-AD33</f>
        <v>1.1584605736969511E-2</v>
      </c>
      <c r="AK33" s="286"/>
      <c r="AL33" s="23">
        <f>AL14/AL5-1</f>
        <v>-0.17508710830511209</v>
      </c>
      <c r="AM33" s="23">
        <f>AM14/AM5-1</f>
        <v>-0.25</v>
      </c>
      <c r="AN33" s="296">
        <f>AM33-AL33</f>
        <v>-7.4912891694887906E-2</v>
      </c>
    </row>
    <row r="34" spans="1:40" x14ac:dyDescent="0.25">
      <c r="A34" s="286" t="s">
        <v>455</v>
      </c>
      <c r="B34" s="286"/>
      <c r="C34" s="23">
        <f ca="1">C14/C5-1</f>
        <v>-4.4545443113996885E-4</v>
      </c>
      <c r="D34" s="23">
        <f ca="1">D14/D5-1</f>
        <v>6.818525241391149E-2</v>
      </c>
      <c r="E34" s="296">
        <f ca="1">D34-C34</f>
        <v>6.8630706845051459E-2</v>
      </c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3">
        <f>AD14/AD5-1</f>
        <v>-0.51103300854078992</v>
      </c>
      <c r="AE34" s="23">
        <f>AE14/AE5-1</f>
        <v>-0.50908533782748577</v>
      </c>
      <c r="AF34" s="296">
        <f>AE34-AD34</f>
        <v>1.9476707133041504E-3</v>
      </c>
      <c r="AK34" s="286"/>
      <c r="AL34" s="286"/>
      <c r="AM34" s="286"/>
      <c r="AN34" s="286"/>
    </row>
    <row r="35" spans="1:40" x14ac:dyDescent="0.25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 t="s">
        <v>456</v>
      </c>
      <c r="O35" s="286"/>
      <c r="P35" s="286"/>
      <c r="Q35" s="286"/>
      <c r="R35" s="286"/>
      <c r="S35" s="286"/>
      <c r="T35" s="286"/>
      <c r="U35" s="286"/>
      <c r="V35" s="286"/>
      <c r="W35" s="286" t="s">
        <v>456</v>
      </c>
      <c r="X35" s="286"/>
      <c r="Y35" s="286"/>
      <c r="Z35" s="286"/>
      <c r="AA35" s="286"/>
      <c r="AB35" s="286"/>
      <c r="AC35" s="286"/>
      <c r="AD35" s="286"/>
      <c r="AE35" s="286"/>
      <c r="AF35" s="286"/>
      <c r="AK35" s="286"/>
      <c r="AL35" s="286"/>
      <c r="AM35" s="286" t="s">
        <v>457</v>
      </c>
      <c r="AN35" s="286"/>
    </row>
    <row r="36" spans="1:40" x14ac:dyDescent="0.25">
      <c r="A36" s="286"/>
      <c r="B36" s="286"/>
      <c r="C36" s="286"/>
      <c r="D36" s="286" t="s">
        <v>456</v>
      </c>
      <c r="E36" s="286"/>
      <c r="F36" s="286"/>
      <c r="G36" s="286"/>
      <c r="H36" s="286"/>
      <c r="I36" s="286"/>
      <c r="J36" s="286"/>
      <c r="AC36" s="286"/>
      <c r="AD36" s="286"/>
      <c r="AE36" s="286" t="s">
        <v>456</v>
      </c>
      <c r="AF36" s="286"/>
    </row>
  </sheetData>
  <mergeCells count="5">
    <mergeCell ref="C2:E2"/>
    <mergeCell ref="AD2:AF2"/>
    <mergeCell ref="M2:O2"/>
    <mergeCell ref="V2:X2"/>
    <mergeCell ref="AL2:AN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/>
  <dimension ref="B1:AL154"/>
  <sheetViews>
    <sheetView workbookViewId="0">
      <selection activeCell="L31" sqref="L31"/>
    </sheetView>
  </sheetViews>
  <sheetFormatPr defaultColWidth="8.77734375" defaultRowHeight="13.8" x14ac:dyDescent="0.25"/>
  <cols>
    <col min="1" max="1" width="8.77734375" style="47"/>
    <col min="2" max="2" width="28.6640625" style="47" bestFit="1" customWidth="1"/>
    <col min="3" max="3" width="17.6640625" style="47" customWidth="1"/>
    <col min="4" max="4" width="21.109375" style="47" bestFit="1" customWidth="1"/>
    <col min="5" max="7" width="19.44140625" style="47" bestFit="1" customWidth="1"/>
    <col min="8" max="8" width="17.77734375" style="47" bestFit="1" customWidth="1"/>
    <col min="9" max="9" width="16.44140625" style="47" customWidth="1"/>
    <col min="10" max="10" width="15.109375" style="47" customWidth="1"/>
    <col min="11" max="12" width="10" style="47" customWidth="1"/>
    <col min="13" max="13" width="19.44140625" style="47" bestFit="1" customWidth="1"/>
    <col min="14" max="14" width="16.6640625" style="47" bestFit="1" customWidth="1"/>
    <col min="15" max="15" width="28.6640625" style="47" bestFit="1" customWidth="1"/>
    <col min="16" max="16" width="14.109375" style="47" customWidth="1"/>
    <col min="17" max="17" width="17.77734375" style="47" customWidth="1"/>
    <col min="18" max="18" width="14.33203125" style="47" bestFit="1" customWidth="1"/>
    <col min="19" max="19" width="14.33203125" style="47" customWidth="1"/>
    <col min="20" max="20" width="13.6640625" style="47" bestFit="1" customWidth="1"/>
    <col min="21" max="21" width="13.109375" style="47" customWidth="1"/>
    <col min="22" max="16384" width="8.77734375" style="47"/>
  </cols>
  <sheetData>
    <row r="1" spans="2:38" ht="15.6" x14ac:dyDescent="0.3">
      <c r="C1" s="522" t="s">
        <v>460</v>
      </c>
      <c r="D1" s="522"/>
      <c r="E1" s="522"/>
      <c r="F1" s="522"/>
      <c r="G1" s="522"/>
      <c r="H1" s="522"/>
      <c r="R1" s="48"/>
      <c r="X1" s="516"/>
      <c r="Y1" s="517"/>
      <c r="Z1" s="517"/>
      <c r="AA1" s="517"/>
      <c r="AB1" s="517"/>
      <c r="AC1" s="517"/>
      <c r="AD1" s="518" t="s">
        <v>554</v>
      </c>
      <c r="AE1" s="517"/>
      <c r="AF1" s="517"/>
      <c r="AG1" s="517"/>
      <c r="AH1" s="517"/>
      <c r="AI1" s="517"/>
      <c r="AJ1" s="517"/>
      <c r="AK1" s="517"/>
      <c r="AL1" s="519"/>
    </row>
    <row r="2" spans="2:38" x14ac:dyDescent="0.25">
      <c r="B2" s="49"/>
      <c r="C2" s="541" t="s">
        <v>570</v>
      </c>
      <c r="D2" s="542"/>
      <c r="E2" s="543"/>
      <c r="F2" s="544" t="s">
        <v>571</v>
      </c>
      <c r="G2" s="541" t="s">
        <v>572</v>
      </c>
      <c r="H2" s="543"/>
      <c r="N2" s="522"/>
      <c r="O2" s="522"/>
      <c r="P2" s="525" t="s">
        <v>461</v>
      </c>
      <c r="Q2" s="525"/>
      <c r="R2" s="525"/>
      <c r="S2" s="525"/>
      <c r="T2" s="522"/>
      <c r="U2" s="522"/>
      <c r="X2" s="520"/>
      <c r="Y2" s="521" t="s">
        <v>555</v>
      </c>
      <c r="Z2" s="521"/>
      <c r="AA2" s="521"/>
      <c r="AB2" s="521"/>
      <c r="AC2" s="521"/>
      <c r="AD2" s="522"/>
      <c r="AE2" s="522"/>
      <c r="AF2" s="522"/>
      <c r="AG2" s="522"/>
      <c r="AH2" s="522"/>
      <c r="AI2" s="522"/>
      <c r="AJ2" s="522"/>
      <c r="AK2" s="522"/>
      <c r="AL2" s="523"/>
    </row>
    <row r="3" spans="2:38" x14ac:dyDescent="0.25">
      <c r="B3" s="49"/>
      <c r="C3" s="545">
        <v>2021</v>
      </c>
      <c r="D3" s="546">
        <v>2022</v>
      </c>
      <c r="E3" s="547">
        <v>2023</v>
      </c>
      <c r="F3" s="548">
        <v>2024</v>
      </c>
      <c r="G3" s="545">
        <v>2025</v>
      </c>
      <c r="H3" s="547">
        <v>2026</v>
      </c>
      <c r="I3" s="51"/>
      <c r="J3" s="51"/>
      <c r="K3" s="49" t="s">
        <v>462</v>
      </c>
      <c r="L3" s="49"/>
      <c r="N3" s="522"/>
      <c r="O3" s="522"/>
      <c r="P3" s="525">
        <v>2021</v>
      </c>
      <c r="Q3" s="525">
        <v>2022</v>
      </c>
      <c r="R3" s="525">
        <v>2023</v>
      </c>
      <c r="S3" s="525">
        <v>2024</v>
      </c>
      <c r="T3" s="525">
        <v>2025</v>
      </c>
      <c r="U3" s="525">
        <v>2026</v>
      </c>
      <c r="X3" s="520"/>
      <c r="Y3" s="522"/>
      <c r="Z3" s="524">
        <v>2021</v>
      </c>
      <c r="AA3" s="524">
        <v>2022</v>
      </c>
      <c r="AB3" s="524">
        <v>2023</v>
      </c>
      <c r="AC3" s="524">
        <v>2024</v>
      </c>
      <c r="AD3" s="522"/>
      <c r="AE3" s="525" t="s">
        <v>556</v>
      </c>
      <c r="AF3" s="524" t="s">
        <v>557</v>
      </c>
      <c r="AG3" s="524" t="s">
        <v>558</v>
      </c>
      <c r="AH3" s="524"/>
      <c r="AI3" s="525" t="s">
        <v>559</v>
      </c>
      <c r="AJ3" s="525" t="s">
        <v>560</v>
      </c>
      <c r="AK3" s="522"/>
      <c r="AL3" s="523"/>
    </row>
    <row r="4" spans="2:38" x14ac:dyDescent="0.25">
      <c r="B4" s="526" t="s">
        <v>463</v>
      </c>
      <c r="C4" s="549">
        <f>AE4</f>
        <v>416.5</v>
      </c>
      <c r="D4" s="527">
        <f>AF4-C4</f>
        <v>624.29999999999995</v>
      </c>
      <c r="E4" s="550">
        <f>AG4-AF4</f>
        <v>162.20000000000005</v>
      </c>
      <c r="F4" s="551">
        <v>560</v>
      </c>
      <c r="G4" s="552">
        <v>446</v>
      </c>
      <c r="H4" s="553">
        <v>519</v>
      </c>
      <c r="I4" s="52"/>
      <c r="J4" s="52"/>
      <c r="K4" s="53">
        <f>$I$37*P65+$I$42*(Q65+R65)+$I$47*S65</f>
        <v>8.2671710952268301E-3</v>
      </c>
      <c r="L4" s="54" t="s">
        <v>464</v>
      </c>
      <c r="N4" s="569"/>
      <c r="O4" s="526" t="s">
        <v>463</v>
      </c>
      <c r="P4" s="570">
        <f>C4*$K4*1000000</f>
        <v>3443276.7611619746</v>
      </c>
      <c r="Q4" s="570">
        <f t="shared" ref="P4:U17" si="0">D4*$K4*1000000</f>
        <v>5161194.9147501094</v>
      </c>
      <c r="R4" s="570">
        <f t="shared" si="0"/>
        <v>1340935.1516457922</v>
      </c>
      <c r="S4" s="570">
        <f t="shared" si="0"/>
        <v>4629615.8133270247</v>
      </c>
      <c r="T4" s="570">
        <f t="shared" si="0"/>
        <v>3687158.3084711661</v>
      </c>
      <c r="U4" s="570">
        <f t="shared" si="0"/>
        <v>4290661.798422724</v>
      </c>
      <c r="X4" s="520"/>
      <c r="Y4" s="526" t="s">
        <v>463</v>
      </c>
      <c r="Z4" s="527">
        <v>322</v>
      </c>
      <c r="AA4" s="527">
        <v>570</v>
      </c>
      <c r="AB4" s="527">
        <v>359</v>
      </c>
      <c r="AC4" s="527">
        <v>560</v>
      </c>
      <c r="AD4" s="522"/>
      <c r="AE4" s="522">
        <v>416.5</v>
      </c>
      <c r="AF4" s="522">
        <v>1040.8</v>
      </c>
      <c r="AG4" s="528">
        <v>1203</v>
      </c>
      <c r="AH4" s="528"/>
      <c r="AI4" s="529">
        <f>SUM(Z4:AB4)</f>
        <v>1251</v>
      </c>
      <c r="AJ4" s="530">
        <f>AG4/AI4</f>
        <v>0.9616306954436451</v>
      </c>
      <c r="AK4" s="522"/>
      <c r="AL4" s="523"/>
    </row>
    <row r="5" spans="2:38" x14ac:dyDescent="0.25">
      <c r="B5" s="568" t="s">
        <v>361</v>
      </c>
      <c r="C5" s="554">
        <f t="shared" ref="C5:C17" si="1">AE5</f>
        <v>11.6</v>
      </c>
      <c r="D5" s="555">
        <f t="shared" ref="D5:D17" si="2">AF5-C5</f>
        <v>5.0999999999999996</v>
      </c>
      <c r="E5" s="556">
        <f t="shared" ref="E5:E17" si="3">AG5-AF5</f>
        <v>7.1999999999999993</v>
      </c>
      <c r="F5" s="557">
        <v>65</v>
      </c>
      <c r="G5" s="552">
        <v>14</v>
      </c>
      <c r="H5" s="553">
        <v>15</v>
      </c>
      <c r="I5" s="52"/>
      <c r="J5" s="52"/>
      <c r="K5" s="53">
        <f>$I$37*P66+$I$42*(Q66+R66)+$I$47*S66</f>
        <v>8.7610377626429516E-3</v>
      </c>
      <c r="L5" s="54" t="str">
        <f>L4</f>
        <v>% of provincial kWh</v>
      </c>
      <c r="N5" s="564"/>
      <c r="O5" s="568" t="s">
        <v>361</v>
      </c>
      <c r="P5" s="570">
        <f t="shared" si="0"/>
        <v>101628.03804665824</v>
      </c>
      <c r="Q5" s="570">
        <f t="shared" si="0"/>
        <v>44681.292589479053</v>
      </c>
      <c r="R5" s="570">
        <f t="shared" si="0"/>
        <v>63079.47189102925</v>
      </c>
      <c r="S5" s="570">
        <f t="shared" si="0"/>
        <v>569467.45457179181</v>
      </c>
      <c r="T5" s="570">
        <f t="shared" si="0"/>
        <v>122654.52867700133</v>
      </c>
      <c r="U5" s="570">
        <f t="shared" si="0"/>
        <v>131415.56643964429</v>
      </c>
      <c r="X5" s="520"/>
      <c r="Y5" s="526" t="s">
        <v>361</v>
      </c>
      <c r="Z5" s="527">
        <v>10</v>
      </c>
      <c r="AA5" s="527">
        <v>4</v>
      </c>
      <c r="AB5" s="527">
        <v>20</v>
      </c>
      <c r="AC5" s="527">
        <v>65</v>
      </c>
      <c r="AD5" s="522"/>
      <c r="AE5" s="522">
        <v>11.6</v>
      </c>
      <c r="AF5" s="522">
        <v>16.7</v>
      </c>
      <c r="AG5" s="528">
        <v>23.9</v>
      </c>
      <c r="AH5" s="528"/>
      <c r="AI5" s="529">
        <f t="shared" ref="AI5:AI8" si="4">SUM(Z5:AB5)</f>
        <v>34</v>
      </c>
      <c r="AJ5" s="530">
        <f t="shared" ref="AJ5:AJ8" si="5">AG5/AI5</f>
        <v>0.70294117647058818</v>
      </c>
      <c r="AK5" s="522"/>
      <c r="AL5" s="523"/>
    </row>
    <row r="6" spans="2:38" x14ac:dyDescent="0.25">
      <c r="B6" s="526" t="s">
        <v>465</v>
      </c>
      <c r="C6" s="549">
        <f t="shared" si="1"/>
        <v>12.6</v>
      </c>
      <c r="D6" s="527">
        <f t="shared" si="2"/>
        <v>19.600000000000001</v>
      </c>
      <c r="E6" s="550">
        <f t="shared" si="3"/>
        <v>5.6999999999999957</v>
      </c>
      <c r="F6" s="551">
        <v>54</v>
      </c>
      <c r="G6" s="552"/>
      <c r="H6" s="553"/>
      <c r="I6" s="52"/>
      <c r="J6" s="52"/>
      <c r="K6" s="53">
        <f>$I$37*P67+$I$42*(Q67+R67)+$I$47*S67</f>
        <v>7.9486912403722888E-3</v>
      </c>
      <c r="L6" s="54" t="str">
        <f>L5</f>
        <v>% of provincial kWh</v>
      </c>
      <c r="N6" s="564"/>
      <c r="O6" s="526" t="s">
        <v>465</v>
      </c>
      <c r="P6" s="570">
        <f t="shared" si="0"/>
        <v>100153.50962869084</v>
      </c>
      <c r="Q6" s="570">
        <f t="shared" si="0"/>
        <v>155794.34831129687</v>
      </c>
      <c r="R6" s="570">
        <f t="shared" si="0"/>
        <v>45307.540070122013</v>
      </c>
      <c r="S6" s="570">
        <f t="shared" si="0"/>
        <v>429229.32698010356</v>
      </c>
      <c r="T6" s="570">
        <f t="shared" si="0"/>
        <v>0</v>
      </c>
      <c r="U6" s="570">
        <f t="shared" si="0"/>
        <v>0</v>
      </c>
      <c r="X6" s="520"/>
      <c r="Y6" s="526" t="s">
        <v>465</v>
      </c>
      <c r="Z6" s="527">
        <v>16</v>
      </c>
      <c r="AA6" s="527">
        <v>20</v>
      </c>
      <c r="AB6" s="527">
        <v>50</v>
      </c>
      <c r="AC6" s="527">
        <v>54</v>
      </c>
      <c r="AD6" s="522"/>
      <c r="AE6" s="522">
        <v>12.6</v>
      </c>
      <c r="AF6" s="522">
        <v>32.200000000000003</v>
      </c>
      <c r="AG6" s="528">
        <v>37.9</v>
      </c>
      <c r="AH6" s="528"/>
      <c r="AI6" s="529">
        <f t="shared" si="4"/>
        <v>86</v>
      </c>
      <c r="AJ6" s="530">
        <f t="shared" si="5"/>
        <v>0.44069767441860463</v>
      </c>
      <c r="AK6" s="522"/>
      <c r="AL6" s="523"/>
    </row>
    <row r="7" spans="2:38" x14ac:dyDescent="0.25">
      <c r="B7" s="568" t="s">
        <v>466</v>
      </c>
      <c r="C7" s="554">
        <f t="shared" si="1"/>
        <v>0.8</v>
      </c>
      <c r="D7" s="555">
        <f t="shared" si="2"/>
        <v>14.899999999999999</v>
      </c>
      <c r="E7" s="556">
        <f t="shared" si="3"/>
        <v>-5.7999999999999989</v>
      </c>
      <c r="F7" s="557">
        <v>96</v>
      </c>
      <c r="G7" s="552">
        <v>52</v>
      </c>
      <c r="H7" s="553">
        <v>59</v>
      </c>
      <c r="I7" s="52"/>
      <c r="J7" s="52"/>
      <c r="K7" s="53">
        <f>$I$37*P68+$I$42*(Q68+R68)+$I$47*S68</f>
        <v>7.9486912403722888E-3</v>
      </c>
      <c r="L7" s="54" t="str">
        <f>L6</f>
        <v>% of provincial kWh</v>
      </c>
      <c r="N7" s="522" t="s">
        <v>467</v>
      </c>
      <c r="O7" s="568" t="s">
        <v>466</v>
      </c>
      <c r="P7" s="570">
        <f t="shared" si="0"/>
        <v>6358.9529922978318</v>
      </c>
      <c r="Q7" s="570">
        <f t="shared" si="0"/>
        <v>118435.4994815471</v>
      </c>
      <c r="R7" s="570">
        <f t="shared" si="0"/>
        <v>-46102.409194159271</v>
      </c>
      <c r="S7" s="570">
        <f t="shared" si="0"/>
        <v>763074.35907573975</v>
      </c>
      <c r="T7" s="570">
        <f t="shared" si="0"/>
        <v>413331.944499359</v>
      </c>
      <c r="U7" s="570">
        <f t="shared" si="0"/>
        <v>468972.78318196506</v>
      </c>
      <c r="X7" s="520"/>
      <c r="Y7" s="526" t="s">
        <v>466</v>
      </c>
      <c r="Z7" s="527">
        <v>1</v>
      </c>
      <c r="AA7" s="527">
        <v>15</v>
      </c>
      <c r="AB7" s="527">
        <v>29</v>
      </c>
      <c r="AC7" s="527">
        <v>96</v>
      </c>
      <c r="AD7" s="522"/>
      <c r="AE7" s="522">
        <v>0.8</v>
      </c>
      <c r="AF7" s="522">
        <v>15.7</v>
      </c>
      <c r="AG7" s="528">
        <v>9.9</v>
      </c>
      <c r="AH7" s="528"/>
      <c r="AI7" s="529">
        <f t="shared" si="4"/>
        <v>45</v>
      </c>
      <c r="AJ7" s="530">
        <f t="shared" si="5"/>
        <v>0.22</v>
      </c>
      <c r="AK7" s="522"/>
      <c r="AL7" s="523"/>
    </row>
    <row r="8" spans="2:38" x14ac:dyDescent="0.25">
      <c r="B8" s="526" t="s">
        <v>468</v>
      </c>
      <c r="C8" s="549">
        <f t="shared" si="1"/>
        <v>0</v>
      </c>
      <c r="D8" s="527">
        <f t="shared" si="2"/>
        <v>0</v>
      </c>
      <c r="E8" s="550">
        <f t="shared" si="3"/>
        <v>87.3</v>
      </c>
      <c r="F8" s="551">
        <v>165</v>
      </c>
      <c r="G8" s="552">
        <v>133</v>
      </c>
      <c r="H8" s="553">
        <v>160</v>
      </c>
      <c r="I8" s="52"/>
      <c r="J8" s="52"/>
      <c r="K8" s="53">
        <f>$I$37*P69+$I$42*(Q69+R69)+$I$47*S69</f>
        <v>7.8211851082196446E-3</v>
      </c>
      <c r="L8" s="54" t="str">
        <f>L7</f>
        <v>% of provincial kWh</v>
      </c>
      <c r="N8" s="564"/>
      <c r="O8" s="526" t="s">
        <v>468</v>
      </c>
      <c r="P8" s="570">
        <f t="shared" si="0"/>
        <v>0</v>
      </c>
      <c r="Q8" s="570">
        <f t="shared" si="0"/>
        <v>0</v>
      </c>
      <c r="R8" s="570">
        <f t="shared" si="0"/>
        <v>682789.459947575</v>
      </c>
      <c r="S8" s="570">
        <f t="shared" si="0"/>
        <v>1290495.5428562416</v>
      </c>
      <c r="T8" s="570">
        <f t="shared" si="0"/>
        <v>1040217.6193932127</v>
      </c>
      <c r="U8" s="570">
        <f t="shared" si="0"/>
        <v>1251389.6173151431</v>
      </c>
      <c r="X8" s="520"/>
      <c r="Y8" s="526" t="s">
        <v>468</v>
      </c>
      <c r="Z8" s="527">
        <v>0</v>
      </c>
      <c r="AA8" s="527">
        <v>0</v>
      </c>
      <c r="AB8" s="527">
        <v>165</v>
      </c>
      <c r="AC8" s="527">
        <v>165</v>
      </c>
      <c r="AD8" s="522"/>
      <c r="AE8" s="522">
        <v>0</v>
      </c>
      <c r="AF8" s="522">
        <v>0</v>
      </c>
      <c r="AG8" s="528">
        <v>87.3</v>
      </c>
      <c r="AH8" s="528"/>
      <c r="AI8" s="529">
        <f t="shared" si="4"/>
        <v>165</v>
      </c>
      <c r="AJ8" s="530">
        <f t="shared" si="5"/>
        <v>0.52909090909090906</v>
      </c>
      <c r="AK8" s="522"/>
      <c r="AL8" s="523"/>
    </row>
    <row r="9" spans="2:38" x14ac:dyDescent="0.25">
      <c r="B9" s="568" t="s">
        <v>561</v>
      </c>
      <c r="C9" s="549">
        <f t="shared" si="1"/>
        <v>0</v>
      </c>
      <c r="D9" s="527">
        <f t="shared" si="2"/>
        <v>0</v>
      </c>
      <c r="E9" s="550">
        <f t="shared" si="3"/>
        <v>0</v>
      </c>
      <c r="F9" s="551"/>
      <c r="G9" s="552"/>
      <c r="H9" s="553"/>
      <c r="I9" s="52"/>
      <c r="J9" s="52"/>
      <c r="K9" s="53"/>
      <c r="L9" s="54"/>
      <c r="N9" s="564"/>
      <c r="O9" s="568" t="s">
        <v>561</v>
      </c>
      <c r="P9" s="570">
        <f t="shared" si="0"/>
        <v>0</v>
      </c>
      <c r="Q9" s="570">
        <f t="shared" si="0"/>
        <v>0</v>
      </c>
      <c r="R9" s="570">
        <f t="shared" si="0"/>
        <v>0</v>
      </c>
      <c r="S9" s="570">
        <f t="shared" si="0"/>
        <v>0</v>
      </c>
      <c r="T9" s="570">
        <f t="shared" si="0"/>
        <v>0</v>
      </c>
      <c r="U9" s="570">
        <f t="shared" si="0"/>
        <v>0</v>
      </c>
      <c r="X9" s="520"/>
      <c r="Y9" s="526" t="s">
        <v>561</v>
      </c>
      <c r="Z9" s="527"/>
      <c r="AA9" s="527"/>
      <c r="AB9" s="527"/>
      <c r="AC9" s="527"/>
      <c r="AD9" s="522"/>
      <c r="AE9" s="522"/>
      <c r="AF9" s="522"/>
      <c r="AG9" s="528"/>
      <c r="AH9" s="528"/>
      <c r="AI9" s="529"/>
      <c r="AJ9" s="530"/>
      <c r="AK9" s="522"/>
      <c r="AL9" s="523"/>
    </row>
    <row r="10" spans="2:38" x14ac:dyDescent="0.25">
      <c r="B10" s="526" t="s">
        <v>562</v>
      </c>
      <c r="C10" s="549">
        <f t="shared" si="1"/>
        <v>0</v>
      </c>
      <c r="D10" s="527">
        <f t="shared" si="2"/>
        <v>0</v>
      </c>
      <c r="E10" s="550">
        <f t="shared" si="3"/>
        <v>0</v>
      </c>
      <c r="F10" s="551"/>
      <c r="G10" s="552">
        <v>61</v>
      </c>
      <c r="H10" s="553">
        <v>66</v>
      </c>
      <c r="I10" s="52"/>
      <c r="J10" s="52"/>
      <c r="K10" s="53">
        <f>I32</f>
        <v>1.1830591460990839E-2</v>
      </c>
      <c r="L10" s="564" t="s">
        <v>464</v>
      </c>
      <c r="N10" s="564"/>
      <c r="O10" s="526" t="s">
        <v>562</v>
      </c>
      <c r="P10" s="570">
        <f t="shared" si="0"/>
        <v>0</v>
      </c>
      <c r="Q10" s="570">
        <f t="shared" si="0"/>
        <v>0</v>
      </c>
      <c r="R10" s="570">
        <f t="shared" si="0"/>
        <v>0</v>
      </c>
      <c r="S10" s="570">
        <f t="shared" si="0"/>
        <v>0</v>
      </c>
      <c r="T10" s="570">
        <f>G10*$K10*1000000</f>
        <v>721666.07912044122</v>
      </c>
      <c r="U10" s="570">
        <f>H10*$K10*1000000</f>
        <v>780819.0364253954</v>
      </c>
      <c r="X10" s="520"/>
      <c r="Y10" s="526" t="s">
        <v>562</v>
      </c>
      <c r="Z10" s="527"/>
      <c r="AA10" s="527"/>
      <c r="AB10" s="527"/>
      <c r="AC10" s="527"/>
      <c r="AD10" s="522"/>
      <c r="AE10" s="522"/>
      <c r="AF10" s="522"/>
      <c r="AG10" s="528"/>
      <c r="AH10" s="528"/>
      <c r="AI10" s="529"/>
      <c r="AJ10" s="530"/>
      <c r="AK10" s="522"/>
      <c r="AL10" s="523"/>
    </row>
    <row r="11" spans="2:38" x14ac:dyDescent="0.25">
      <c r="B11" s="568" t="s">
        <v>563</v>
      </c>
      <c r="C11" s="549">
        <f t="shared" si="1"/>
        <v>0</v>
      </c>
      <c r="D11" s="527">
        <f t="shared" si="2"/>
        <v>0</v>
      </c>
      <c r="E11" s="550">
        <f t="shared" si="3"/>
        <v>0</v>
      </c>
      <c r="F11" s="551"/>
      <c r="G11" s="552"/>
      <c r="H11" s="553"/>
      <c r="I11" s="52"/>
      <c r="J11" s="52"/>
      <c r="K11" s="53"/>
      <c r="L11" s="54"/>
      <c r="N11" s="564"/>
      <c r="O11" s="568" t="s">
        <v>563</v>
      </c>
      <c r="P11" s="570">
        <f t="shared" si="0"/>
        <v>0</v>
      </c>
      <c r="Q11" s="570">
        <f t="shared" si="0"/>
        <v>0</v>
      </c>
      <c r="R11" s="570">
        <f t="shared" si="0"/>
        <v>0</v>
      </c>
      <c r="S11" s="570">
        <f t="shared" si="0"/>
        <v>0</v>
      </c>
      <c r="T11" s="570">
        <f t="shared" si="0"/>
        <v>0</v>
      </c>
      <c r="U11" s="570">
        <f t="shared" si="0"/>
        <v>0</v>
      </c>
      <c r="X11" s="520"/>
      <c r="Y11" s="526" t="s">
        <v>563</v>
      </c>
      <c r="Z11" s="527"/>
      <c r="AA11" s="527"/>
      <c r="AB11" s="527"/>
      <c r="AC11" s="527"/>
      <c r="AD11" s="522"/>
      <c r="AE11" s="522"/>
      <c r="AF11" s="522"/>
      <c r="AG11" s="528"/>
      <c r="AH11" s="528"/>
      <c r="AI11" s="529"/>
      <c r="AJ11" s="530"/>
      <c r="AK11" s="522"/>
      <c r="AL11" s="523"/>
    </row>
    <row r="12" spans="2:38" x14ac:dyDescent="0.25">
      <c r="B12" s="526" t="s">
        <v>574</v>
      </c>
      <c r="C12" s="549">
        <f t="shared" si="1"/>
        <v>0</v>
      </c>
      <c r="D12" s="527">
        <f t="shared" si="2"/>
        <v>0</v>
      </c>
      <c r="E12" s="550">
        <f t="shared" si="3"/>
        <v>23.7</v>
      </c>
      <c r="F12" s="551"/>
      <c r="G12" s="552"/>
      <c r="H12" s="553"/>
      <c r="I12" s="52"/>
      <c r="J12" s="52"/>
      <c r="K12" s="53"/>
      <c r="L12" s="54"/>
      <c r="N12" s="564"/>
      <c r="O12" s="526" t="s">
        <v>574</v>
      </c>
      <c r="P12" s="570">
        <f t="shared" si="0"/>
        <v>0</v>
      </c>
      <c r="Q12" s="570">
        <f t="shared" si="0"/>
        <v>0</v>
      </c>
      <c r="R12" s="570">
        <f t="shared" si="0"/>
        <v>0</v>
      </c>
      <c r="S12" s="570">
        <f t="shared" si="0"/>
        <v>0</v>
      </c>
      <c r="T12" s="570">
        <f t="shared" si="0"/>
        <v>0</v>
      </c>
      <c r="U12" s="570">
        <f t="shared" si="0"/>
        <v>0</v>
      </c>
      <c r="X12" s="520"/>
      <c r="Y12" s="526" t="s">
        <v>564</v>
      </c>
      <c r="Z12" s="527"/>
      <c r="AA12" s="527"/>
      <c r="AB12" s="527"/>
      <c r="AC12" s="527"/>
      <c r="AD12" s="522"/>
      <c r="AE12" s="522"/>
      <c r="AF12" s="522">
        <v>0</v>
      </c>
      <c r="AG12" s="528">
        <v>23.7</v>
      </c>
      <c r="AH12" s="528"/>
      <c r="AI12" s="529"/>
      <c r="AJ12" s="530"/>
      <c r="AK12" s="522"/>
      <c r="AL12" s="523"/>
    </row>
    <row r="13" spans="2:38" x14ac:dyDescent="0.25">
      <c r="B13" s="568" t="s">
        <v>469</v>
      </c>
      <c r="C13" s="554">
        <f t="shared" si="1"/>
        <v>0</v>
      </c>
      <c r="D13" s="555">
        <f t="shared" si="2"/>
        <v>0</v>
      </c>
      <c r="E13" s="556">
        <f t="shared" si="3"/>
        <v>242</v>
      </c>
      <c r="F13" s="557">
        <v>333</v>
      </c>
      <c r="G13" s="552"/>
      <c r="H13" s="553"/>
      <c r="I13" s="52"/>
      <c r="J13" s="52"/>
      <c r="K13" s="53">
        <v>0</v>
      </c>
      <c r="L13" s="54"/>
      <c r="N13" s="564"/>
      <c r="O13" s="568" t="s">
        <v>469</v>
      </c>
      <c r="P13" s="570">
        <f t="shared" si="0"/>
        <v>0</v>
      </c>
      <c r="Q13" s="570">
        <f t="shared" si="0"/>
        <v>0</v>
      </c>
      <c r="R13" s="570">
        <f t="shared" si="0"/>
        <v>0</v>
      </c>
      <c r="S13" s="570">
        <f t="shared" si="0"/>
        <v>0</v>
      </c>
      <c r="T13" s="570">
        <f t="shared" si="0"/>
        <v>0</v>
      </c>
      <c r="U13" s="570">
        <f t="shared" si="0"/>
        <v>0</v>
      </c>
      <c r="X13" s="520"/>
      <c r="Y13" s="526" t="s">
        <v>469</v>
      </c>
      <c r="Z13" s="527">
        <v>0</v>
      </c>
      <c r="AA13" s="527">
        <v>0</v>
      </c>
      <c r="AB13" s="527">
        <v>333</v>
      </c>
      <c r="AC13" s="527">
        <v>333</v>
      </c>
      <c r="AD13" s="522"/>
      <c r="AE13" s="522">
        <v>0</v>
      </c>
      <c r="AF13" s="522">
        <v>0</v>
      </c>
      <c r="AG13" s="528">
        <v>242</v>
      </c>
      <c r="AH13" s="528"/>
      <c r="AI13" s="529">
        <f>SUM(Z13:AB13)</f>
        <v>333</v>
      </c>
      <c r="AJ13" s="530">
        <f>AG13/AI13</f>
        <v>0.72672672672672678</v>
      </c>
      <c r="AK13" s="522"/>
      <c r="AL13" s="523"/>
    </row>
    <row r="14" spans="2:38" x14ac:dyDescent="0.25">
      <c r="B14" s="526" t="s">
        <v>470</v>
      </c>
      <c r="C14" s="549">
        <f t="shared" si="1"/>
        <v>0</v>
      </c>
      <c r="D14" s="527">
        <f t="shared" si="2"/>
        <v>0</v>
      </c>
      <c r="E14" s="550">
        <f t="shared" si="3"/>
        <v>39.799999999999997</v>
      </c>
      <c r="F14" s="551">
        <v>181</v>
      </c>
      <c r="G14" s="552">
        <v>641</v>
      </c>
      <c r="H14" s="553">
        <v>693</v>
      </c>
      <c r="I14" s="52"/>
      <c r="J14" s="52"/>
      <c r="K14" s="53">
        <f>I27</f>
        <v>7.9526238524364051E-3</v>
      </c>
      <c r="L14" s="564" t="s">
        <v>464</v>
      </c>
      <c r="N14" s="569"/>
      <c r="O14" s="526" t="s">
        <v>470</v>
      </c>
      <c r="P14" s="570">
        <f t="shared" si="0"/>
        <v>0</v>
      </c>
      <c r="Q14" s="570">
        <f t="shared" si="0"/>
        <v>0</v>
      </c>
      <c r="R14" s="570"/>
      <c r="S14" s="570"/>
      <c r="T14" s="570">
        <f t="shared" si="0"/>
        <v>5097631.8894117363</v>
      </c>
      <c r="U14" s="570">
        <f t="shared" si="0"/>
        <v>5511168.3297384288</v>
      </c>
      <c r="X14" s="520"/>
      <c r="Y14" s="526" t="s">
        <v>470</v>
      </c>
      <c r="Z14" s="527">
        <v>0</v>
      </c>
      <c r="AA14" s="527">
        <v>61</v>
      </c>
      <c r="AB14" s="527">
        <v>161</v>
      </c>
      <c r="AC14" s="527">
        <v>181</v>
      </c>
      <c r="AD14" s="522"/>
      <c r="AE14" s="522">
        <v>0</v>
      </c>
      <c r="AF14" s="522">
        <v>0</v>
      </c>
      <c r="AG14" s="528">
        <v>39.799999999999997</v>
      </c>
      <c r="AH14" s="528"/>
      <c r="AI14" s="529">
        <f>SUM(Z14:AB14)</f>
        <v>222</v>
      </c>
      <c r="AJ14" s="530">
        <f>AG14/AI14</f>
        <v>0.17927927927927928</v>
      </c>
      <c r="AK14" s="522"/>
      <c r="AL14" s="523"/>
    </row>
    <row r="15" spans="2:38" x14ac:dyDescent="0.25">
      <c r="B15" s="568" t="s">
        <v>471</v>
      </c>
      <c r="C15" s="554">
        <f t="shared" si="1"/>
        <v>0</v>
      </c>
      <c r="D15" s="555">
        <f t="shared" si="2"/>
        <v>0</v>
      </c>
      <c r="E15" s="556">
        <f t="shared" si="3"/>
        <v>0</v>
      </c>
      <c r="F15" s="557">
        <v>7</v>
      </c>
      <c r="G15" s="552"/>
      <c r="H15" s="553"/>
      <c r="I15" s="52"/>
      <c r="J15" s="52"/>
      <c r="K15" s="53">
        <v>0</v>
      </c>
      <c r="L15" s="54"/>
      <c r="N15" s="564"/>
      <c r="O15" s="568" t="s">
        <v>471</v>
      </c>
      <c r="P15" s="570">
        <f t="shared" si="0"/>
        <v>0</v>
      </c>
      <c r="Q15" s="570">
        <f t="shared" si="0"/>
        <v>0</v>
      </c>
      <c r="R15" s="570">
        <f t="shared" si="0"/>
        <v>0</v>
      </c>
      <c r="S15" s="570">
        <f t="shared" si="0"/>
        <v>0</v>
      </c>
      <c r="T15" s="570">
        <f t="shared" si="0"/>
        <v>0</v>
      </c>
      <c r="U15" s="570">
        <f t="shared" si="0"/>
        <v>0</v>
      </c>
      <c r="X15" s="520"/>
      <c r="Y15" s="526" t="s">
        <v>471</v>
      </c>
      <c r="Z15" s="527">
        <v>0</v>
      </c>
      <c r="AA15" s="527">
        <v>0</v>
      </c>
      <c r="AB15" s="527">
        <v>3</v>
      </c>
      <c r="AC15" s="527">
        <v>7</v>
      </c>
      <c r="AD15" s="522"/>
      <c r="AE15" s="522">
        <v>0</v>
      </c>
      <c r="AF15" s="522">
        <v>0</v>
      </c>
      <c r="AG15" s="528">
        <v>0</v>
      </c>
      <c r="AH15" s="528"/>
      <c r="AI15" s="529">
        <f>SUM(Z15:AB15)</f>
        <v>3</v>
      </c>
      <c r="AJ15" s="530">
        <f>AG15/AI15</f>
        <v>0</v>
      </c>
      <c r="AK15" s="522"/>
      <c r="AL15" s="523"/>
    </row>
    <row r="16" spans="2:38" x14ac:dyDescent="0.25">
      <c r="B16" s="526" t="s">
        <v>472</v>
      </c>
      <c r="C16" s="549">
        <f t="shared" si="1"/>
        <v>8.8000000000000007</v>
      </c>
      <c r="D16" s="527">
        <f>AF16-C16</f>
        <v>9.3000000000000007</v>
      </c>
      <c r="E16" s="550">
        <f t="shared" si="3"/>
        <v>10.599999999999998</v>
      </c>
      <c r="F16" s="551">
        <v>97</v>
      </c>
      <c r="G16" s="552">
        <v>27</v>
      </c>
      <c r="H16" s="553">
        <v>30</v>
      </c>
      <c r="I16" s="52"/>
      <c r="J16" s="52"/>
      <c r="K16" s="53">
        <f>I55</f>
        <v>2.1863409982943737E-2</v>
      </c>
      <c r="L16" s="55" t="s">
        <v>473</v>
      </c>
      <c r="N16" s="564"/>
      <c r="O16" s="526" t="s">
        <v>472</v>
      </c>
      <c r="P16" s="570">
        <f t="shared" si="0"/>
        <v>192398.00784990491</v>
      </c>
      <c r="Q16" s="570">
        <f t="shared" si="0"/>
        <v>203329.71284137678</v>
      </c>
      <c r="R16" s="570">
        <f t="shared" si="0"/>
        <v>231752.14581920355</v>
      </c>
      <c r="S16" s="570">
        <f t="shared" si="0"/>
        <v>2120750.7683455423</v>
      </c>
      <c r="T16" s="570">
        <f t="shared" si="0"/>
        <v>590312.06953948084</v>
      </c>
      <c r="U16" s="570">
        <f>H16*$K16*1000000</f>
        <v>655902.2994883121</v>
      </c>
      <c r="X16" s="520"/>
      <c r="Y16" s="526" t="s">
        <v>472</v>
      </c>
      <c r="Z16" s="527">
        <v>7</v>
      </c>
      <c r="AA16" s="527">
        <v>14</v>
      </c>
      <c r="AB16" s="527">
        <v>49</v>
      </c>
      <c r="AC16" s="527">
        <v>97</v>
      </c>
      <c r="AD16" s="522"/>
      <c r="AE16" s="522">
        <v>8.8000000000000007</v>
      </c>
      <c r="AF16" s="522">
        <v>18.100000000000001</v>
      </c>
      <c r="AG16" s="528">
        <v>28.7</v>
      </c>
      <c r="AH16" s="528"/>
      <c r="AI16" s="529">
        <f>SUM(Z16:AB16)</f>
        <v>70</v>
      </c>
      <c r="AJ16" s="530">
        <f>AG16/AI16</f>
        <v>0.41</v>
      </c>
      <c r="AK16" s="522"/>
      <c r="AL16" s="523"/>
    </row>
    <row r="17" spans="2:38" x14ac:dyDescent="0.25">
      <c r="B17" s="568" t="s">
        <v>474</v>
      </c>
      <c r="C17" s="554">
        <f t="shared" si="1"/>
        <v>0.8</v>
      </c>
      <c r="D17" s="555">
        <f t="shared" si="2"/>
        <v>9.9999999999999978E-2</v>
      </c>
      <c r="E17" s="556">
        <f t="shared" si="3"/>
        <v>1.2000000000000002</v>
      </c>
      <c r="F17" s="557">
        <v>16</v>
      </c>
      <c r="G17" s="552">
        <v>1</v>
      </c>
      <c r="H17" s="553">
        <v>1</v>
      </c>
      <c r="I17" s="52"/>
      <c r="J17" s="52"/>
      <c r="K17" s="53">
        <v>0</v>
      </c>
      <c r="N17" s="564"/>
      <c r="O17" s="568" t="s">
        <v>474</v>
      </c>
      <c r="P17" s="570">
        <f>C17*$K17*1000000</f>
        <v>0</v>
      </c>
      <c r="Q17" s="570">
        <f t="shared" si="0"/>
        <v>0</v>
      </c>
      <c r="R17" s="570">
        <f t="shared" si="0"/>
        <v>0</v>
      </c>
      <c r="S17" s="570">
        <f t="shared" si="0"/>
        <v>0</v>
      </c>
      <c r="T17" s="570">
        <f t="shared" si="0"/>
        <v>0</v>
      </c>
      <c r="U17" s="570">
        <f t="shared" si="0"/>
        <v>0</v>
      </c>
      <c r="X17" s="520"/>
      <c r="Y17" s="526" t="s">
        <v>474</v>
      </c>
      <c r="Z17" s="527">
        <v>1</v>
      </c>
      <c r="AA17" s="527">
        <v>0</v>
      </c>
      <c r="AB17" s="527">
        <v>15</v>
      </c>
      <c r="AC17" s="527">
        <v>16</v>
      </c>
      <c r="AD17" s="522"/>
      <c r="AE17" s="522">
        <v>0.8</v>
      </c>
      <c r="AF17" s="522">
        <v>0.9</v>
      </c>
      <c r="AG17" s="528">
        <v>2.1</v>
      </c>
      <c r="AH17" s="528"/>
      <c r="AI17" s="529">
        <f>SUM(Z17:AB17)</f>
        <v>16</v>
      </c>
      <c r="AJ17" s="530">
        <f>AG17/AI17</f>
        <v>0.13125000000000001</v>
      </c>
      <c r="AK17" s="522"/>
      <c r="AL17" s="523"/>
    </row>
    <row r="18" spans="2:38" x14ac:dyDescent="0.25">
      <c r="B18" s="49"/>
      <c r="C18" s="558">
        <f t="shared" ref="C18:H18" si="6">SUM(C4:C17)</f>
        <v>451.10000000000008</v>
      </c>
      <c r="D18" s="559">
        <f t="shared" si="6"/>
        <v>673.3</v>
      </c>
      <c r="E18" s="560">
        <f>SUM(E4:E17)</f>
        <v>573.9</v>
      </c>
      <c r="F18" s="561">
        <f t="shared" si="6"/>
        <v>1574</v>
      </c>
      <c r="G18" s="562">
        <f t="shared" si="6"/>
        <v>1375</v>
      </c>
      <c r="H18" s="563">
        <f t="shared" si="6"/>
        <v>1543</v>
      </c>
      <c r="I18" s="57"/>
      <c r="J18" s="57"/>
      <c r="K18" s="54"/>
      <c r="L18" s="54"/>
      <c r="N18" s="522"/>
      <c r="O18" s="531"/>
      <c r="P18" s="571">
        <f t="shared" ref="P18:U18" si="7">SUM(P4:P17)</f>
        <v>3843815.2696795259</v>
      </c>
      <c r="Q18" s="571">
        <f t="shared" si="7"/>
        <v>5683435.7679738086</v>
      </c>
      <c r="R18" s="571">
        <f t="shared" si="7"/>
        <v>2317761.3601795626</v>
      </c>
      <c r="S18" s="571">
        <f t="shared" si="7"/>
        <v>9802633.2651564442</v>
      </c>
      <c r="T18" s="571">
        <f t="shared" si="7"/>
        <v>11672972.439112395</v>
      </c>
      <c r="U18" s="571">
        <f t="shared" si="7"/>
        <v>13090329.431011613</v>
      </c>
      <c r="X18" s="520"/>
      <c r="Y18" s="522"/>
      <c r="Z18" s="531">
        <v>357</v>
      </c>
      <c r="AA18" s="531">
        <v>684</v>
      </c>
      <c r="AB18" s="531">
        <v>1184</v>
      </c>
      <c r="AC18" s="531">
        <v>1574</v>
      </c>
      <c r="AD18" s="522"/>
      <c r="AE18" s="532">
        <v>451.10000000000008</v>
      </c>
      <c r="AF18" s="532">
        <v>1124.4000000000001</v>
      </c>
      <c r="AG18" s="532">
        <v>1698.3000000000002</v>
      </c>
      <c r="AH18" s="532"/>
      <c r="AI18" s="533">
        <v>2225</v>
      </c>
      <c r="AJ18" s="534">
        <v>0.7632808988764046</v>
      </c>
      <c r="AK18" s="522"/>
      <c r="AL18" s="523"/>
    </row>
    <row r="19" spans="2:38" x14ac:dyDescent="0.25">
      <c r="B19" s="49"/>
      <c r="C19" s="531"/>
      <c r="D19" s="59"/>
      <c r="E19" s="59"/>
      <c r="F19" s="59"/>
      <c r="G19" s="526"/>
      <c r="H19" s="564"/>
      <c r="O19" s="56"/>
      <c r="P19" s="58"/>
      <c r="Q19" s="58"/>
      <c r="R19" s="58"/>
      <c r="S19" s="58"/>
      <c r="T19" s="58"/>
      <c r="X19" s="520"/>
      <c r="Y19" s="522"/>
      <c r="Z19" s="522"/>
      <c r="AA19" s="522"/>
      <c r="AB19" s="522"/>
      <c r="AC19" s="522"/>
      <c r="AD19" s="535" t="s">
        <v>565</v>
      </c>
      <c r="AE19" s="522"/>
      <c r="AF19" s="522"/>
      <c r="AG19" s="522"/>
      <c r="AH19" s="522"/>
      <c r="AI19" s="522"/>
      <c r="AJ19" s="522"/>
      <c r="AK19" s="522"/>
      <c r="AL19" s="523"/>
    </row>
    <row r="20" spans="2:38" ht="14.4" x14ac:dyDescent="0.3">
      <c r="B20" s="49" t="s">
        <v>475</v>
      </c>
      <c r="C20" s="565" t="s">
        <v>554</v>
      </c>
      <c r="D20" s="526"/>
      <c r="E20" s="526"/>
      <c r="F20" s="566" t="s">
        <v>476</v>
      </c>
      <c r="G20" s="567" t="s">
        <v>573</v>
      </c>
      <c r="H20" s="564"/>
      <c r="X20" s="520"/>
      <c r="Y20" s="522"/>
      <c r="Z20" s="522"/>
      <c r="AA20" s="522"/>
      <c r="AB20" s="522"/>
      <c r="AC20" s="522"/>
      <c r="AD20" s="518" t="s">
        <v>554</v>
      </c>
      <c r="AE20" s="522"/>
      <c r="AF20" s="522"/>
      <c r="AG20" s="522"/>
      <c r="AH20" s="522"/>
      <c r="AI20" s="522"/>
      <c r="AJ20" s="522"/>
      <c r="AK20" s="522"/>
      <c r="AL20" s="523"/>
    </row>
    <row r="21" spans="2:38" x14ac:dyDescent="0.25">
      <c r="B21" s="49"/>
      <c r="C21" s="49"/>
      <c r="D21" s="49"/>
      <c r="E21" s="49"/>
      <c r="F21" s="49"/>
      <c r="G21" s="49"/>
      <c r="H21" s="49"/>
      <c r="I21" s="49"/>
      <c r="X21" s="520"/>
      <c r="Y21" s="522"/>
      <c r="Z21" s="522"/>
      <c r="AA21" s="522"/>
      <c r="AB21" s="522"/>
      <c r="AC21" s="522"/>
      <c r="AD21" s="536" t="s">
        <v>566</v>
      </c>
      <c r="AE21" s="537" t="s">
        <v>567</v>
      </c>
      <c r="AF21" s="537" t="s">
        <v>568</v>
      </c>
      <c r="AG21" s="537" t="s">
        <v>569</v>
      </c>
      <c r="AH21" s="522"/>
      <c r="AI21" s="522"/>
      <c r="AJ21" s="522"/>
      <c r="AK21" s="522"/>
      <c r="AL21" s="523"/>
    </row>
    <row r="22" spans="2:38" ht="14.4" thickBot="1" x14ac:dyDescent="0.3">
      <c r="B22" s="60"/>
      <c r="C22" s="61"/>
      <c r="D22" s="61"/>
      <c r="E22" s="61"/>
      <c r="F22" s="61"/>
      <c r="G22" s="61"/>
      <c r="H22" s="61"/>
      <c r="I22" s="62"/>
      <c r="N22" s="63"/>
      <c r="O22" s="64" t="str">
        <f>O4</f>
        <v>Retrofit</v>
      </c>
      <c r="P22" s="65">
        <f>P4/2</f>
        <v>1721638.3805809873</v>
      </c>
      <c r="Q22" s="65">
        <f>Q4/2+P4/2</f>
        <v>4302235.837956042</v>
      </c>
      <c r="R22" s="65">
        <f>R4/2+Q4+$P4/2</f>
        <v>7553300.8711539935</v>
      </c>
      <c r="S22" s="65">
        <f>S4/2+SUM($Q4:R4)+$P4/2</f>
        <v>10538576.353640402</v>
      </c>
      <c r="T22" s="65">
        <f>T4/2+SUM($Q4:S4)+$P4/2</f>
        <v>14696963.414539497</v>
      </c>
      <c r="U22" s="66">
        <f>U4/2+SUM($Q4:T4)+$P4/2</f>
        <v>18685873.467986442</v>
      </c>
      <c r="X22" s="538"/>
      <c r="Y22" s="539"/>
      <c r="Z22" s="539"/>
      <c r="AA22" s="539"/>
      <c r="AB22" s="539"/>
      <c r="AC22" s="539"/>
      <c r="AD22" s="539"/>
      <c r="AE22" s="539"/>
      <c r="AF22" s="539"/>
      <c r="AG22" s="539"/>
      <c r="AH22" s="539"/>
      <c r="AI22" s="539"/>
      <c r="AJ22" s="539"/>
      <c r="AK22" s="539"/>
      <c r="AL22" s="540"/>
    </row>
    <row r="23" spans="2:38" x14ac:dyDescent="0.25">
      <c r="B23" s="60"/>
      <c r="C23" s="61"/>
      <c r="D23" s="61"/>
      <c r="E23" s="61"/>
      <c r="F23" s="61"/>
      <c r="G23" s="61"/>
      <c r="H23" s="61"/>
      <c r="I23" s="62"/>
      <c r="N23" s="67"/>
      <c r="O23" s="578" t="str">
        <f>O5</f>
        <v>Small Business</v>
      </c>
      <c r="P23" s="68">
        <f>P5/2</f>
        <v>50814.019023329121</v>
      </c>
      <c r="Q23" s="68">
        <f>Q5/2+P5/2</f>
        <v>73154.665318068641</v>
      </c>
      <c r="R23" s="68">
        <f>R5/2+Q5+$P5/2</f>
        <v>127035.0475583228</v>
      </c>
      <c r="S23" s="68">
        <f>S5/2+SUM($Q5:R5)+$P5/2</f>
        <v>443308.51078973338</v>
      </c>
      <c r="T23" s="68">
        <f>T5/2+SUM($Q5:S5)+$P5/2</f>
        <v>789369.50241412991</v>
      </c>
      <c r="U23" s="69">
        <f>U5/2+SUM($Q5:T5)+$P5/2</f>
        <v>916404.54997245269</v>
      </c>
    </row>
    <row r="24" spans="2:38" x14ac:dyDescent="0.25">
      <c r="B24" s="70" t="s">
        <v>388</v>
      </c>
      <c r="C24" s="71">
        <v>2019</v>
      </c>
      <c r="D24" s="71">
        <v>2020</v>
      </c>
      <c r="E24" s="71">
        <v>2021</v>
      </c>
      <c r="F24" s="71">
        <v>2022</v>
      </c>
      <c r="G24" s="71">
        <v>2023</v>
      </c>
      <c r="H24" s="71"/>
      <c r="I24" s="72" t="s">
        <v>477</v>
      </c>
      <c r="J24" s="73"/>
      <c r="K24" s="73"/>
      <c r="L24" s="73"/>
      <c r="M24" s="73"/>
      <c r="N24" s="67"/>
      <c r="O24" s="578" t="str">
        <f>O6</f>
        <v xml:space="preserve">Energy Performance </v>
      </c>
      <c r="P24" s="68">
        <f>P6/2</f>
        <v>50076.754814345419</v>
      </c>
      <c r="Q24" s="68">
        <f>Q6/2+P6/2</f>
        <v>127973.92896999385</v>
      </c>
      <c r="R24" s="68">
        <f>R6/2+Q6+$P6/2</f>
        <v>228524.87316070328</v>
      </c>
      <c r="S24" s="68">
        <f>S6/2+SUM($Q6:R6)+$P6/2</f>
        <v>465793.30668581603</v>
      </c>
      <c r="T24" s="68">
        <f>T6/2+SUM($Q6:S6)+$P6/2</f>
        <v>680407.9701758679</v>
      </c>
      <c r="U24" s="69">
        <f>U6/2+SUM($Q6:T6)+$P6/2</f>
        <v>680407.9701758679</v>
      </c>
    </row>
    <row r="25" spans="2:38" x14ac:dyDescent="0.25">
      <c r="B25" s="74" t="s">
        <v>478</v>
      </c>
      <c r="C25" s="75">
        <v>128998218668.82481</v>
      </c>
      <c r="D25" s="75">
        <v>127404529765.21008</v>
      </c>
      <c r="E25" s="75">
        <v>128402542286.7</v>
      </c>
      <c r="F25" s="75">
        <v>130335939993.45003</v>
      </c>
      <c r="G25" s="75">
        <v>129496424296.9221</v>
      </c>
      <c r="H25" s="75"/>
      <c r="I25" s="76">
        <f>AVERAGE(C25:G25)</f>
        <v>128927531002.22141</v>
      </c>
      <c r="J25" s="58"/>
      <c r="K25" s="58"/>
      <c r="L25" s="58"/>
      <c r="M25" s="58"/>
      <c r="N25" s="77" t="s">
        <v>479</v>
      </c>
      <c r="O25" s="578" t="str">
        <f>O7</f>
        <v>Energy Management</v>
      </c>
      <c r="P25" s="68">
        <f>P7/2</f>
        <v>3179.4764961489159</v>
      </c>
      <c r="Q25" s="68">
        <f>Q7/2+P7/2</f>
        <v>62397.226236922463</v>
      </c>
      <c r="R25" s="68">
        <f>R7/2+Q7+$P7/2</f>
        <v>98563.771380616381</v>
      </c>
      <c r="S25" s="68">
        <f>S7/2+SUM($Q7:R7)+$P7/2</f>
        <v>457049.74632140662</v>
      </c>
      <c r="T25" s="68">
        <f>T7/2+SUM($Q7:S7)+$P7/2</f>
        <v>1045252.8981089561</v>
      </c>
      <c r="U25" s="69">
        <f>U7/2+SUM($Q7:T7)+$P7/2</f>
        <v>1486405.2619496179</v>
      </c>
    </row>
    <row r="26" spans="2:38" x14ac:dyDescent="0.25">
      <c r="B26" s="74" t="s">
        <v>168</v>
      </c>
      <c r="C26" s="78">
        <v>1010612631</v>
      </c>
      <c r="D26" s="78">
        <v>1011470685</v>
      </c>
      <c r="E26" s="78">
        <v>1017906857</v>
      </c>
      <c r="F26" s="78">
        <v>1048656697</v>
      </c>
      <c r="G26" s="78">
        <v>1037913921.42</v>
      </c>
      <c r="H26" s="78"/>
      <c r="I26" s="76">
        <f>AVERAGE(C26:G26)</f>
        <v>1025312158.284</v>
      </c>
      <c r="J26" s="58"/>
      <c r="K26" s="58"/>
      <c r="L26" s="58"/>
      <c r="M26" s="58"/>
      <c r="N26" s="79" t="s">
        <v>480</v>
      </c>
      <c r="O26" s="578" t="str">
        <f>O8</f>
        <v>Industrial Energy Efficiency</v>
      </c>
      <c r="P26" s="68">
        <f t="shared" ref="P26:P31" si="8">P8/2</f>
        <v>0</v>
      </c>
      <c r="Q26" s="68">
        <f t="shared" ref="Q26:Q31" si="9">Q8/2+P8/2</f>
        <v>0</v>
      </c>
      <c r="R26" s="68">
        <f t="shared" ref="R26:R31" si="10">R8/2+Q8+$P8/2</f>
        <v>341394.7299737875</v>
      </c>
      <c r="S26" s="68">
        <f>S8/2+SUM($Q8:R8)+$P8/2</f>
        <v>1328037.2313756957</v>
      </c>
      <c r="T26" s="68">
        <f>T8/2+SUM($Q8:S8)+$P8/2</f>
        <v>2493393.8125004228</v>
      </c>
      <c r="U26" s="69">
        <f>U8/2+SUM($Q8:T8)+$P8/2</f>
        <v>3639197.4308546009</v>
      </c>
    </row>
    <row r="27" spans="2:38" x14ac:dyDescent="0.25">
      <c r="B27" s="74" t="s">
        <v>481</v>
      </c>
      <c r="C27" s="80">
        <f>C26/C25</f>
        <v>7.8343146240998154E-3</v>
      </c>
      <c r="D27" s="80">
        <f>D26/D25</f>
        <v>7.9390480610383989E-3</v>
      </c>
      <c r="E27" s="80">
        <f>E26/E25</f>
        <v>7.9274665351032961E-3</v>
      </c>
      <c r="F27" s="80">
        <f>F26/F25</f>
        <v>8.0457983964568776E-3</v>
      </c>
      <c r="G27" s="80">
        <f>G26/G25</f>
        <v>8.0150006230300923E-3</v>
      </c>
      <c r="H27" s="80"/>
      <c r="I27" s="81">
        <f>I26/I25</f>
        <v>7.9526238524364051E-3</v>
      </c>
      <c r="J27" s="82"/>
      <c r="K27" s="58"/>
      <c r="N27" s="67"/>
      <c r="O27" s="578" t="str">
        <f t="shared" ref="O27:O29" si="11">O9</f>
        <v>New Construction</v>
      </c>
      <c r="P27" s="68">
        <f t="shared" si="8"/>
        <v>0</v>
      </c>
      <c r="Q27" s="68">
        <f t="shared" si="9"/>
        <v>0</v>
      </c>
      <c r="R27" s="68">
        <f t="shared" si="10"/>
        <v>0</v>
      </c>
      <c r="S27" s="68">
        <f>S9/2+SUM($Q9:R9)+$P9/2</f>
        <v>0</v>
      </c>
      <c r="T27" s="68">
        <f>T9/2+SUM($Q9:S9)+$P9/2</f>
        <v>0</v>
      </c>
      <c r="U27" s="69">
        <f>U9/2+SUM($Q9:T9)+$P9/2</f>
        <v>0</v>
      </c>
    </row>
    <row r="28" spans="2:38" x14ac:dyDescent="0.25">
      <c r="B28" s="74"/>
      <c r="C28" s="49"/>
      <c r="D28" s="49"/>
      <c r="E28" s="49"/>
      <c r="F28" s="49"/>
      <c r="G28" s="49"/>
      <c r="H28" s="49"/>
      <c r="I28" s="83"/>
      <c r="J28" s="56"/>
      <c r="K28" s="58"/>
      <c r="N28" s="67"/>
      <c r="O28" s="578" t="str">
        <f t="shared" si="11"/>
        <v>Home Renovation Savings</v>
      </c>
      <c r="P28" s="68">
        <f t="shared" si="8"/>
        <v>0</v>
      </c>
      <c r="Q28" s="68">
        <f t="shared" si="9"/>
        <v>0</v>
      </c>
      <c r="R28" s="68">
        <f t="shared" si="10"/>
        <v>0</v>
      </c>
      <c r="S28" s="68">
        <f>S10/2+SUM($Q10:R10)+$P10/2</f>
        <v>0</v>
      </c>
      <c r="T28" s="68">
        <f>T10/2+SUM($Q10:S10)+$P10/2</f>
        <v>360833.03956022061</v>
      </c>
      <c r="U28" s="69">
        <f>U10/2+SUM($Q10:T10)+$P10/2</f>
        <v>1112075.5973331388</v>
      </c>
    </row>
    <row r="29" spans="2:38" x14ac:dyDescent="0.25">
      <c r="B29" s="67" t="s">
        <v>389</v>
      </c>
      <c r="C29" s="236"/>
      <c r="D29" s="49"/>
      <c r="E29" s="49"/>
      <c r="F29" s="49"/>
      <c r="G29" s="49"/>
      <c r="H29" s="49"/>
      <c r="I29" s="84"/>
      <c r="K29" s="58"/>
      <c r="N29" s="67"/>
      <c r="O29" s="578" t="str">
        <f t="shared" si="11"/>
        <v>Commercial HVAC DR</v>
      </c>
      <c r="P29" s="68">
        <f t="shared" si="8"/>
        <v>0</v>
      </c>
      <c r="Q29" s="68">
        <f t="shared" si="9"/>
        <v>0</v>
      </c>
      <c r="R29" s="68">
        <f t="shared" si="10"/>
        <v>0</v>
      </c>
      <c r="S29" s="68">
        <f>S11/2+SUM($Q11:R11)+$P11/2</f>
        <v>0</v>
      </c>
      <c r="T29" s="68">
        <f>T11/2+SUM($Q11:S11)+$P11/2</f>
        <v>0</v>
      </c>
      <c r="U29" s="69">
        <f>U11/2+SUM($Q11:T11)+$P11/2</f>
        <v>0</v>
      </c>
    </row>
    <row r="30" spans="2:38" x14ac:dyDescent="0.25">
      <c r="B30" s="74" t="s">
        <v>478</v>
      </c>
      <c r="C30" s="237">
        <v>40380447498.227791</v>
      </c>
      <c r="D30" s="237">
        <v>43245011031.389999</v>
      </c>
      <c r="E30" s="237">
        <v>43371552787.290001</v>
      </c>
      <c r="F30" s="237">
        <v>43540648596.359993</v>
      </c>
      <c r="G30" s="237">
        <v>42711992242.221611</v>
      </c>
      <c r="H30" s="236"/>
      <c r="I30" s="76">
        <f>AVERAGE(C30:G30)</f>
        <v>42649930431.097885</v>
      </c>
      <c r="K30" s="58"/>
      <c r="N30" s="67"/>
      <c r="O30" s="578" t="str">
        <f>O12</f>
        <v>Peak Perks</v>
      </c>
      <c r="P30" s="68">
        <f t="shared" si="8"/>
        <v>0</v>
      </c>
      <c r="Q30" s="68">
        <f t="shared" si="9"/>
        <v>0</v>
      </c>
      <c r="R30" s="68">
        <f t="shared" si="10"/>
        <v>0</v>
      </c>
      <c r="S30" s="68">
        <f>S12/2+SUM($Q12:R12)+$P12/2</f>
        <v>0</v>
      </c>
      <c r="T30" s="68">
        <f>T12/2+SUM($Q12:S12)+$P12/2</f>
        <v>0</v>
      </c>
      <c r="U30" s="69">
        <f>U12/2+SUM($Q12:T12)+$P12/2</f>
        <v>0</v>
      </c>
    </row>
    <row r="31" spans="2:38" x14ac:dyDescent="0.25">
      <c r="B31" s="74" t="s">
        <v>168</v>
      </c>
      <c r="C31" s="237">
        <v>482531158</v>
      </c>
      <c r="D31" s="237">
        <v>515808015</v>
      </c>
      <c r="E31" s="237">
        <v>512708991</v>
      </c>
      <c r="F31" s="237">
        <v>507634502</v>
      </c>
      <c r="G31" s="237">
        <v>504186847.85000002</v>
      </c>
      <c r="H31" s="236"/>
      <c r="I31" s="76">
        <f>AVERAGE(C31:G31)</f>
        <v>504573902.76999998</v>
      </c>
      <c r="J31" s="87"/>
      <c r="K31" s="82"/>
      <c r="L31" s="58"/>
      <c r="M31" s="82"/>
      <c r="N31" s="67"/>
      <c r="O31" s="578" t="str">
        <f>O13</f>
        <v>Targeted Greenhouse</v>
      </c>
      <c r="P31" s="68">
        <f t="shared" si="8"/>
        <v>0</v>
      </c>
      <c r="Q31" s="68">
        <f t="shared" si="9"/>
        <v>0</v>
      </c>
      <c r="R31" s="68">
        <f t="shared" si="10"/>
        <v>0</v>
      </c>
      <c r="S31" s="68">
        <f>S13/2+SUM($Q13:R13)+$P13/2</f>
        <v>0</v>
      </c>
      <c r="T31" s="68">
        <f>T13/2+SUM($Q13:S13)+$P13/2</f>
        <v>0</v>
      </c>
      <c r="U31" s="69">
        <f>U13/2+SUM($Q13:T13)+$P13/2</f>
        <v>0</v>
      </c>
    </row>
    <row r="32" spans="2:38" x14ac:dyDescent="0.25">
      <c r="B32" s="74" t="s">
        <v>481</v>
      </c>
      <c r="C32" s="80">
        <f>C31/C30</f>
        <v>1.1949623837655025E-2</v>
      </c>
      <c r="D32" s="80">
        <f>D31/D30</f>
        <v>1.1927572746497707E-2</v>
      </c>
      <c r="E32" s="80">
        <f>E31/E30</f>
        <v>1.1821319691146704E-2</v>
      </c>
      <c r="F32" s="80">
        <f>F31/F30</f>
        <v>1.1658864035443844E-2</v>
      </c>
      <c r="G32" s="80">
        <f>G31/G30</f>
        <v>1.1804339282296503E-2</v>
      </c>
      <c r="H32" s="80"/>
      <c r="I32" s="81">
        <f>I31/I30</f>
        <v>1.1830591460990839E-2</v>
      </c>
      <c r="J32" s="87"/>
      <c r="K32" s="56"/>
      <c r="L32" s="58"/>
      <c r="M32" s="56"/>
      <c r="N32" s="67"/>
      <c r="O32" s="578" t="str">
        <f>O14</f>
        <v>Local Initiatives</v>
      </c>
      <c r="P32" s="68">
        <f>P14/2</f>
        <v>0</v>
      </c>
      <c r="Q32" s="68">
        <f>Q14/2+P14/2</f>
        <v>0</v>
      </c>
      <c r="R32" s="68">
        <f>R14/2+Q14+$P14/2</f>
        <v>0</v>
      </c>
      <c r="S32" s="68">
        <f>S14/2+SUM($Q14:R14)+$P14/2</f>
        <v>0</v>
      </c>
      <c r="T32" s="68">
        <f>T14/2+SUM($Q14:S14)+$P14/2</f>
        <v>2548815.9447058681</v>
      </c>
      <c r="U32" s="69">
        <f>U14/2+SUM($Q14:T14)+$P14/2</f>
        <v>7853216.0542809507</v>
      </c>
    </row>
    <row r="33" spans="2:21" x14ac:dyDescent="0.25">
      <c r="B33" s="67"/>
      <c r="C33" s="237"/>
      <c r="D33" s="237"/>
      <c r="E33" s="237"/>
      <c r="F33" s="237"/>
      <c r="G33" s="237"/>
      <c r="H33" s="236"/>
      <c r="I33" s="235"/>
      <c r="L33" s="58"/>
      <c r="N33" s="85"/>
      <c r="O33" s="578" t="str">
        <f>O15</f>
        <v>Residential Demand Response</v>
      </c>
      <c r="P33" s="68">
        <f>P15/2</f>
        <v>0</v>
      </c>
      <c r="Q33" s="68">
        <f>Q15/2+P15/2</f>
        <v>0</v>
      </c>
      <c r="R33" s="68">
        <f>R15/2+Q15+$P15/2</f>
        <v>0</v>
      </c>
      <c r="S33" s="68">
        <f>S15/2+SUM($Q15:R15)+$P15/2</f>
        <v>0</v>
      </c>
      <c r="T33" s="68">
        <f>T15/2+SUM($Q15:S15)+$P15/2</f>
        <v>0</v>
      </c>
      <c r="U33" s="69">
        <f>U15/2+SUM($Q15:T15)+$P15/2</f>
        <v>0</v>
      </c>
    </row>
    <row r="34" spans="2:21" x14ac:dyDescent="0.25">
      <c r="B34" s="67" t="s">
        <v>410</v>
      </c>
      <c r="C34" s="237"/>
      <c r="D34" s="237"/>
      <c r="E34" s="237"/>
      <c r="F34" s="237"/>
      <c r="G34" s="237"/>
      <c r="H34" s="236"/>
      <c r="I34" s="235"/>
      <c r="L34" s="58"/>
      <c r="N34" s="67"/>
      <c r="O34" s="578" t="str">
        <f>O16</f>
        <v>Energy Affordability Program</v>
      </c>
      <c r="P34" s="68">
        <f>P16/2</f>
        <v>96199.003924952456</v>
      </c>
      <c r="Q34" s="68">
        <f>Q16/2+P16/2</f>
        <v>197863.86034564086</v>
      </c>
      <c r="R34" s="68">
        <f>R16/2+Q16+$P16/2</f>
        <v>415404.78967593104</v>
      </c>
      <c r="S34" s="68">
        <f>S16/2+SUM($Q16:R16)+$P16/2</f>
        <v>1591656.2467583038</v>
      </c>
      <c r="T34" s="68">
        <f>T16/2+SUM($Q16:S16)+$P16/2</f>
        <v>2947187.6657008156</v>
      </c>
      <c r="U34" s="69">
        <f>U16/2+SUM($Q16:T16)+$P16/2</f>
        <v>3570294.8502147119</v>
      </c>
    </row>
    <row r="35" spans="2:21" x14ac:dyDescent="0.25">
      <c r="B35" s="74" t="s">
        <v>478</v>
      </c>
      <c r="C35" s="237">
        <v>13348732845.47097</v>
      </c>
      <c r="D35" s="237">
        <v>12530281718.65</v>
      </c>
      <c r="E35" s="237">
        <v>12853976851.249998</v>
      </c>
      <c r="F35" s="237">
        <v>13791653390.570004</v>
      </c>
      <c r="G35" s="237">
        <v>13740005714.122889</v>
      </c>
      <c r="H35" s="236"/>
      <c r="I35" s="76">
        <f>AVERAGE(C35:G35)</f>
        <v>13252930104.012774</v>
      </c>
      <c r="J35" s="56"/>
      <c r="K35" s="88"/>
      <c r="L35" s="82"/>
      <c r="N35" s="67"/>
      <c r="O35" s="578" t="str">
        <f>O17</f>
        <v>First Nations Program</v>
      </c>
      <c r="P35" s="68">
        <f>P17/2</f>
        <v>0</v>
      </c>
      <c r="Q35" s="68">
        <f>Q17/2+P17/2</f>
        <v>0</v>
      </c>
      <c r="R35" s="68">
        <f>R17/2+Q17+$P17/2</f>
        <v>0</v>
      </c>
      <c r="S35" s="68">
        <f>S17/2+SUM($Q17:R17)+$P17/2</f>
        <v>0</v>
      </c>
      <c r="T35" s="68">
        <f>T17/2+SUM($Q17:S17)+$P17/2</f>
        <v>0</v>
      </c>
      <c r="U35" s="69">
        <f>U17/2+SUM($Q17:T17)+$P17/2</f>
        <v>0</v>
      </c>
    </row>
    <row r="36" spans="2:21" x14ac:dyDescent="0.25">
      <c r="B36" s="74" t="s">
        <v>168</v>
      </c>
      <c r="C36" s="237">
        <v>115614839</v>
      </c>
      <c r="D36" s="237">
        <v>113329725</v>
      </c>
      <c r="E36" s="237">
        <v>117469095</v>
      </c>
      <c r="F36" s="237">
        <v>124305034</v>
      </c>
      <c r="G36" s="237">
        <v>126694932.13</v>
      </c>
      <c r="H36" s="236"/>
      <c r="I36" s="76">
        <f>AVERAGE(C36:G36)</f>
        <v>119482725.02599999</v>
      </c>
      <c r="J36" s="56"/>
      <c r="K36" s="89"/>
      <c r="L36" s="56"/>
      <c r="M36" s="56"/>
      <c r="N36" s="90"/>
      <c r="O36" s="579" t="s">
        <v>321</v>
      </c>
      <c r="P36" s="580">
        <f>SUM(P22:P35)</f>
        <v>1921907.6348397629</v>
      </c>
      <c r="Q36" s="580">
        <f>SUM(Q22:Q35)</f>
        <v>4763625.5188266691</v>
      </c>
      <c r="R36" s="580">
        <f>SUM(R22:R35)</f>
        <v>8764224.0829033535</v>
      </c>
      <c r="S36" s="580">
        <f>SUM(S22:S35)</f>
        <v>14824421.395571359</v>
      </c>
      <c r="T36" s="580">
        <f>SUM(T22:T35)</f>
        <v>25562224.24770578</v>
      </c>
      <c r="U36" s="76">
        <f>SUM(U22:U35)</f>
        <v>37943875.182767786</v>
      </c>
    </row>
    <row r="37" spans="2:21" x14ac:dyDescent="0.25">
      <c r="B37" s="74" t="s">
        <v>481</v>
      </c>
      <c r="C37" s="80">
        <f>C36/C35</f>
        <v>8.661109660249619E-3</v>
      </c>
      <c r="D37" s="80">
        <f>D36/D35</f>
        <v>9.0444674385349762E-3</v>
      </c>
      <c r="E37" s="80">
        <f>E36/E35</f>
        <v>9.1387355337096774E-3</v>
      </c>
      <c r="F37" s="80">
        <f>F36/F35</f>
        <v>9.0130625009031302E-3</v>
      </c>
      <c r="G37" s="80">
        <f>G36/G35</f>
        <v>9.2208791441603655E-3</v>
      </c>
      <c r="H37" s="80"/>
      <c r="I37" s="81">
        <f>I36/I35</f>
        <v>9.0155704503280028E-3</v>
      </c>
      <c r="J37" s="56"/>
      <c r="K37" s="56"/>
      <c r="M37" s="56"/>
      <c r="N37" s="90"/>
      <c r="O37" s="578"/>
      <c r="P37" s="578"/>
      <c r="Q37" s="578"/>
      <c r="R37" s="578"/>
      <c r="S37" s="578"/>
      <c r="T37" s="578"/>
      <c r="U37" s="86"/>
    </row>
    <row r="38" spans="2:21" x14ac:dyDescent="0.25">
      <c r="B38" s="67"/>
      <c r="C38" s="237"/>
      <c r="D38" s="237"/>
      <c r="E38" s="237"/>
      <c r="F38" s="237"/>
      <c r="G38" s="237"/>
      <c r="H38" s="236"/>
      <c r="I38" s="235"/>
      <c r="K38" s="56"/>
      <c r="M38" s="56"/>
      <c r="N38" s="91"/>
      <c r="O38" s="578" t="s">
        <v>189</v>
      </c>
      <c r="P38" s="581">
        <f ca="1">SUMPRODUCT(P$22:P$35,$O$65:$O$78)</f>
        <v>96199.003924952456</v>
      </c>
      <c r="Q38" s="581">
        <f ca="1">SUMPRODUCT(Q$22:Q$35,$O$65:$O$78)</f>
        <v>197863.86034564086</v>
      </c>
      <c r="R38" s="581">
        <f ca="1">SUMPRODUCT(R$22:R$35,$O$65:$O$78)</f>
        <v>415404.78967593104</v>
      </c>
      <c r="S38" s="581">
        <f ca="1">SUMPRODUCT(S$22:S$35,$O$65:$O$78)</f>
        <v>1591656.2467583038</v>
      </c>
      <c r="T38" s="581">
        <f ca="1">SUMPRODUCT(T$22:T$35,$O$65:$O$78)</f>
        <v>4457049.5025207829</v>
      </c>
      <c r="U38" s="582">
        <f ca="1">SUMPRODUCT(U$22:U$35,$O$65:$O$78)</f>
        <v>8222669.7838785835</v>
      </c>
    </row>
    <row r="39" spans="2:21" x14ac:dyDescent="0.25">
      <c r="B39" s="67" t="s">
        <v>432</v>
      </c>
      <c r="C39" s="237"/>
      <c r="D39" s="237"/>
      <c r="E39" s="237"/>
      <c r="F39" s="237"/>
      <c r="G39" s="237"/>
      <c r="H39" s="236"/>
      <c r="I39" s="235"/>
      <c r="K39" s="56"/>
      <c r="M39" s="56"/>
      <c r="N39" s="77" t="s">
        <v>479</v>
      </c>
      <c r="O39" s="578" t="s">
        <v>395</v>
      </c>
      <c r="P39" s="581">
        <f ca="1">SUMPRODUCT(P$22:P$35,$P$65:$P$78)</f>
        <v>668459.58601227461</v>
      </c>
      <c r="Q39" s="581">
        <f ca="1">SUMPRODUCT(Q$22:Q$35,$P$65:$P$78)</f>
        <v>1635635.1442323776</v>
      </c>
      <c r="R39" s="581">
        <f ca="1">SUMPRODUCT(R$22:R$35,$P$65:$P$78)</f>
        <v>2869806.9868548205</v>
      </c>
      <c r="S39" s="581">
        <f ca="1">SUMPRODUCT(S$22:S$35,$P$65:$P$78)</f>
        <v>4256043.6417797469</v>
      </c>
      <c r="T39" s="581">
        <f ca="1">SUMPRODUCT(T$22:T$35,$P$65:$P$78)</f>
        <v>6484979.1743638301</v>
      </c>
      <c r="U39" s="582">
        <f ca="1">SUMPRODUCT(U$22:U$35,$P$65:$P$78)</f>
        <v>8850295.8893815167</v>
      </c>
    </row>
    <row r="40" spans="2:21" x14ac:dyDescent="0.25">
      <c r="B40" s="74" t="s">
        <v>478</v>
      </c>
      <c r="C40" s="237">
        <v>51307299220.885902</v>
      </c>
      <c r="D40" s="237">
        <v>48237791431.170006</v>
      </c>
      <c r="E40" s="237">
        <v>48842596890.82</v>
      </c>
      <c r="F40" s="237">
        <v>49862673590.639999</v>
      </c>
      <c r="G40" s="237">
        <v>49525695241.667503</v>
      </c>
      <c r="H40" s="236"/>
      <c r="I40" s="76">
        <f>AVERAGE(C40:G40)</f>
        <v>49555211275.03669</v>
      </c>
      <c r="K40" s="56"/>
      <c r="L40" s="56"/>
      <c r="M40" s="56"/>
      <c r="N40" s="79" t="s">
        <v>480</v>
      </c>
      <c r="O40" s="578" t="s">
        <v>298</v>
      </c>
      <c r="P40" s="581">
        <f ca="1">SUMPRODUCT(P$22:P$35,$Q$65:$Q$78)</f>
        <v>978747.67182192171</v>
      </c>
      <c r="Q40" s="581">
        <f ca="1">SUMPRODUCT(Q$22:Q$35,$Q$65:$Q$78)</f>
        <v>2441363.2070684102</v>
      </c>
      <c r="R40" s="581">
        <f ca="1">SUMPRODUCT(R$22:R$35,$Q$65:$Q$78)</f>
        <v>4341338.0979437325</v>
      </c>
      <c r="S40" s="581">
        <f ca="1">SUMPRODUCT(S$22:S$35,$Q$65:$Q$78)</f>
        <v>6330945.8915122999</v>
      </c>
      <c r="T40" s="581">
        <f ca="1">SUMPRODUCT(T$22:T$35,$Q$65:$Q$78)</f>
        <v>9571267.5821771584</v>
      </c>
      <c r="U40" s="582">
        <f ca="1">SUMPRODUCT(U$22:U$35,$Q$65:$Q$78)</f>
        <v>13181088.261295805</v>
      </c>
    </row>
    <row r="41" spans="2:21" x14ac:dyDescent="0.25">
      <c r="B41" s="74" t="s">
        <v>168</v>
      </c>
      <c r="C41" s="237">
        <v>405750093</v>
      </c>
      <c r="D41" s="237">
        <v>375387717</v>
      </c>
      <c r="E41" s="237">
        <v>380730702</v>
      </c>
      <c r="F41" s="237">
        <v>409501181</v>
      </c>
      <c r="G41" s="237">
        <v>399693192.60000002</v>
      </c>
      <c r="H41" s="236"/>
      <c r="I41" s="76">
        <f>AVERAGE(C41:G41)</f>
        <v>394212577.12</v>
      </c>
      <c r="K41" s="56"/>
      <c r="L41" s="56"/>
      <c r="M41" s="56"/>
      <c r="N41" s="79"/>
      <c r="O41" s="578" t="s">
        <v>299</v>
      </c>
      <c r="P41" s="581">
        <f ca="1">SUMPRODUCT(P$22:P$35,$R$65:$R$78)</f>
        <v>133348.02884031006</v>
      </c>
      <c r="Q41" s="581">
        <f ca="1">SUMPRODUCT(Q$22:Q$35,$R$65:$R$78)</f>
        <v>373566.38513104373</v>
      </c>
      <c r="R41" s="581">
        <f ca="1">SUMPRODUCT(R$22:R$35,$R$65:$R$78)</f>
        <v>919960.68223241123</v>
      </c>
      <c r="S41" s="581">
        <f ca="1">SUMPRODUCT(S$22:S$35,$R$65:$R$78)</f>
        <v>2283460.7943471437</v>
      </c>
      <c r="T41" s="581">
        <f ca="1">SUMPRODUCT(T$22:T$35,$R$65:$R$78)</f>
        <v>4471245.4805830298</v>
      </c>
      <c r="U41" s="582">
        <f ca="1">SUMPRODUCT(U$22:U$35,$R$65:$R$78)</f>
        <v>6890104.9429752994</v>
      </c>
    </row>
    <row r="42" spans="2:21" x14ac:dyDescent="0.25">
      <c r="B42" s="74" t="s">
        <v>481</v>
      </c>
      <c r="C42" s="80">
        <f>C41/C40</f>
        <v>7.908233314974986E-3</v>
      </c>
      <c r="D42" s="80">
        <f>D41/D40</f>
        <v>7.7820253760091142E-3</v>
      </c>
      <c r="E42" s="80">
        <f>E41/E40</f>
        <v>7.7950544450178204E-3</v>
      </c>
      <c r="F42" s="80">
        <f>F41/F40</f>
        <v>8.2125797016401811E-3</v>
      </c>
      <c r="G42" s="80">
        <f>G41/G40</f>
        <v>8.07042063013233E-3</v>
      </c>
      <c r="H42" s="80"/>
      <c r="I42" s="81">
        <f>I41/I40</f>
        <v>7.9550175849736234E-3</v>
      </c>
      <c r="K42" s="56"/>
      <c r="L42" s="56"/>
      <c r="M42" s="56"/>
      <c r="N42" s="67"/>
      <c r="O42" s="578" t="s">
        <v>115</v>
      </c>
      <c r="P42" s="581">
        <f ca="1">SUMPRODUCT(P$22:P$35,$S$65:$S$78)</f>
        <v>45153.34424030441</v>
      </c>
      <c r="Q42" s="581">
        <f ca="1">SUMPRODUCT(Q$22:Q$35,$S$65:$S$78)</f>
        <v>115196.92204919562</v>
      </c>
      <c r="R42" s="581">
        <f ca="1">SUMPRODUCT(R$22:R$35,$S$65:$S$78)</f>
        <v>217713.52619645922</v>
      </c>
      <c r="S42" s="581">
        <f ca="1">SUMPRODUCT(S$22:S$35,$S$65:$S$78)</f>
        <v>362314.82117386197</v>
      </c>
      <c r="T42" s="581">
        <f ca="1">SUMPRODUCT(T$22:T$35,$S$65:$S$78)</f>
        <v>577682.50806097756</v>
      </c>
      <c r="U42" s="582">
        <f ca="1">SUMPRODUCT(U$22:U$35,$S$65:$S$78)</f>
        <v>799716.30523657741</v>
      </c>
    </row>
    <row r="43" spans="2:21" x14ac:dyDescent="0.25">
      <c r="B43" s="67"/>
      <c r="C43" s="236"/>
      <c r="D43" s="49"/>
      <c r="E43" s="236"/>
      <c r="F43" s="236"/>
      <c r="G43" s="236"/>
      <c r="H43" s="236"/>
      <c r="I43" s="235"/>
      <c r="L43" s="56"/>
      <c r="N43" s="67"/>
      <c r="O43" s="579" t="s">
        <v>321</v>
      </c>
      <c r="P43" s="571">
        <f t="shared" ref="P43:U43" ca="1" si="12">SUM(P38:P42)</f>
        <v>1921907.6348397632</v>
      </c>
      <c r="Q43" s="571">
        <f t="shared" ca="1" si="12"/>
        <v>4763625.5188266672</v>
      </c>
      <c r="R43" s="571">
        <f t="shared" ca="1" si="12"/>
        <v>8764224.0829033554</v>
      </c>
      <c r="S43" s="571">
        <f t="shared" ca="1" si="12"/>
        <v>14824421.395571355</v>
      </c>
      <c r="T43" s="571">
        <f t="shared" ca="1" si="12"/>
        <v>25562224.24770578</v>
      </c>
      <c r="U43" s="583">
        <f t="shared" ca="1" si="12"/>
        <v>37943875.182767779</v>
      </c>
    </row>
    <row r="44" spans="2:21" x14ac:dyDescent="0.25">
      <c r="B44" s="67" t="s">
        <v>413</v>
      </c>
      <c r="C44" s="236"/>
      <c r="D44" s="236"/>
      <c r="E44" s="236"/>
      <c r="F44" s="236"/>
      <c r="G44" s="236"/>
      <c r="H44" s="236"/>
      <c r="I44" s="235"/>
      <c r="L44" s="56"/>
      <c r="N44" s="67"/>
      <c r="O44" s="578"/>
      <c r="P44" s="522"/>
      <c r="Q44" s="522"/>
      <c r="R44" s="522"/>
      <c r="S44" s="522"/>
      <c r="T44" s="522"/>
      <c r="U44" s="584"/>
    </row>
    <row r="45" spans="2:21" x14ac:dyDescent="0.25">
      <c r="B45" s="74" t="s">
        <v>478</v>
      </c>
      <c r="C45" s="238">
        <f>7278232554.2417+C46</f>
        <v>7317111492.2417002</v>
      </c>
      <c r="D45" s="238">
        <f>6838043223.44+D46</f>
        <v>6868841739.4399996</v>
      </c>
      <c r="E45" s="238">
        <f>6589682637.65+E46</f>
        <v>6625829269.6499996</v>
      </c>
      <c r="F45" s="238">
        <f>6743150699.45+F46</f>
        <v>6777000859.4499998</v>
      </c>
      <c r="G45" s="238">
        <f>6697966276.26+G46</f>
        <v>6731816436.2600002</v>
      </c>
      <c r="I45" s="76">
        <f>AVERAGE(C45:G45)</f>
        <v>6864119959.4083405</v>
      </c>
      <c r="L45" s="56"/>
      <c r="N45" s="67"/>
      <c r="O45" s="578" t="str">
        <f>O38</f>
        <v>Residential</v>
      </c>
      <c r="P45" s="581">
        <f ca="1">SUMPRODUCT(P$4:P$17,$O$65:$O$78)</f>
        <v>192398.00784990491</v>
      </c>
      <c r="Q45" s="581">
        <f ca="1">SUMPRODUCT(Q$4:Q$17,$O$65:$O$78)</f>
        <v>203329.71284137678</v>
      </c>
      <c r="R45" s="581">
        <f ca="1">SUMPRODUCT(R$4:R$17,$O$65:$O$78)</f>
        <v>231752.14581920355</v>
      </c>
      <c r="S45" s="581">
        <f ca="1">SUMPRODUCT(S$4:S$17,$O$65:$O$78)</f>
        <v>2120750.7683455423</v>
      </c>
      <c r="T45" s="581">
        <f ca="1">SUMPRODUCT(T$4:T$17,$O$65:$O$78)</f>
        <v>3610035.7431794158</v>
      </c>
      <c r="U45" s="582">
        <f ca="1">SUMPRODUCT(U$4:U$17,$O$65:$O$78)</f>
        <v>3921204.8195361863</v>
      </c>
    </row>
    <row r="46" spans="2:21" x14ac:dyDescent="0.25">
      <c r="B46" s="74" t="s">
        <v>168</v>
      </c>
      <c r="C46" s="238">
        <f>SUMIFS('Monthly Data'!$V:$V,'Monthly Data'!$B:$B,C24)</f>
        <v>38878938</v>
      </c>
      <c r="D46" s="238">
        <f>SUMIFS('Monthly Data'!$V:$V,'Monthly Data'!$B:$B,D24)</f>
        <v>30798516</v>
      </c>
      <c r="E46" s="238">
        <f>SUMIFS('Monthly Data'!$V:$V,'Monthly Data'!$B:$B,E24)</f>
        <v>36146632</v>
      </c>
      <c r="F46" s="238">
        <f>SUMIFS('Monthly Data'!$V:$V,'Monthly Data'!$B:$B,F24)</f>
        <v>33850160</v>
      </c>
      <c r="G46" s="238">
        <f>SUMIFS('Monthly Data'!$V:$V,'Monthly Data'!$B:$B,G24)</f>
        <v>33850160.000000007</v>
      </c>
      <c r="I46" s="76">
        <f>AVERAGE(C46:G46)</f>
        <v>34704881.200000003</v>
      </c>
      <c r="L46" s="56"/>
      <c r="N46" s="67"/>
      <c r="O46" s="578" t="s">
        <v>395</v>
      </c>
      <c r="P46" s="581">
        <f ca="1">SUMPRODUCT(P$4:P$17,$P$65:$P$78)</f>
        <v>1336919.1720245492</v>
      </c>
      <c r="Q46" s="581">
        <f ca="1">SUMPRODUCT(Q$4:Q$17,$P$65:$P$78)</f>
        <v>1934351.1164402061</v>
      </c>
      <c r="R46" s="581">
        <f ca="1">SUMPRODUCT(R$4:R$17,$P$65:$P$78)</f>
        <v>533992.56880468002</v>
      </c>
      <c r="S46" s="581">
        <f ca="1">SUMPRODUCT(S$4:S$17,$P$65:$P$78)</f>
        <v>2238480.7410451733</v>
      </c>
      <c r="T46" s="581">
        <f ca="1">SUMPRODUCT(T$4:T$17,$P$65:$P$78)</f>
        <v>2219390.3241229923</v>
      </c>
      <c r="U46" s="582">
        <f ca="1">SUMPRODUCT(U$4:U$17,$P$65:$P$78)</f>
        <v>2511243.1059123804</v>
      </c>
    </row>
    <row r="47" spans="2:21" x14ac:dyDescent="0.25">
      <c r="B47" s="74" t="s">
        <v>481</v>
      </c>
      <c r="C47" s="80">
        <f>C46/C45</f>
        <v>5.3134270321318951E-3</v>
      </c>
      <c r="D47" s="80">
        <f>D46/D45</f>
        <v>4.4838004962552726E-3</v>
      </c>
      <c r="E47" s="80">
        <f>E46/E45</f>
        <v>5.455412527088763E-3</v>
      </c>
      <c r="F47" s="80">
        <f>F46/F45</f>
        <v>4.9948584487485475E-3</v>
      </c>
      <c r="G47" s="80">
        <f>G46/G45</f>
        <v>5.0283842883283017E-3</v>
      </c>
      <c r="I47" s="81">
        <f>I46/I45</f>
        <v>5.0559840744670527E-3</v>
      </c>
      <c r="N47" s="67" t="s">
        <v>467</v>
      </c>
      <c r="O47" s="578" t="s">
        <v>298</v>
      </c>
      <c r="P47" s="581">
        <f ca="1">SUMPRODUCT(P$4:P$17,$Q$65:$Q$78)</f>
        <v>1957495.3436438434</v>
      </c>
      <c r="Q47" s="581">
        <f ca="1">SUMPRODUCT(Q$4:Q$17,$Q$65:$Q$78)</f>
        <v>2925231.0704929768</v>
      </c>
      <c r="R47" s="581">
        <f ca="1">SUMPRODUCT(R$4:R$17,$Q$65:$Q$78)</f>
        <v>874718.71125766716</v>
      </c>
      <c r="S47" s="581">
        <f ca="1">SUMPRODUCT(S$4:S$17,$Q$65:$Q$78)</f>
        <v>3104496.8758794689</v>
      </c>
      <c r="T47" s="581">
        <f ca="1">SUMPRODUCT(T$4:T$17,$Q$65:$Q$78)</f>
        <v>3376146.505450245</v>
      </c>
      <c r="U47" s="582">
        <f ca="1">SUMPRODUCT(U$4:U$17,$Q$65:$Q$78)</f>
        <v>3843494.8527870509</v>
      </c>
    </row>
    <row r="48" spans="2:21" x14ac:dyDescent="0.25">
      <c r="B48" s="67"/>
      <c r="I48" s="86"/>
      <c r="N48" s="67"/>
      <c r="O48" s="578" t="s">
        <v>299</v>
      </c>
      <c r="P48" s="581">
        <f ca="1">SUMPRODUCT(P$4:P$17,$R$65:$R$78)</f>
        <v>266696.05768062011</v>
      </c>
      <c r="Q48" s="581">
        <f ca="1">SUMPRODUCT(Q$4:Q$17,$R$65:$R$78)</f>
        <v>480436.71258146735</v>
      </c>
      <c r="R48" s="581">
        <f ca="1">SUMPRODUCT(R$4:R$17,$R$65:$R$78)</f>
        <v>612351.88162126741</v>
      </c>
      <c r="S48" s="581">
        <f ca="1">SUMPRODUCT(S$4:S$17,$R$65:$R$78)</f>
        <v>2114648.3426081985</v>
      </c>
      <c r="T48" s="581">
        <f ca="1">SUMPRODUCT(T$4:T$17,$R$65:$R$78)</f>
        <v>2260921.0298635736</v>
      </c>
      <c r="U48" s="582">
        <f ca="1">SUMPRODUCT(U$4:U$17,$R$65:$R$78)</f>
        <v>2576797.8949209652</v>
      </c>
    </row>
    <row r="49" spans="2:21" x14ac:dyDescent="0.25">
      <c r="B49" s="74" t="s">
        <v>475</v>
      </c>
      <c r="C49" s="49" t="s">
        <v>482</v>
      </c>
      <c r="I49" s="86"/>
      <c r="N49" s="67"/>
      <c r="O49" s="578" t="s">
        <v>115</v>
      </c>
      <c r="P49" s="581">
        <f ca="1">SUMPRODUCT(P$4:P$17,$S$65:$S$78)</f>
        <v>90306.68848060882</v>
      </c>
      <c r="Q49" s="581">
        <f ca="1">SUMPRODUCT(Q$4:Q$17,$S$65:$S$78)</f>
        <v>140087.15561778244</v>
      </c>
      <c r="R49" s="581">
        <f ca="1">SUMPRODUCT(R$4:R$17,$S$65:$S$78)</f>
        <v>64946.052676744803</v>
      </c>
      <c r="S49" s="581">
        <f ca="1">SUMPRODUCT(S$4:S$17,$S$65:$S$78)</f>
        <v>224256.53727806071</v>
      </c>
      <c r="T49" s="581">
        <f ca="1">SUMPRODUCT(T$4:T$17,$S$65:$S$78)</f>
        <v>206478.83649617029</v>
      </c>
      <c r="U49" s="582">
        <f ca="1">SUMPRODUCT(U$4:U$17,$S$65:$S$78)</f>
        <v>237588.75785502951</v>
      </c>
    </row>
    <row r="50" spans="2:21" x14ac:dyDescent="0.25">
      <c r="B50" s="96"/>
      <c r="C50" s="110"/>
      <c r="D50" s="110"/>
      <c r="E50" s="110"/>
      <c r="F50" s="110"/>
      <c r="G50" s="110"/>
      <c r="H50" s="110"/>
      <c r="I50" s="111"/>
      <c r="N50" s="96"/>
      <c r="O50" s="97" t="s">
        <v>321</v>
      </c>
      <c r="P50" s="585">
        <f ca="1">SUM(P45:P49)</f>
        <v>3843815.2696795263</v>
      </c>
      <c r="Q50" s="585">
        <f t="shared" ref="Q50:U50" ca="1" si="13">SUM(Q45:Q49)</f>
        <v>5683435.7679738104</v>
      </c>
      <c r="R50" s="585">
        <f t="shared" ca="1" si="13"/>
        <v>2317761.3601795631</v>
      </c>
      <c r="S50" s="585">
        <f t="shared" ca="1" si="13"/>
        <v>9802633.2651564423</v>
      </c>
      <c r="T50" s="585">
        <f t="shared" ca="1" si="13"/>
        <v>11672972.439112397</v>
      </c>
      <c r="U50" s="586">
        <f t="shared" ca="1" si="13"/>
        <v>13090329.431011613</v>
      </c>
    </row>
    <row r="51" spans="2:21" x14ac:dyDescent="0.25">
      <c r="B51" s="67"/>
      <c r="I51" s="86"/>
      <c r="O51" s="56"/>
      <c r="P51" s="58"/>
      <c r="Q51" s="58"/>
      <c r="R51" s="58"/>
      <c r="S51" s="58"/>
      <c r="T51" s="58"/>
      <c r="U51" s="58"/>
    </row>
    <row r="52" spans="2:21" x14ac:dyDescent="0.25">
      <c r="B52" s="70" t="str">
        <f>B16</f>
        <v>Energy Affordability Program</v>
      </c>
      <c r="C52" s="56">
        <v>2018</v>
      </c>
      <c r="D52" s="56">
        <v>2019</v>
      </c>
      <c r="E52" s="56">
        <v>2020</v>
      </c>
      <c r="F52" s="56">
        <v>2021</v>
      </c>
      <c r="G52" s="49">
        <v>2022</v>
      </c>
      <c r="H52" s="49"/>
      <c r="I52" s="83" t="s">
        <v>483</v>
      </c>
      <c r="O52" s="56"/>
      <c r="P52" s="58"/>
      <c r="Q52" s="58"/>
      <c r="R52" s="58"/>
      <c r="S52" s="58"/>
      <c r="T52" s="58"/>
      <c r="U52" s="58"/>
    </row>
    <row r="53" spans="2:21" x14ac:dyDescent="0.25">
      <c r="B53" s="74" t="s">
        <v>478</v>
      </c>
      <c r="C53" s="239">
        <v>1358300</v>
      </c>
      <c r="D53" s="239">
        <v>1400400</v>
      </c>
      <c r="E53" s="239">
        <v>1192760</v>
      </c>
      <c r="F53" s="239">
        <v>1418720</v>
      </c>
      <c r="G53" s="240">
        <v>1616050</v>
      </c>
      <c r="H53" s="49"/>
      <c r="I53" s="83"/>
      <c r="O53" s="56"/>
      <c r="P53" s="58"/>
      <c r="Q53" s="58"/>
      <c r="R53" s="58"/>
      <c r="S53" s="58"/>
      <c r="T53" s="58"/>
      <c r="U53" s="58"/>
    </row>
    <row r="54" spans="2:21" x14ac:dyDescent="0.25">
      <c r="B54" s="74" t="s">
        <v>168</v>
      </c>
      <c r="C54" s="239">
        <v>29100</v>
      </c>
      <c r="D54" s="94">
        <v>30710</v>
      </c>
      <c r="E54" s="239">
        <v>26000</v>
      </c>
      <c r="F54" s="239">
        <v>31230</v>
      </c>
      <c r="G54" s="240">
        <v>35800</v>
      </c>
      <c r="H54" s="49"/>
      <c r="I54" s="123"/>
    </row>
    <row r="55" spans="2:21" x14ac:dyDescent="0.25">
      <c r="B55" s="74" t="s">
        <v>484</v>
      </c>
      <c r="C55" s="95">
        <f>C54/C53</f>
        <v>2.1423838621806669E-2</v>
      </c>
      <c r="D55" s="95">
        <f>D54/D53</f>
        <v>2.192944872893459E-2</v>
      </c>
      <c r="E55" s="95">
        <f>E54/E53</f>
        <v>2.179818236694725E-2</v>
      </c>
      <c r="F55" s="95">
        <f>F54/F53</f>
        <v>2.2012800270666516E-2</v>
      </c>
      <c r="G55" s="95">
        <f>G54/G53</f>
        <v>2.2152779926363664E-2</v>
      </c>
      <c r="H55" s="49"/>
      <c r="I55" s="81">
        <f>AVERAGE(C55:G55)</f>
        <v>2.1863409982943737E-2</v>
      </c>
    </row>
    <row r="56" spans="2:21" x14ac:dyDescent="0.25">
      <c r="B56" s="74"/>
      <c r="C56" s="49"/>
      <c r="D56" s="49"/>
      <c r="E56" s="49"/>
      <c r="F56" s="49"/>
      <c r="G56" s="49"/>
      <c r="H56" s="49"/>
      <c r="I56" s="84"/>
    </row>
    <row r="57" spans="2:21" x14ac:dyDescent="0.25">
      <c r="B57" s="74" t="s">
        <v>475</v>
      </c>
      <c r="C57" s="49" t="s">
        <v>485</v>
      </c>
      <c r="D57" s="49"/>
      <c r="E57" s="49"/>
      <c r="F57" s="49"/>
      <c r="G57" s="49"/>
      <c r="H57" s="49"/>
      <c r="I57" s="84"/>
    </row>
    <row r="58" spans="2:21" x14ac:dyDescent="0.25">
      <c r="B58" s="74"/>
      <c r="C58" s="49" t="s">
        <v>486</v>
      </c>
      <c r="D58" s="49"/>
      <c r="E58" s="49"/>
      <c r="F58" s="49"/>
      <c r="G58" s="49"/>
      <c r="H58" s="49"/>
      <c r="I58" s="84"/>
    </row>
    <row r="59" spans="2:21" x14ac:dyDescent="0.25">
      <c r="B59" s="98"/>
      <c r="C59" s="99"/>
      <c r="D59" s="99"/>
      <c r="E59" s="99"/>
      <c r="F59" s="99"/>
      <c r="G59" s="99"/>
      <c r="H59" s="99"/>
      <c r="I59" s="100"/>
    </row>
    <row r="61" spans="2:21" x14ac:dyDescent="0.25">
      <c r="B61" s="60"/>
      <c r="C61" s="102" t="s">
        <v>460</v>
      </c>
      <c r="D61" s="102"/>
      <c r="E61" s="102"/>
      <c r="F61" s="102"/>
      <c r="G61" s="64"/>
      <c r="H61" s="64"/>
      <c r="I61" s="64"/>
      <c r="J61" s="101"/>
    </row>
    <row r="62" spans="2:21" x14ac:dyDescent="0.25">
      <c r="B62" s="74"/>
      <c r="C62" s="51">
        <v>2021</v>
      </c>
      <c r="D62" s="51">
        <v>2023</v>
      </c>
      <c r="E62" s="51">
        <v>2024</v>
      </c>
      <c r="F62" s="51">
        <v>2025</v>
      </c>
      <c r="G62" s="51">
        <v>2026</v>
      </c>
      <c r="H62" s="51"/>
      <c r="I62" s="51"/>
      <c r="J62" s="84" t="s">
        <v>487</v>
      </c>
      <c r="N62" s="63"/>
      <c r="O62" s="61" t="s">
        <v>189</v>
      </c>
      <c r="P62" s="61" t="str">
        <f>O39</f>
        <v>GS &lt; 50</v>
      </c>
      <c r="Q62" s="61" t="str">
        <f>O40</f>
        <v>GS 50-999</v>
      </c>
      <c r="R62" s="61" t="str">
        <f>O41</f>
        <v>GS 1,000-4,999</v>
      </c>
      <c r="S62" s="61" t="str">
        <f>O42</f>
        <v>Large Use</v>
      </c>
      <c r="T62" s="64"/>
      <c r="U62" s="101"/>
    </row>
    <row r="63" spans="2:21" x14ac:dyDescent="0.25">
      <c r="B63" s="74" t="s">
        <v>488</v>
      </c>
      <c r="C63" s="105">
        <v>0</v>
      </c>
      <c r="D63" s="105">
        <v>0</v>
      </c>
      <c r="E63" s="105">
        <v>0.5</v>
      </c>
      <c r="F63" s="105">
        <v>1</v>
      </c>
      <c r="G63" s="105">
        <v>0.5</v>
      </c>
      <c r="H63" s="105"/>
      <c r="I63" s="105"/>
      <c r="J63" s="86"/>
      <c r="N63" s="67"/>
      <c r="U63" s="86"/>
    </row>
    <row r="64" spans="2:21" x14ac:dyDescent="0.25">
      <c r="B64" s="74"/>
      <c r="C64" s="50"/>
      <c r="D64" s="50"/>
      <c r="E64" s="50"/>
      <c r="F64" s="50"/>
      <c r="G64" s="50"/>
      <c r="H64" s="50"/>
      <c r="I64" s="50"/>
      <c r="J64" s="86"/>
      <c r="N64" s="67"/>
      <c r="U64" s="86"/>
    </row>
    <row r="65" spans="2:22" x14ac:dyDescent="0.25">
      <c r="B65" s="74" t="s">
        <v>463</v>
      </c>
      <c r="C65" s="106">
        <f>C$63*P4</f>
        <v>0</v>
      </c>
      <c r="D65" s="106">
        <f>D$63*R4</f>
        <v>0</v>
      </c>
      <c r="E65" s="106">
        <f>E$63*S4</f>
        <v>2314807.9066635123</v>
      </c>
      <c r="F65" s="106">
        <f>F$63*T4</f>
        <v>3687158.3084711661</v>
      </c>
      <c r="G65" s="106">
        <f>G$63*U4</f>
        <v>2145330.899211362</v>
      </c>
      <c r="H65" s="106"/>
      <c r="I65" s="106"/>
      <c r="J65" s="93">
        <f>SUM(C65:I65)</f>
        <v>8147297.1143460404</v>
      </c>
      <c r="L65" s="47" t="str">
        <f>L83</f>
        <v>Retrofit</v>
      </c>
      <c r="N65" s="67"/>
      <c r="P65" s="103">
        <v>0.36253582099628878</v>
      </c>
      <c r="Q65" s="103">
        <v>0.55684096513771453</v>
      </c>
      <c r="R65" s="103">
        <v>5.5671831539488077E-2</v>
      </c>
      <c r="S65" s="103">
        <v>2.4951382326508672E-2</v>
      </c>
      <c r="U65" s="104">
        <f>SUM(O65:S65)</f>
        <v>1</v>
      </c>
    </row>
    <row r="66" spans="2:22" x14ac:dyDescent="0.25">
      <c r="B66" s="107" t="s">
        <v>361</v>
      </c>
      <c r="C66" s="108">
        <f>C$63*P5</f>
        <v>0</v>
      </c>
      <c r="D66" s="108">
        <f>D$63*R5</f>
        <v>0</v>
      </c>
      <c r="E66" s="108">
        <f>E$63*S5</f>
        <v>284733.7272858959</v>
      </c>
      <c r="F66" s="108">
        <f>F$63*T5</f>
        <v>122654.52867700133</v>
      </c>
      <c r="G66" s="108">
        <f>G$63*U5</f>
        <v>65707.783219822144</v>
      </c>
      <c r="H66" s="108"/>
      <c r="I66" s="108"/>
      <c r="J66" s="93">
        <f t="shared" ref="J66:J78" si="14">SUM(C66:I66)</f>
        <v>473096.03918271937</v>
      </c>
      <c r="L66" s="47" t="str">
        <f>L84</f>
        <v>Small Business</v>
      </c>
      <c r="N66" s="67"/>
      <c r="P66" s="103">
        <v>0.76</v>
      </c>
      <c r="Q66" s="103">
        <v>0.24000000000000002</v>
      </c>
      <c r="R66" s="103">
        <v>0</v>
      </c>
      <c r="S66" s="103">
        <v>0</v>
      </c>
      <c r="U66" s="104">
        <f>SUM(O66:S66)</f>
        <v>1</v>
      </c>
    </row>
    <row r="67" spans="2:22" x14ac:dyDescent="0.25">
      <c r="B67" s="74" t="s">
        <v>465</v>
      </c>
      <c r="C67" s="106">
        <f>C$63*P6</f>
        <v>0</v>
      </c>
      <c r="D67" s="106">
        <f>D$63*R6</f>
        <v>0</v>
      </c>
      <c r="E67" s="106">
        <f>E$63*S6</f>
        <v>214614.66349005178</v>
      </c>
      <c r="F67" s="106">
        <f>F$63*T6</f>
        <v>0</v>
      </c>
      <c r="G67" s="106">
        <f>G$63*U6</f>
        <v>0</v>
      </c>
      <c r="H67" s="106"/>
      <c r="I67" s="106"/>
      <c r="J67" s="93">
        <f t="shared" si="14"/>
        <v>214614.66349005178</v>
      </c>
      <c r="L67" s="47" t="str">
        <f>L85</f>
        <v xml:space="preserve">Energy Performance </v>
      </c>
      <c r="N67" s="67"/>
      <c r="P67" s="103">
        <v>0.10675460226895223</v>
      </c>
      <c r="Q67" s="103">
        <v>0.147842413962222</v>
      </c>
      <c r="R67" s="103">
        <v>0.70416674296850834</v>
      </c>
      <c r="S67" s="103">
        <v>4.1236240800317452E-2</v>
      </c>
      <c r="U67" s="104">
        <f>SUM(O67:S67)</f>
        <v>1</v>
      </c>
    </row>
    <row r="68" spans="2:22" x14ac:dyDescent="0.25">
      <c r="B68" s="107" t="s">
        <v>466</v>
      </c>
      <c r="C68" s="108">
        <f>C$63*P7</f>
        <v>0</v>
      </c>
      <c r="D68" s="108">
        <f>D$63*R7</f>
        <v>0</v>
      </c>
      <c r="E68" s="108">
        <f>E$63*S7</f>
        <v>381537.17953786987</v>
      </c>
      <c r="F68" s="108">
        <f>F$63*T7</f>
        <v>413331.944499359</v>
      </c>
      <c r="G68" s="108">
        <f>G$63*U7</f>
        <v>234486.39159098253</v>
      </c>
      <c r="H68" s="108"/>
      <c r="I68" s="108"/>
      <c r="J68" s="93">
        <f t="shared" si="14"/>
        <v>1029355.5156282114</v>
      </c>
      <c r="L68" s="47" t="str">
        <f>L86</f>
        <v>Energy Management</v>
      </c>
      <c r="N68" s="67"/>
      <c r="P68" s="103">
        <v>0.10675460226895223</v>
      </c>
      <c r="Q68" s="103">
        <v>0.147842413962222</v>
      </c>
      <c r="R68" s="103">
        <v>0.70416674296850834</v>
      </c>
      <c r="S68" s="103">
        <v>4.1236240800317452E-2</v>
      </c>
      <c r="U68" s="104">
        <f>SUM(O68:S68)</f>
        <v>1</v>
      </c>
      <c r="V68" s="47" t="s">
        <v>489</v>
      </c>
    </row>
    <row r="69" spans="2:22" x14ac:dyDescent="0.25">
      <c r="B69" s="74" t="s">
        <v>468</v>
      </c>
      <c r="C69" s="106">
        <f>C$63*P8</f>
        <v>0</v>
      </c>
      <c r="D69" s="106">
        <f>D$63*R8</f>
        <v>0</v>
      </c>
      <c r="E69" s="106">
        <f>E$63*S8</f>
        <v>645247.77142812079</v>
      </c>
      <c r="F69" s="106">
        <f>F$63*T8</f>
        <v>1040217.6193932127</v>
      </c>
      <c r="G69" s="106">
        <f>G$63*U8</f>
        <v>625694.80865757156</v>
      </c>
      <c r="H69" s="106"/>
      <c r="I69" s="106"/>
      <c r="J69" s="93">
        <f t="shared" si="14"/>
        <v>2311160.1994789052</v>
      </c>
      <c r="L69" s="47" t="str">
        <f>L87</f>
        <v>Industrial Energy Efficiency</v>
      </c>
      <c r="N69" s="67"/>
      <c r="P69" s="103">
        <v>0</v>
      </c>
      <c r="Q69" s="103">
        <v>0.16551153169975433</v>
      </c>
      <c r="R69" s="103">
        <v>0.78832395303371028</v>
      </c>
      <c r="S69" s="103">
        <v>4.6164515266535408E-2</v>
      </c>
      <c r="U69" s="104">
        <f>SUM(O69:S69)</f>
        <v>1</v>
      </c>
    </row>
    <row r="70" spans="2:22" x14ac:dyDescent="0.25">
      <c r="B70" s="572" t="s">
        <v>561</v>
      </c>
      <c r="C70" s="106">
        <f t="shared" ref="C70:C73" si="15">C$63*P9</f>
        <v>0</v>
      </c>
      <c r="D70" s="106">
        <f t="shared" ref="D70:G70" si="16">D$63*R9</f>
        <v>0</v>
      </c>
      <c r="E70" s="106">
        <f t="shared" si="16"/>
        <v>0</v>
      </c>
      <c r="F70" s="106">
        <f t="shared" si="16"/>
        <v>0</v>
      </c>
      <c r="G70" s="106">
        <f t="shared" si="16"/>
        <v>0</v>
      </c>
      <c r="H70" s="106"/>
      <c r="I70" s="106"/>
      <c r="J70" s="93">
        <f t="shared" si="14"/>
        <v>0</v>
      </c>
      <c r="L70" s="47" t="str">
        <f t="shared" ref="L70:L73" si="17">L88</f>
        <v>New Construction</v>
      </c>
      <c r="N70" s="67"/>
      <c r="P70" s="103"/>
      <c r="Q70" s="103"/>
      <c r="R70" s="103"/>
      <c r="S70" s="103"/>
      <c r="U70" s="104">
        <f>SUM(O70:S70)</f>
        <v>0</v>
      </c>
    </row>
    <row r="71" spans="2:22" x14ac:dyDescent="0.25">
      <c r="B71" s="573" t="s">
        <v>562</v>
      </c>
      <c r="C71" s="106">
        <f t="shared" si="15"/>
        <v>0</v>
      </c>
      <c r="D71" s="106">
        <f t="shared" ref="D71:G71" si="18">D$63*R10</f>
        <v>0</v>
      </c>
      <c r="E71" s="106">
        <f>E$63*S10</f>
        <v>0</v>
      </c>
      <c r="F71" s="106">
        <f>F$63*T10</f>
        <v>721666.07912044122</v>
      </c>
      <c r="G71" s="106">
        <f t="shared" si="18"/>
        <v>390409.5182126977</v>
      </c>
      <c r="H71" s="106"/>
      <c r="I71" s="106"/>
      <c r="J71" s="93">
        <f t="shared" si="14"/>
        <v>1112075.5973331388</v>
      </c>
      <c r="L71" s="47" t="str">
        <f t="shared" si="17"/>
        <v>Home Renovation Savings</v>
      </c>
      <c r="N71" s="67"/>
      <c r="O71" s="574">
        <v>1</v>
      </c>
      <c r="P71" s="103"/>
      <c r="Q71" s="103"/>
      <c r="R71" s="103"/>
      <c r="S71" s="103"/>
      <c r="U71" s="104">
        <f>SUM(O71:S71)</f>
        <v>1</v>
      </c>
    </row>
    <row r="72" spans="2:22" x14ac:dyDescent="0.25">
      <c r="B72" s="572" t="s">
        <v>563</v>
      </c>
      <c r="C72" s="106">
        <f t="shared" si="15"/>
        <v>0</v>
      </c>
      <c r="D72" s="106">
        <f t="shared" ref="D72:G72" si="19">D$63*R11</f>
        <v>0</v>
      </c>
      <c r="E72" s="106">
        <f t="shared" si="19"/>
        <v>0</v>
      </c>
      <c r="F72" s="106">
        <f t="shared" si="19"/>
        <v>0</v>
      </c>
      <c r="G72" s="106">
        <f t="shared" si="19"/>
        <v>0</v>
      </c>
      <c r="H72" s="106"/>
      <c r="I72" s="106"/>
      <c r="J72" s="93">
        <f t="shared" si="14"/>
        <v>0</v>
      </c>
      <c r="L72" s="47" t="str">
        <f t="shared" si="17"/>
        <v>Commercial HVAC DR</v>
      </c>
      <c r="N72" s="67"/>
      <c r="P72" s="103"/>
      <c r="Q72" s="103"/>
      <c r="R72" s="103"/>
      <c r="S72" s="103"/>
      <c r="U72" s="104">
        <f>SUM(O72:S72)</f>
        <v>0</v>
      </c>
    </row>
    <row r="73" spans="2:22" x14ac:dyDescent="0.25">
      <c r="B73" s="573" t="s">
        <v>574</v>
      </c>
      <c r="C73" s="106">
        <f t="shared" si="15"/>
        <v>0</v>
      </c>
      <c r="D73" s="106">
        <f t="shared" ref="D73:G73" si="20">D$63*R12</f>
        <v>0</v>
      </c>
      <c r="E73" s="106">
        <f t="shared" si="20"/>
        <v>0</v>
      </c>
      <c r="F73" s="106">
        <f t="shared" si="20"/>
        <v>0</v>
      </c>
      <c r="G73" s="106">
        <f t="shared" si="20"/>
        <v>0</v>
      </c>
      <c r="H73" s="106"/>
      <c r="I73" s="106"/>
      <c r="J73" s="93">
        <f t="shared" si="14"/>
        <v>0</v>
      </c>
      <c r="L73" s="47" t="str">
        <f t="shared" si="17"/>
        <v>Peak Perks</v>
      </c>
      <c r="N73" s="67"/>
      <c r="P73" s="103"/>
      <c r="Q73" s="103"/>
      <c r="R73" s="103"/>
      <c r="S73" s="103"/>
      <c r="U73" s="104">
        <f>SUM(O73:S73)</f>
        <v>0</v>
      </c>
    </row>
    <row r="74" spans="2:22" x14ac:dyDescent="0.25">
      <c r="B74" s="107" t="s">
        <v>469</v>
      </c>
      <c r="C74" s="108">
        <f>C$63*P13</f>
        <v>0</v>
      </c>
      <c r="D74" s="108">
        <f>D$63*R13</f>
        <v>0</v>
      </c>
      <c r="E74" s="108">
        <f>E$63*S13</f>
        <v>0</v>
      </c>
      <c r="F74" s="108">
        <f>F$63*T13</f>
        <v>0</v>
      </c>
      <c r="G74" s="108">
        <f>G$63*U13</f>
        <v>0</v>
      </c>
      <c r="H74" s="108"/>
      <c r="I74" s="108"/>
      <c r="J74" s="93">
        <f t="shared" si="14"/>
        <v>0</v>
      </c>
      <c r="L74" s="47" t="str">
        <f>L92</f>
        <v>Targeted Greenhouse</v>
      </c>
      <c r="N74" s="67"/>
      <c r="P74" s="103"/>
      <c r="Q74" s="103"/>
      <c r="R74" s="103"/>
      <c r="S74" s="103"/>
      <c r="U74" s="104">
        <f>SUM(O74:S74)</f>
        <v>0</v>
      </c>
    </row>
    <row r="75" spans="2:22" x14ac:dyDescent="0.25">
      <c r="B75" s="74" t="s">
        <v>470</v>
      </c>
      <c r="C75" s="106">
        <f>C$63*P14</f>
        <v>0</v>
      </c>
      <c r="D75" s="106">
        <f>D$63*R14</f>
        <v>0</v>
      </c>
      <c r="E75" s="106">
        <f>E$63*S14</f>
        <v>0</v>
      </c>
      <c r="F75" s="106">
        <f>F$63*T14</f>
        <v>5097631.8894117363</v>
      </c>
      <c r="G75" s="106">
        <f>G$63*U14</f>
        <v>2755584.1648692144</v>
      </c>
      <c r="H75" s="106"/>
      <c r="I75" s="106"/>
      <c r="J75" s="93">
        <f t="shared" si="14"/>
        <v>7853216.0542809507</v>
      </c>
      <c r="L75" s="47" t="str">
        <f>L93</f>
        <v>Local Initiatives</v>
      </c>
      <c r="N75" s="67"/>
      <c r="O75" s="575">
        <f ca="1">CDM!M16/SUM(CDM!$M$16:$Q$16)</f>
        <v>0.45080885485136279</v>
      </c>
      <c r="P75" s="575">
        <f ca="1">CDM!N16/SUM(CDM!$M$16:$Q$16)</f>
        <v>0.14620922943290784</v>
      </c>
      <c r="Q75" s="575">
        <f ca="1">CDM!O16/SUM(CDM!$M$16:$Q$16)</f>
        <v>0.20799317144419496</v>
      </c>
      <c r="R75" s="575">
        <f ca="1">CDM!P16/SUM(CDM!$M$16:$Q$16)</f>
        <v>0.18529527421518438</v>
      </c>
      <c r="S75" s="575">
        <f ca="1">CDM!Q16/SUM(CDM!$M$16:$Q$16)</f>
        <v>9.6934700563499152E-3</v>
      </c>
      <c r="U75" s="104">
        <f ca="1">SUM(O75:S75)</f>
        <v>0.99999999999999989</v>
      </c>
    </row>
    <row r="76" spans="2:22" x14ac:dyDescent="0.25">
      <c r="B76" s="107" t="s">
        <v>471</v>
      </c>
      <c r="C76" s="108">
        <f>C$63*P15</f>
        <v>0</v>
      </c>
      <c r="D76" s="108">
        <f>D$63*R15</f>
        <v>0</v>
      </c>
      <c r="E76" s="108">
        <f>E$63*S15</f>
        <v>0</v>
      </c>
      <c r="F76" s="108">
        <f>F$63*T15</f>
        <v>0</v>
      </c>
      <c r="G76" s="108">
        <f>G$63*U15</f>
        <v>0</v>
      </c>
      <c r="H76" s="108"/>
      <c r="I76" s="108"/>
      <c r="J76" s="93">
        <f t="shared" si="14"/>
        <v>0</v>
      </c>
      <c r="L76" s="47" t="str">
        <f>L94</f>
        <v>Residential Demand Response</v>
      </c>
      <c r="N76" s="67"/>
      <c r="U76" s="104">
        <f>SUM(O76:S76)</f>
        <v>0</v>
      </c>
    </row>
    <row r="77" spans="2:22" x14ac:dyDescent="0.25">
      <c r="B77" s="74" t="s">
        <v>472</v>
      </c>
      <c r="C77" s="106"/>
      <c r="D77" s="106">
        <f>D$63*R16</f>
        <v>0</v>
      </c>
      <c r="E77" s="106">
        <f>E$63*S16</f>
        <v>1060375.3841727711</v>
      </c>
      <c r="F77" s="106">
        <f>F$63*T16</f>
        <v>590312.06953948084</v>
      </c>
      <c r="G77" s="106">
        <f>G$63*U16</f>
        <v>327951.14974415605</v>
      </c>
      <c r="H77" s="106"/>
      <c r="I77" s="106"/>
      <c r="J77" s="93">
        <f t="shared" si="14"/>
        <v>1978638.603456408</v>
      </c>
      <c r="L77" s="47" t="str">
        <f>L95</f>
        <v>Energy Affordability Program</v>
      </c>
      <c r="N77" s="67"/>
      <c r="O77" s="109">
        <v>1</v>
      </c>
      <c r="U77" s="104">
        <f>SUM(O77:S77)</f>
        <v>1</v>
      </c>
    </row>
    <row r="78" spans="2:22" x14ac:dyDescent="0.25">
      <c r="B78" s="107" t="s">
        <v>474</v>
      </c>
      <c r="C78" s="108"/>
      <c r="D78" s="108">
        <f>D$63*R17</f>
        <v>0</v>
      </c>
      <c r="E78" s="108">
        <f>E$63*S17</f>
        <v>0</v>
      </c>
      <c r="F78" s="108">
        <f>F$63*T17</f>
        <v>0</v>
      </c>
      <c r="G78" s="108">
        <f>G$63*U17</f>
        <v>0</v>
      </c>
      <c r="H78" s="108"/>
      <c r="I78" s="108"/>
      <c r="J78" s="93">
        <f t="shared" si="14"/>
        <v>0</v>
      </c>
      <c r="L78" s="47" t="str">
        <f>L96</f>
        <v>First Nations Program</v>
      </c>
      <c r="N78" s="67"/>
      <c r="U78" s="86"/>
    </row>
    <row r="79" spans="2:22" x14ac:dyDescent="0.25">
      <c r="B79" s="67"/>
      <c r="J79" s="86"/>
      <c r="N79" s="96"/>
      <c r="O79" s="110"/>
      <c r="P79" s="110"/>
      <c r="Q79" s="110"/>
      <c r="R79" s="110"/>
      <c r="S79" s="110"/>
      <c r="T79" s="110"/>
      <c r="U79" s="111"/>
    </row>
    <row r="80" spans="2:22" x14ac:dyDescent="0.25">
      <c r="B80" s="67"/>
      <c r="C80" s="92">
        <f>SUM(C65:C76)</f>
        <v>0</v>
      </c>
      <c r="D80" s="92">
        <f>SUM(D65:D78)</f>
        <v>0</v>
      </c>
      <c r="E80" s="92">
        <f>SUM(E65:E78)</f>
        <v>4901316.6325782221</v>
      </c>
      <c r="F80" s="92">
        <f>SUM(F65:F78)</f>
        <v>11672972.439112395</v>
      </c>
      <c r="G80" s="92">
        <f>SUM(G65:G78)</f>
        <v>6545164.7155058067</v>
      </c>
      <c r="H80" s="92"/>
      <c r="I80" s="92"/>
      <c r="J80" s="93">
        <f>SUM(J65:J79)</f>
        <v>23119453.787196424</v>
      </c>
      <c r="N80" s="63"/>
      <c r="O80" s="64"/>
      <c r="P80" s="64"/>
      <c r="Q80" s="64"/>
      <c r="R80" s="64"/>
      <c r="S80" s="64"/>
      <c r="T80" s="64"/>
      <c r="U80" s="101"/>
    </row>
    <row r="81" spans="2:21" x14ac:dyDescent="0.25">
      <c r="B81" s="96"/>
      <c r="C81" s="110"/>
      <c r="D81" s="110"/>
      <c r="E81" s="110"/>
      <c r="F81" s="110"/>
      <c r="G81" s="110"/>
      <c r="H81" s="110"/>
      <c r="I81" s="110"/>
      <c r="J81" s="111"/>
      <c r="N81" s="67"/>
      <c r="U81" s="86"/>
    </row>
    <row r="82" spans="2:21" x14ac:dyDescent="0.25">
      <c r="N82" s="67"/>
      <c r="O82" s="47" t="str">
        <f>O62</f>
        <v>Residential</v>
      </c>
      <c r="P82" s="47" t="str">
        <f>P62</f>
        <v>GS &lt; 50</v>
      </c>
      <c r="Q82" s="47" t="str">
        <f>Q62</f>
        <v>GS 50-999</v>
      </c>
      <c r="R82" s="47" t="str">
        <f>R62</f>
        <v>GS 1,000-4,999</v>
      </c>
      <c r="S82" s="47" t="str">
        <f>S62</f>
        <v>Large Use</v>
      </c>
      <c r="U82" s="86"/>
    </row>
    <row r="83" spans="2:21" x14ac:dyDescent="0.25">
      <c r="L83" s="47" t="str">
        <f>B65</f>
        <v>Retrofit</v>
      </c>
      <c r="N83" s="67"/>
      <c r="O83" s="92">
        <f>O65*$J65</f>
        <v>0</v>
      </c>
      <c r="P83" s="92">
        <f>P65*$J65</f>
        <v>2953687.0482501364</v>
      </c>
      <c r="Q83" s="92">
        <f>Q65*$J65</f>
        <v>4536748.7884161659</v>
      </c>
      <c r="R83" s="92">
        <f>R65*$J65</f>
        <v>453574.95245203009</v>
      </c>
      <c r="S83" s="92">
        <f>S65*$J65</f>
        <v>203286.32522770891</v>
      </c>
      <c r="U83" s="93">
        <f>SUM(O83:S83)</f>
        <v>8147297.1143460413</v>
      </c>
    </row>
    <row r="84" spans="2:21" x14ac:dyDescent="0.25">
      <c r="L84" s="47" t="str">
        <f>B66</f>
        <v>Small Business</v>
      </c>
      <c r="N84" s="67"/>
      <c r="O84" s="92">
        <f>O66*$J66</f>
        <v>0</v>
      </c>
      <c r="P84" s="92">
        <f>P66*$J66</f>
        <v>359552.9897788667</v>
      </c>
      <c r="Q84" s="92">
        <f>Q66*$J66</f>
        <v>113543.04940385265</v>
      </c>
      <c r="R84" s="92">
        <f>R66*$J66</f>
        <v>0</v>
      </c>
      <c r="S84" s="92">
        <f>S66*$J66</f>
        <v>0</v>
      </c>
      <c r="U84" s="93">
        <f>SUM(O84:S84)</f>
        <v>473096.03918271937</v>
      </c>
    </row>
    <row r="85" spans="2:21" x14ac:dyDescent="0.25">
      <c r="L85" s="47" t="str">
        <f>B67</f>
        <v xml:space="preserve">Energy Performance </v>
      </c>
      <c r="N85" s="67"/>
      <c r="O85" s="92">
        <f>O67*$J67</f>
        <v>0</v>
      </c>
      <c r="P85" s="92">
        <f>P67*$J67</f>
        <v>22911.1030419655</v>
      </c>
      <c r="Q85" s="92">
        <f>Q67*$J67</f>
        <v>31729.149922059209</v>
      </c>
      <c r="R85" s="92">
        <f>R67*$J67</f>
        <v>151124.50858307219</v>
      </c>
      <c r="S85" s="92">
        <f>S67*$J67</f>
        <v>8849.9019429548734</v>
      </c>
      <c r="U85" s="93">
        <f>SUM(O85:S85)</f>
        <v>214614.66349005175</v>
      </c>
    </row>
    <row r="86" spans="2:21" x14ac:dyDescent="0.25">
      <c r="L86" s="47" t="str">
        <f>B68</f>
        <v>Energy Management</v>
      </c>
      <c r="N86" s="67"/>
      <c r="O86" s="92">
        <f>O68*$J68</f>
        <v>0</v>
      </c>
      <c r="P86" s="92">
        <f>P68*$J68</f>
        <v>109888.43866424194</v>
      </c>
      <c r="Q86" s="92">
        <f>Q68*$J68</f>
        <v>152182.40425580251</v>
      </c>
      <c r="R86" s="92">
        <f>R68*$J68</f>
        <v>724837.92079658713</v>
      </c>
      <c r="S86" s="92">
        <f>S68*$J68</f>
        <v>42446.751911579864</v>
      </c>
      <c r="U86" s="93">
        <f>SUM(O86:S86)</f>
        <v>1029355.5156282114</v>
      </c>
    </row>
    <row r="87" spans="2:21" x14ac:dyDescent="0.25">
      <c r="L87" s="47" t="str">
        <f>B69</f>
        <v>Industrial Energy Efficiency</v>
      </c>
      <c r="N87" s="67"/>
      <c r="O87" s="92">
        <f>O69*$J69</f>
        <v>0</v>
      </c>
      <c r="P87" s="92">
        <f>P69*$J69</f>
        <v>0</v>
      </c>
      <c r="Q87" s="92">
        <f>Q69*$J69</f>
        <v>382523.66461926338</v>
      </c>
      <c r="R87" s="92">
        <f>R69*$J69</f>
        <v>1821942.9445473889</v>
      </c>
      <c r="S87" s="92">
        <f>S69*$J69</f>
        <v>106693.59031225294</v>
      </c>
      <c r="U87" s="93">
        <f>SUM(O87:S87)</f>
        <v>2311160.1994789052</v>
      </c>
    </row>
    <row r="88" spans="2:21" x14ac:dyDescent="0.25">
      <c r="L88" s="522" t="str">
        <f>B70</f>
        <v>New Construction</v>
      </c>
      <c r="N88" s="67"/>
      <c r="O88" s="92">
        <f>O70*$J70</f>
        <v>0</v>
      </c>
      <c r="P88" s="92">
        <f>P70*$J70</f>
        <v>0</v>
      </c>
      <c r="Q88" s="92">
        <f>Q70*$J70</f>
        <v>0</v>
      </c>
      <c r="R88" s="92">
        <f>R70*$J70</f>
        <v>0</v>
      </c>
      <c r="S88" s="92">
        <f>S70*$J70</f>
        <v>0</v>
      </c>
      <c r="U88" s="93">
        <f>SUM(O88:S88)</f>
        <v>0</v>
      </c>
    </row>
    <row r="89" spans="2:21" x14ac:dyDescent="0.25">
      <c r="L89" s="522" t="str">
        <f>B71</f>
        <v>Home Renovation Savings</v>
      </c>
      <c r="N89" s="67"/>
      <c r="O89" s="92">
        <f>O71*$J71</f>
        <v>1112075.5973331388</v>
      </c>
      <c r="P89" s="92">
        <f>P71*$J71</f>
        <v>0</v>
      </c>
      <c r="Q89" s="92">
        <f>Q71*$J71</f>
        <v>0</v>
      </c>
      <c r="R89" s="92">
        <f>R71*$J71</f>
        <v>0</v>
      </c>
      <c r="S89" s="92">
        <f>S71*$J71</f>
        <v>0</v>
      </c>
      <c r="U89" s="93">
        <f>SUM(O89:S89)</f>
        <v>1112075.5973331388</v>
      </c>
    </row>
    <row r="90" spans="2:21" x14ac:dyDescent="0.25">
      <c r="L90" s="522" t="str">
        <f>B72</f>
        <v>Commercial HVAC DR</v>
      </c>
      <c r="N90" s="67"/>
      <c r="O90" s="92">
        <f>O72*$J72</f>
        <v>0</v>
      </c>
      <c r="P90" s="92">
        <f>P72*$J72</f>
        <v>0</v>
      </c>
      <c r="Q90" s="92">
        <f>Q72*$J72</f>
        <v>0</v>
      </c>
      <c r="R90" s="92">
        <f>R72*$J72</f>
        <v>0</v>
      </c>
      <c r="S90" s="92">
        <f>S72*$J72</f>
        <v>0</v>
      </c>
      <c r="U90" s="93">
        <f>SUM(O90:S90)</f>
        <v>0</v>
      </c>
    </row>
    <row r="91" spans="2:21" x14ac:dyDescent="0.25">
      <c r="C91" s="115"/>
      <c r="D91" s="115"/>
      <c r="E91" s="88"/>
      <c r="F91" s="88"/>
      <c r="L91" s="522" t="str">
        <f>B73</f>
        <v>Peak Perks</v>
      </c>
      <c r="N91" s="67"/>
      <c r="O91" s="92">
        <f>O73*$J73</f>
        <v>0</v>
      </c>
      <c r="P91" s="92">
        <f>P73*$J73</f>
        <v>0</v>
      </c>
      <c r="Q91" s="92">
        <f>Q73*$J73</f>
        <v>0</v>
      </c>
      <c r="R91" s="92">
        <f>R73*$J73</f>
        <v>0</v>
      </c>
      <c r="S91" s="92">
        <f>S73*$J73</f>
        <v>0</v>
      </c>
      <c r="U91" s="93">
        <f>SUM(O91:S91)</f>
        <v>0</v>
      </c>
    </row>
    <row r="92" spans="2:21" x14ac:dyDescent="0.25">
      <c r="C92" s="115"/>
      <c r="D92" s="115"/>
      <c r="E92" s="88"/>
      <c r="F92" s="88"/>
      <c r="L92" s="47" t="str">
        <f>B74</f>
        <v>Targeted Greenhouse</v>
      </c>
      <c r="N92" s="67"/>
      <c r="O92" s="92">
        <f>O74*$J74</f>
        <v>0</v>
      </c>
      <c r="P92" s="92">
        <f>P74*$J74</f>
        <v>0</v>
      </c>
      <c r="Q92" s="92">
        <f>Q74*$J74</f>
        <v>0</v>
      </c>
      <c r="R92" s="92">
        <f>R74*$J74</f>
        <v>0</v>
      </c>
      <c r="S92" s="92">
        <f>S74*$J74</f>
        <v>0</v>
      </c>
      <c r="U92" s="93">
        <f>SUM(O92:S92)</f>
        <v>0</v>
      </c>
    </row>
    <row r="93" spans="2:21" x14ac:dyDescent="0.25">
      <c r="C93" s="115"/>
      <c r="D93" s="115"/>
      <c r="E93" s="88"/>
      <c r="F93" s="88"/>
      <c r="L93" s="47" t="str">
        <f>B75</f>
        <v>Local Initiatives</v>
      </c>
      <c r="N93" s="67"/>
      <c r="O93" s="92">
        <f ca="1">O75*$J75</f>
        <v>3540299.3363307333</v>
      </c>
      <c r="P93" s="92">
        <f ca="1">P75*$J75</f>
        <v>1148212.6678665588</v>
      </c>
      <c r="Q93" s="92">
        <f ca="1">Q75*$J75</f>
        <v>1633415.313166362</v>
      </c>
      <c r="R93" s="92">
        <f ca="1">R75*$J75</f>
        <v>1455163.822249077</v>
      </c>
      <c r="S93" s="92">
        <f ca="1">S75*$J75</f>
        <v>76124.914668218829</v>
      </c>
      <c r="U93" s="93">
        <f ca="1">SUM(O93:S93)</f>
        <v>7853216.0542809507</v>
      </c>
    </row>
    <row r="94" spans="2:21" x14ac:dyDescent="0.25">
      <c r="C94" s="115"/>
      <c r="D94" s="115"/>
      <c r="E94" s="88"/>
      <c r="F94" s="88"/>
      <c r="L94" s="47" t="str">
        <f>B76</f>
        <v>Residential Demand Response</v>
      </c>
      <c r="N94" s="67"/>
      <c r="O94" s="92">
        <f>O76*$J76</f>
        <v>0</v>
      </c>
      <c r="P94" s="92">
        <f>P76*$J76</f>
        <v>0</v>
      </c>
      <c r="Q94" s="92">
        <f>Q76*$J76</f>
        <v>0</v>
      </c>
      <c r="R94" s="92">
        <f>R76*$J76</f>
        <v>0</v>
      </c>
      <c r="S94" s="92">
        <f>S76*$J76</f>
        <v>0</v>
      </c>
      <c r="U94" s="93">
        <f>SUM(O94:S94)</f>
        <v>0</v>
      </c>
    </row>
    <row r="95" spans="2:21" x14ac:dyDescent="0.25">
      <c r="C95" s="115"/>
      <c r="D95" s="115"/>
      <c r="E95" s="88"/>
      <c r="F95" s="88"/>
      <c r="L95" s="47" t="str">
        <f>B77</f>
        <v>Energy Affordability Program</v>
      </c>
      <c r="N95" s="67"/>
      <c r="O95" s="92">
        <f>O77*$J77</f>
        <v>1978638.603456408</v>
      </c>
      <c r="P95" s="92">
        <f>P77*$J77</f>
        <v>0</v>
      </c>
      <c r="Q95" s="92">
        <f>Q77*$J77</f>
        <v>0</v>
      </c>
      <c r="R95" s="92">
        <f>R77*$J77</f>
        <v>0</v>
      </c>
      <c r="S95" s="92">
        <f>S77*$J77</f>
        <v>0</v>
      </c>
      <c r="U95" s="93">
        <f>SUM(O95:S95)</f>
        <v>1978638.603456408</v>
      </c>
    </row>
    <row r="96" spans="2:21" x14ac:dyDescent="0.25">
      <c r="C96" s="115"/>
      <c r="D96" s="115"/>
      <c r="E96" s="88"/>
      <c r="L96" s="47" t="str">
        <f>B78</f>
        <v>First Nations Program</v>
      </c>
      <c r="N96" s="67"/>
      <c r="O96" s="92">
        <f>O78*$J78</f>
        <v>0</v>
      </c>
      <c r="P96" s="92">
        <f>P78*$J78</f>
        <v>0</v>
      </c>
      <c r="Q96" s="92">
        <f>Q78*$J78</f>
        <v>0</v>
      </c>
      <c r="R96" s="92">
        <f>R78*$J78</f>
        <v>0</v>
      </c>
      <c r="S96" s="92">
        <f>S78*$J78</f>
        <v>0</v>
      </c>
      <c r="U96" s="93">
        <f>SUM(O96:S96)</f>
        <v>0</v>
      </c>
    </row>
    <row r="97" spans="3:21" x14ac:dyDescent="0.25">
      <c r="C97" s="115"/>
      <c r="D97" s="115"/>
      <c r="E97" s="88"/>
      <c r="N97" s="67"/>
      <c r="O97" s="92"/>
      <c r="P97" s="92"/>
      <c r="Q97" s="92"/>
      <c r="R97" s="92"/>
      <c r="S97" s="92"/>
      <c r="U97" s="86"/>
    </row>
    <row r="98" spans="3:21" x14ac:dyDescent="0.25">
      <c r="C98" s="115"/>
      <c r="D98" s="115"/>
      <c r="E98" s="88"/>
      <c r="L98" s="316" t="s">
        <v>321</v>
      </c>
      <c r="M98" s="316"/>
      <c r="N98" s="576"/>
      <c r="O98" s="326">
        <f ca="1">SUM(O83:O96)</f>
        <v>6631013.5371202799</v>
      </c>
      <c r="P98" s="326">
        <f ca="1">SUM(P83:P96)</f>
        <v>4594252.2476017699</v>
      </c>
      <c r="Q98" s="326">
        <f ca="1">SUM(Q83:Q96)</f>
        <v>6850142.3697835058</v>
      </c>
      <c r="R98" s="326">
        <f ca="1">SUM(R83:R96)</f>
        <v>4606644.1486281557</v>
      </c>
      <c r="S98" s="326">
        <f ca="1">SUM(S83:S96)</f>
        <v>437401.48406271538</v>
      </c>
      <c r="T98" s="316"/>
      <c r="U98" s="577">
        <f ca="1">SUM(O98:S98)</f>
        <v>23119453.787196428</v>
      </c>
    </row>
    <row r="99" spans="3:21" x14ac:dyDescent="0.25">
      <c r="C99" s="115"/>
      <c r="D99" s="115"/>
      <c r="E99" s="88"/>
      <c r="N99" s="96"/>
      <c r="O99" s="112"/>
      <c r="P99" s="112"/>
      <c r="Q99" s="112"/>
      <c r="R99" s="110"/>
      <c r="S99" s="110"/>
      <c r="T99" s="110"/>
      <c r="U99" s="111"/>
    </row>
    <row r="100" spans="3:21" x14ac:dyDescent="0.25">
      <c r="C100" s="115"/>
      <c r="D100" s="115"/>
      <c r="E100" s="88"/>
      <c r="F100" s="88"/>
      <c r="O100" s="92"/>
      <c r="P100" s="92"/>
      <c r="Q100" s="92"/>
    </row>
    <row r="101" spans="3:21" x14ac:dyDescent="0.25">
      <c r="C101" s="115"/>
      <c r="D101" s="115"/>
      <c r="E101" s="116"/>
      <c r="O101" s="92"/>
      <c r="P101" s="92"/>
      <c r="Q101" s="92"/>
    </row>
    <row r="102" spans="3:21" x14ac:dyDescent="0.25">
      <c r="C102" s="288"/>
      <c r="D102" s="114"/>
      <c r="E102" s="88"/>
    </row>
    <row r="103" spans="3:21" x14ac:dyDescent="0.25">
      <c r="C103" s="114"/>
      <c r="D103" s="114"/>
      <c r="E103" s="88"/>
      <c r="O103" s="113"/>
      <c r="P103" s="113"/>
      <c r="Q103" s="113"/>
      <c r="R103" s="113"/>
    </row>
    <row r="104" spans="3:21" x14ac:dyDescent="0.25">
      <c r="C104" s="114"/>
      <c r="D104" s="114"/>
      <c r="E104" s="88"/>
      <c r="P104" s="114"/>
      <c r="Q104" s="114"/>
      <c r="R104" s="114"/>
    </row>
    <row r="128" spans="4:6" x14ac:dyDescent="0.25">
      <c r="D128" s="114"/>
      <c r="E128" s="114"/>
      <c r="F128" s="88"/>
    </row>
    <row r="129" spans="4:18" x14ac:dyDescent="0.25">
      <c r="D129" s="114"/>
      <c r="E129" s="114"/>
      <c r="F129" s="88"/>
    </row>
    <row r="130" spans="4:18" x14ac:dyDescent="0.25">
      <c r="D130" s="114"/>
      <c r="E130" s="114"/>
      <c r="F130" s="88"/>
    </row>
    <row r="144" spans="4:18" x14ac:dyDescent="0.25">
      <c r="O144" s="92"/>
      <c r="P144" s="92"/>
      <c r="Q144" s="92"/>
      <c r="R144" s="92"/>
    </row>
    <row r="145" spans="15:18" x14ac:dyDescent="0.25">
      <c r="O145" s="92"/>
      <c r="P145" s="92"/>
      <c r="Q145" s="92"/>
      <c r="R145" s="92"/>
    </row>
    <row r="146" spans="15:18" x14ac:dyDescent="0.25">
      <c r="O146" s="92"/>
      <c r="P146" s="92"/>
      <c r="Q146" s="92"/>
      <c r="R146" s="92"/>
    </row>
    <row r="147" spans="15:18" x14ac:dyDescent="0.25">
      <c r="O147" s="92"/>
      <c r="P147" s="92"/>
      <c r="Q147" s="92"/>
      <c r="R147" s="92"/>
    </row>
    <row r="148" spans="15:18" x14ac:dyDescent="0.25">
      <c r="O148" s="92"/>
      <c r="P148" s="92"/>
      <c r="Q148" s="92"/>
      <c r="R148" s="92"/>
    </row>
    <row r="149" spans="15:18" x14ac:dyDescent="0.25">
      <c r="O149" s="92"/>
      <c r="P149" s="92"/>
      <c r="Q149" s="92"/>
      <c r="R149" s="92"/>
    </row>
    <row r="150" spans="15:18" x14ac:dyDescent="0.25">
      <c r="O150" s="92"/>
      <c r="P150" s="92"/>
      <c r="Q150" s="92"/>
      <c r="R150" s="92"/>
    </row>
    <row r="151" spans="15:18" x14ac:dyDescent="0.25">
      <c r="O151" s="92"/>
      <c r="P151" s="92"/>
      <c r="Q151" s="92"/>
    </row>
    <row r="152" spans="15:18" x14ac:dyDescent="0.25">
      <c r="O152" s="92"/>
      <c r="P152" s="92"/>
      <c r="Q152" s="92"/>
      <c r="R152" s="92"/>
    </row>
    <row r="153" spans="15:18" x14ac:dyDescent="0.25">
      <c r="O153" s="92"/>
      <c r="P153" s="92"/>
      <c r="Q153" s="92"/>
    </row>
    <row r="154" spans="15:18" x14ac:dyDescent="0.25">
      <c r="O154" s="92"/>
      <c r="P154" s="92"/>
      <c r="Q154" s="92"/>
    </row>
  </sheetData>
  <mergeCells count="3">
    <mergeCell ref="Y2:AC2"/>
    <mergeCell ref="C2:E2"/>
    <mergeCell ref="G2:H2"/>
  </mergeCells>
  <hyperlinks>
    <hyperlink ref="G20" r:id="rId1" xr:uid="{DC34C834-4355-4799-A764-CF1F487A8F7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4"/>
  <dimension ref="B1:X39"/>
  <sheetViews>
    <sheetView topLeftCell="C1" workbookViewId="0">
      <selection activeCell="O15" sqref="O15"/>
    </sheetView>
  </sheetViews>
  <sheetFormatPr defaultColWidth="8.77734375" defaultRowHeight="13.8" x14ac:dyDescent="0.25"/>
  <cols>
    <col min="1" max="1" width="8.77734375" style="47"/>
    <col min="2" max="2" width="16.6640625" style="47" customWidth="1"/>
    <col min="3" max="3" width="16.33203125" style="47" bestFit="1" customWidth="1"/>
    <col min="4" max="5" width="16.109375" style="47" customWidth="1"/>
    <col min="6" max="6" width="16.33203125" style="47" bestFit="1" customWidth="1"/>
    <col min="7" max="7" width="13.33203125" style="47" customWidth="1"/>
    <col min="8" max="8" width="16.33203125" style="47" bestFit="1" customWidth="1"/>
    <col min="9" max="10" width="16.109375" style="47" customWidth="1"/>
    <col min="11" max="11" width="15.33203125" style="47" customWidth="1"/>
    <col min="12" max="12" width="12" style="47" customWidth="1"/>
    <col min="13" max="15" width="12.33203125" style="47" bestFit="1" customWidth="1"/>
    <col min="16" max="18" width="9.109375" style="47" bestFit="1" customWidth="1"/>
    <col min="19" max="19" width="13.77734375" style="47" customWidth="1"/>
    <col min="20" max="22" width="14" style="47" bestFit="1" customWidth="1"/>
    <col min="23" max="24" width="15.109375" style="47" bestFit="1" customWidth="1"/>
    <col min="25" max="16384" width="8.77734375" style="47"/>
  </cols>
  <sheetData>
    <row r="1" spans="2:24" ht="14.4" thickBot="1" x14ac:dyDescent="0.3"/>
    <row r="2" spans="2:24" x14ac:dyDescent="0.25">
      <c r="B2" s="500"/>
      <c r="C2" s="501"/>
      <c r="D2" s="501"/>
      <c r="E2" s="501"/>
      <c r="F2" s="501"/>
      <c r="G2" s="501"/>
      <c r="H2" s="501"/>
      <c r="I2" s="501"/>
      <c r="J2" s="501"/>
      <c r="K2" s="502"/>
    </row>
    <row r="3" spans="2:24" x14ac:dyDescent="0.25">
      <c r="B3" s="497" t="s">
        <v>490</v>
      </c>
      <c r="C3" s="498"/>
      <c r="D3" s="498"/>
      <c r="E3" s="498"/>
      <c r="F3" s="498"/>
      <c r="G3" s="498"/>
      <c r="H3" s="498"/>
      <c r="I3" s="498"/>
      <c r="J3" s="498"/>
      <c r="K3" s="499"/>
    </row>
    <row r="4" spans="2:24" x14ac:dyDescent="0.25">
      <c r="B4" s="503" t="s">
        <v>491</v>
      </c>
      <c r="C4" s="504">
        <v>2024</v>
      </c>
      <c r="D4" s="505"/>
      <c r="E4" s="506"/>
      <c r="F4" s="507">
        <v>2025</v>
      </c>
      <c r="G4" s="508"/>
      <c r="H4" s="509"/>
      <c r="I4" s="507">
        <v>2026</v>
      </c>
      <c r="J4" s="508"/>
      <c r="K4" s="510"/>
      <c r="N4" s="47" t="s">
        <v>206</v>
      </c>
    </row>
    <row r="5" spans="2:24" ht="28.2" thickBot="1" x14ac:dyDescent="0.3">
      <c r="B5" s="503"/>
      <c r="C5" s="146" t="s">
        <v>396</v>
      </c>
      <c r="D5" s="147" t="s">
        <v>492</v>
      </c>
      <c r="E5" s="146" t="s">
        <v>493</v>
      </c>
      <c r="F5" s="146" t="s">
        <v>396</v>
      </c>
      <c r="G5" s="147" t="s">
        <v>492</v>
      </c>
      <c r="H5" s="146" t="s">
        <v>493</v>
      </c>
      <c r="I5" s="146" t="s">
        <v>396</v>
      </c>
      <c r="J5" s="147" t="s">
        <v>492</v>
      </c>
      <c r="K5" s="148" t="s">
        <v>493</v>
      </c>
    </row>
    <row r="6" spans="2:24" x14ac:dyDescent="0.25">
      <c r="B6" s="145"/>
      <c r="C6" s="149" t="s">
        <v>309</v>
      </c>
      <c r="D6" s="149" t="s">
        <v>311</v>
      </c>
      <c r="E6" s="149" t="s">
        <v>494</v>
      </c>
      <c r="F6" s="149" t="s">
        <v>429</v>
      </c>
      <c r="G6" s="149" t="s">
        <v>450</v>
      </c>
      <c r="H6" s="149" t="s">
        <v>495</v>
      </c>
      <c r="I6" s="149" t="s">
        <v>353</v>
      </c>
      <c r="J6" s="149" t="s">
        <v>496</v>
      </c>
      <c r="K6" s="150" t="s">
        <v>497</v>
      </c>
      <c r="M6" s="452">
        <v>2024</v>
      </c>
      <c r="N6" s="453">
        <v>2025</v>
      </c>
      <c r="O6" s="454">
        <v>2026</v>
      </c>
    </row>
    <row r="7" spans="2:24" x14ac:dyDescent="0.25">
      <c r="B7" s="117" t="s">
        <v>189</v>
      </c>
      <c r="C7" s="118">
        <f ca="1">'CDM Framework'!S45</f>
        <v>2120750.7683455423</v>
      </c>
      <c r="D7" s="285">
        <v>0.5</v>
      </c>
      <c r="E7" s="119">
        <f ca="1">C7*D7</f>
        <v>1060375.3841727711</v>
      </c>
      <c r="F7" s="118">
        <f ca="1">'CDM Framework'!T45</f>
        <v>3610035.7431794158</v>
      </c>
      <c r="G7" s="120">
        <v>0.5</v>
      </c>
      <c r="H7" s="121">
        <f ca="1">F7*G7</f>
        <v>1805017.8715897079</v>
      </c>
      <c r="I7" s="118">
        <f ca="1">'CDM Framework'!U45</f>
        <v>3921204.8195361863</v>
      </c>
      <c r="J7" s="120">
        <v>0.5</v>
      </c>
      <c r="K7" s="124">
        <f ca="1">I7*J7</f>
        <v>1960602.4097680931</v>
      </c>
      <c r="M7" s="455">
        <f ca="1">E7</f>
        <v>1060375.3841727711</v>
      </c>
      <c r="N7" s="120">
        <f ca="1">E7+H7</f>
        <v>2865393.2557624793</v>
      </c>
      <c r="O7" s="124">
        <f ca="1">E7+F7+K7</f>
        <v>6631013.5371202808</v>
      </c>
      <c r="W7" s="202"/>
      <c r="X7" s="202"/>
    </row>
    <row r="8" spans="2:24" x14ac:dyDescent="0.25">
      <c r="B8" s="122" t="s">
        <v>395</v>
      </c>
      <c r="C8" s="118">
        <f ca="1">'CDM Framework'!S46</f>
        <v>2238480.7410451733</v>
      </c>
      <c r="D8" s="285">
        <f>D7</f>
        <v>0.5</v>
      </c>
      <c r="E8" s="119">
        <f ca="1">C8*D8</f>
        <v>1119240.3705225866</v>
      </c>
      <c r="F8" s="118">
        <f ca="1">'CDM Framework'!T46</f>
        <v>2219390.3241229923</v>
      </c>
      <c r="G8" s="120">
        <v>0.5</v>
      </c>
      <c r="H8" s="121">
        <f ca="1">F8*G8</f>
        <v>1109695.1620614962</v>
      </c>
      <c r="I8" s="118">
        <f ca="1">'CDM Framework'!U46</f>
        <v>2511243.1059123804</v>
      </c>
      <c r="J8" s="120">
        <v>0.5</v>
      </c>
      <c r="K8" s="124">
        <f ca="1">I8*J8</f>
        <v>1255621.5529561902</v>
      </c>
      <c r="M8" s="455">
        <f ca="1">E8</f>
        <v>1119240.3705225866</v>
      </c>
      <c r="N8" s="120">
        <f ca="1">E8+H8</f>
        <v>2228935.5325840828</v>
      </c>
      <c r="O8" s="124">
        <f ca="1">E8+F8+K8</f>
        <v>4594252.2476017689</v>
      </c>
      <c r="W8" s="202"/>
      <c r="X8" s="202"/>
    </row>
    <row r="9" spans="2:24" x14ac:dyDescent="0.25">
      <c r="B9" s="117" t="str">
        <f>'CDM Framework'!Q62</f>
        <v>GS 50-999</v>
      </c>
      <c r="C9" s="118">
        <f ca="1">'CDM Framework'!S47</f>
        <v>3104496.8758794689</v>
      </c>
      <c r="D9" s="285">
        <f>D8</f>
        <v>0.5</v>
      </c>
      <c r="E9" s="119">
        <f ca="1">C9*D9</f>
        <v>1552248.4379397344</v>
      </c>
      <c r="F9" s="118">
        <f ca="1">'CDM Framework'!T47</f>
        <v>3376146.505450245</v>
      </c>
      <c r="G9" s="120">
        <v>0.5</v>
      </c>
      <c r="H9" s="121">
        <f ca="1">F9*G9</f>
        <v>1688073.2527251225</v>
      </c>
      <c r="I9" s="118">
        <f ca="1">'CDM Framework'!U47</f>
        <v>3843494.8527870509</v>
      </c>
      <c r="J9" s="120">
        <v>0.5</v>
      </c>
      <c r="K9" s="124">
        <f ca="1">I9*J9</f>
        <v>1921747.4263935254</v>
      </c>
      <c r="M9" s="455">
        <f ca="1">E9</f>
        <v>1552248.4379397344</v>
      </c>
      <c r="N9" s="120">
        <f ca="1">E9+H9</f>
        <v>3240321.6906648567</v>
      </c>
      <c r="O9" s="124">
        <f ca="1">E9+F9+K9</f>
        <v>6850142.3697835049</v>
      </c>
      <c r="W9" s="202"/>
      <c r="X9" s="202"/>
    </row>
    <row r="10" spans="2:24" x14ac:dyDescent="0.25">
      <c r="B10" s="122" t="str">
        <f>'CDM Framework'!R62</f>
        <v>GS 1,000-4,999</v>
      </c>
      <c r="C10" s="118">
        <f ca="1">'CDM Framework'!S48</f>
        <v>2114648.3426081985</v>
      </c>
      <c r="D10" s="285">
        <f>D9</f>
        <v>0.5</v>
      </c>
      <c r="E10" s="119">
        <f ca="1">C10*D10</f>
        <v>1057324.1713040993</v>
      </c>
      <c r="F10" s="118">
        <f ca="1">'CDM Framework'!T48</f>
        <v>2260921.0298635736</v>
      </c>
      <c r="G10" s="120">
        <v>0.5</v>
      </c>
      <c r="H10" s="121">
        <f ca="1">F10*G10</f>
        <v>1130460.5149317868</v>
      </c>
      <c r="I10" s="118">
        <f ca="1">'CDM Framework'!U48</f>
        <v>2576797.8949209652</v>
      </c>
      <c r="J10" s="120">
        <v>1.5</v>
      </c>
      <c r="K10" s="124">
        <f ca="1">I10*J10</f>
        <v>3865196.8423814476</v>
      </c>
      <c r="M10" s="455">
        <f ca="1">E10</f>
        <v>1057324.1713040993</v>
      </c>
      <c r="N10" s="120">
        <f ca="1">E10+H10</f>
        <v>2187784.6862358861</v>
      </c>
      <c r="O10" s="124">
        <f ca="1">E10+F10+K10</f>
        <v>7183442.0435491204</v>
      </c>
      <c r="W10" s="202"/>
      <c r="X10" s="202"/>
    </row>
    <row r="11" spans="2:24" ht="14.4" thickBot="1" x14ac:dyDescent="0.3">
      <c r="B11" s="122" t="str">
        <f>'CDM Framework'!S62</f>
        <v>Large Use</v>
      </c>
      <c r="C11" s="118">
        <f ca="1">'CDM Framework'!S49</f>
        <v>224256.53727806071</v>
      </c>
      <c r="D11" s="285">
        <f>D10</f>
        <v>0.5</v>
      </c>
      <c r="E11" s="119">
        <f ca="1">C11*D11</f>
        <v>112128.26863903036</v>
      </c>
      <c r="F11" s="118">
        <f ca="1">'CDM Framework'!T49</f>
        <v>206478.83649617029</v>
      </c>
      <c r="G11" s="120">
        <v>0.5</v>
      </c>
      <c r="H11" s="121">
        <f ca="1">F11*G11</f>
        <v>103239.41824808515</v>
      </c>
      <c r="I11" s="118">
        <f ca="1">'CDM Framework'!U49</f>
        <v>237588.75785502951</v>
      </c>
      <c r="J11" s="120">
        <v>2.5</v>
      </c>
      <c r="K11" s="124">
        <f ca="1">I11*J11</f>
        <v>593971.89463757374</v>
      </c>
      <c r="M11" s="456">
        <f ca="1">E11</f>
        <v>112128.26863903036</v>
      </c>
      <c r="N11" s="457">
        <f ca="1">E11+H11</f>
        <v>215367.6868871155</v>
      </c>
      <c r="O11" s="458">
        <f ca="1">E11+F11+K11</f>
        <v>912578.9997727744</v>
      </c>
      <c r="W11" s="202"/>
      <c r="X11" s="202"/>
    </row>
    <row r="12" spans="2:24" x14ac:dyDescent="0.25">
      <c r="B12" s="122" t="s">
        <v>414</v>
      </c>
      <c r="C12" s="118"/>
      <c r="D12" s="285"/>
      <c r="E12" s="119"/>
      <c r="F12" s="118"/>
      <c r="G12" s="120"/>
      <c r="H12" s="121"/>
      <c r="I12" s="118"/>
      <c r="J12" s="120"/>
      <c r="K12" s="124"/>
    </row>
    <row r="13" spans="2:24" x14ac:dyDescent="0.25">
      <c r="B13" s="122" t="s">
        <v>498</v>
      </c>
      <c r="C13" s="118"/>
      <c r="D13" s="285"/>
      <c r="E13" s="119"/>
      <c r="F13" s="118"/>
      <c r="G13" s="120"/>
      <c r="H13" s="121"/>
      <c r="I13" s="118"/>
      <c r="J13" s="120"/>
      <c r="K13" s="124"/>
    </row>
    <row r="14" spans="2:24" x14ac:dyDescent="0.25">
      <c r="B14" s="122" t="s">
        <v>194</v>
      </c>
      <c r="C14" s="118"/>
      <c r="D14" s="285"/>
      <c r="E14" s="119"/>
      <c r="F14" s="118"/>
      <c r="G14" s="120"/>
      <c r="H14" s="121"/>
      <c r="I14" s="118"/>
      <c r="J14" s="120"/>
      <c r="K14" s="124"/>
    </row>
    <row r="15" spans="2:24" ht="14.4" thickBot="1" x14ac:dyDescent="0.3">
      <c r="B15" s="151" t="s">
        <v>499</v>
      </c>
      <c r="C15" s="152">
        <f ca="1">SUM(C7:C14)</f>
        <v>9802633.2651564423</v>
      </c>
      <c r="D15" s="152"/>
      <c r="E15" s="152">
        <f ca="1">SUM(E7:E14)</f>
        <v>4901316.6325782211</v>
      </c>
      <c r="F15" s="152">
        <f ca="1">SUM(F7:F14)</f>
        <v>11672972.439112397</v>
      </c>
      <c r="G15" s="153">
        <v>0.5</v>
      </c>
      <c r="H15" s="154">
        <f ca="1">F15*G15</f>
        <v>5836486.2195561985</v>
      </c>
      <c r="I15" s="152">
        <f ca="1">SUM(I7:I14)</f>
        <v>13090329.431011613</v>
      </c>
      <c r="J15" s="153">
        <v>0.5</v>
      </c>
      <c r="K15" s="155">
        <f ca="1">I15*J15</f>
        <v>6545164.7155058067</v>
      </c>
    </row>
    <row r="16" spans="2:24" x14ac:dyDescent="0.25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</row>
    <row r="19" spans="2:16" ht="14.4" thickBot="1" x14ac:dyDescent="0.3">
      <c r="B19" s="494" t="s">
        <v>500</v>
      </c>
      <c r="C19" s="495"/>
      <c r="D19" s="495"/>
      <c r="E19" s="495"/>
      <c r="F19" s="495"/>
      <c r="G19" s="495"/>
      <c r="H19" s="495"/>
      <c r="I19" s="495"/>
      <c r="J19" s="495"/>
      <c r="K19" s="495"/>
      <c r="L19" s="496"/>
    </row>
    <row r="20" spans="2:16" ht="14.7" customHeight="1" x14ac:dyDescent="0.25">
      <c r="B20" s="221" t="s">
        <v>491</v>
      </c>
      <c r="C20" s="218" t="s">
        <v>501</v>
      </c>
      <c r="D20" s="219"/>
      <c r="E20" s="219"/>
      <c r="F20" s="219"/>
      <c r="G20" s="220"/>
      <c r="H20" s="219" t="s">
        <v>502</v>
      </c>
      <c r="I20" s="219"/>
      <c r="J20" s="219"/>
      <c r="K20" s="219"/>
      <c r="L20" s="222"/>
      <c r="N20" s="47" t="s">
        <v>206</v>
      </c>
    </row>
    <row r="21" spans="2:16" ht="41.4" x14ac:dyDescent="0.25">
      <c r="B21" s="223"/>
      <c r="C21" s="203" t="s">
        <v>503</v>
      </c>
      <c r="D21" s="147" t="s">
        <v>488</v>
      </c>
      <c r="E21" s="147" t="s">
        <v>504</v>
      </c>
      <c r="F21" s="147" t="s">
        <v>397</v>
      </c>
      <c r="G21" s="204" t="s">
        <v>488</v>
      </c>
      <c r="H21" s="205" t="s">
        <v>503</v>
      </c>
      <c r="I21" s="147" t="s">
        <v>488</v>
      </c>
      <c r="J21" s="147" t="s">
        <v>504</v>
      </c>
      <c r="K21" s="147" t="s">
        <v>397</v>
      </c>
      <c r="L21" s="147" t="s">
        <v>488</v>
      </c>
    </row>
    <row r="22" spans="2:16" x14ac:dyDescent="0.25">
      <c r="B22" s="223"/>
      <c r="C22" s="203" t="s">
        <v>313</v>
      </c>
      <c r="D22" s="147" t="s">
        <v>429</v>
      </c>
      <c r="E22" s="147" t="s">
        <v>505</v>
      </c>
      <c r="F22" s="147" t="s">
        <v>352</v>
      </c>
      <c r="G22" s="204" t="s">
        <v>506</v>
      </c>
      <c r="H22" s="205" t="s">
        <v>496</v>
      </c>
      <c r="I22" s="147" t="s">
        <v>507</v>
      </c>
      <c r="J22" s="147" t="s">
        <v>508</v>
      </c>
      <c r="K22" s="147" t="s">
        <v>509</v>
      </c>
      <c r="L22" s="147" t="s">
        <v>510</v>
      </c>
      <c r="N22" s="149">
        <f>N6</f>
        <v>2025</v>
      </c>
      <c r="O22" s="149">
        <f>O6</f>
        <v>2026</v>
      </c>
    </row>
    <row r="23" spans="2:16" x14ac:dyDescent="0.25">
      <c r="B23" s="224" t="str">
        <f>B9</f>
        <v>GS 50-999</v>
      </c>
      <c r="C23" s="206">
        <f ca="1">'Normalized Annual Summary'!$AG$15</f>
        <v>331421751.06413126</v>
      </c>
      <c r="D23" s="287">
        <f ca="1">N9</f>
        <v>3240321.6906648567</v>
      </c>
      <c r="E23" s="207">
        <f ca="1">D23/C23</f>
        <v>9.777033885859359E-3</v>
      </c>
      <c r="F23" s="208">
        <f ca="1">'kW Forecast'!H20</f>
        <v>842784.59506286297</v>
      </c>
      <c r="G23" s="209">
        <f ca="1">E23*F23</f>
        <v>8239.9335444098688</v>
      </c>
      <c r="H23" s="210">
        <f ca="1">'Normalized Annual Summary'!$AG$16</f>
        <v>332715634.94292539</v>
      </c>
      <c r="I23" s="287">
        <f ca="1">O9</f>
        <v>6850142.3697835049</v>
      </c>
      <c r="J23" s="207">
        <f ca="1">I23/H23</f>
        <v>2.0588579706987891E-2</v>
      </c>
      <c r="K23" s="208">
        <f ca="1">'kW Forecast'!H21</f>
        <v>847192.68183744547</v>
      </c>
      <c r="L23" s="208">
        <f ca="1">J23*K23</f>
        <v>17442.494057187079</v>
      </c>
      <c r="N23" s="118">
        <f ca="1">G23</f>
        <v>8239.9335444098688</v>
      </c>
      <c r="O23" s="120">
        <f ca="1">L23</f>
        <v>17442.494057187079</v>
      </c>
      <c r="P23" s="92"/>
    </row>
    <row r="24" spans="2:16" x14ac:dyDescent="0.25">
      <c r="B24" s="224" t="str">
        <f>B10</f>
        <v>GS 1,000-4,999</v>
      </c>
      <c r="C24" s="211">
        <f ca="1">'Normalized Annual Summary'!AT15</f>
        <v>81054511.108828157</v>
      </c>
      <c r="D24" s="287">
        <f ca="1">N10</f>
        <v>2187784.6862358861</v>
      </c>
      <c r="E24" s="207">
        <f ca="1">D24/C24</f>
        <v>2.6991522819728667E-2</v>
      </c>
      <c r="F24" s="212">
        <f ca="1">'kW Forecast'!R20</f>
        <v>193523.92239584439</v>
      </c>
      <c r="G24" s="209">
        <f ca="1">E24*F24</f>
        <v>5223.5053675108338</v>
      </c>
      <c r="H24" s="242">
        <f ca="1">'Normalized Annual Summary'!AT16</f>
        <v>81591070.490146488</v>
      </c>
      <c r="I24" s="287">
        <f ca="1">O10</f>
        <v>7183442.0435491204</v>
      </c>
      <c r="J24" s="207">
        <f ca="1">I24/H24</f>
        <v>8.8042012445671294E-2</v>
      </c>
      <c r="K24" s="208">
        <f ca="1">'kW Forecast'!R21</f>
        <v>195993.21482447084</v>
      </c>
      <c r="L24" s="208">
        <f ca="1">J24*K24</f>
        <v>17255.637058843189</v>
      </c>
      <c r="N24" s="118">
        <f ca="1">G24</f>
        <v>5223.5053675108338</v>
      </c>
      <c r="O24" s="120">
        <f ca="1">L24</f>
        <v>17255.637058843189</v>
      </c>
      <c r="P24" s="92"/>
    </row>
    <row r="25" spans="2:16" x14ac:dyDescent="0.25">
      <c r="B25" s="224" t="str">
        <f>B11</f>
        <v>Large Use</v>
      </c>
      <c r="C25" s="211">
        <f ca="1">'Normalized Annual Summary'!BE15</f>
        <v>36251504.113428049</v>
      </c>
      <c r="D25" s="287">
        <f ca="1">N11</f>
        <v>215367.6868871155</v>
      </c>
      <c r="E25" s="207">
        <f ca="1">D25/C25</f>
        <v>5.9409310635290414E-3</v>
      </c>
      <c r="F25" s="212">
        <f ca="1">'kW Forecast'!AA20</f>
        <v>80727.112293775193</v>
      </c>
      <c r="G25" s="209">
        <f ca="1">E25*F25</f>
        <v>479.59420909508623</v>
      </c>
      <c r="H25" s="242">
        <f ca="1">'Normalized Annual Summary'!BE16</f>
        <v>35862204.751314573</v>
      </c>
      <c r="I25" s="287">
        <f ca="1">O11</f>
        <v>912578.9997727744</v>
      </c>
      <c r="J25" s="207">
        <f ca="1">I25/H25</f>
        <v>2.5446818066569728E-2</v>
      </c>
      <c r="K25" s="208">
        <f ca="1">'kW Forecast'!AA21</f>
        <v>79948.981198233538</v>
      </c>
      <c r="L25" s="208">
        <f ca="1">J25*K25</f>
        <v>2034.4471791590527</v>
      </c>
      <c r="N25" s="118">
        <f ca="1">G25</f>
        <v>479.59420909508623</v>
      </c>
      <c r="O25" s="120">
        <f ca="1">L25</f>
        <v>2034.4471791590527</v>
      </c>
      <c r="P25" s="92"/>
    </row>
    <row r="26" spans="2:16" x14ac:dyDescent="0.25">
      <c r="B26" s="224" t="str">
        <f>B12</f>
        <v>Street Light</v>
      </c>
      <c r="C26" s="211">
        <f>'Normalized Annual Summary'!$BK$15</f>
        <v>4533005.3102651397</v>
      </c>
      <c r="D26" s="287">
        <f>N12</f>
        <v>0</v>
      </c>
      <c r="E26" s="207">
        <f>D26/C26</f>
        <v>0</v>
      </c>
      <c r="F26" s="212">
        <f>'kW Forecast'!AE20</f>
        <v>12851.829925505361</v>
      </c>
      <c r="G26" s="209">
        <f>E26*F26</f>
        <v>0</v>
      </c>
      <c r="H26" s="211">
        <f>'Normalized Annual Summary'!$BK$16</f>
        <v>4595142.2306357278</v>
      </c>
      <c r="I26" s="287">
        <f>O12</f>
        <v>0</v>
      </c>
      <c r="J26" s="207">
        <f>I26/H26</f>
        <v>0</v>
      </c>
      <c r="K26" s="208">
        <f>'kW Forecast'!AE21</f>
        <v>13027.998510812127</v>
      </c>
      <c r="L26" s="208">
        <f>J26*K26</f>
        <v>0</v>
      </c>
      <c r="N26" s="92"/>
      <c r="O26" s="92"/>
    </row>
    <row r="27" spans="2:16" x14ac:dyDescent="0.25">
      <c r="B27" s="224" t="str">
        <f>B13</f>
        <v>Sentinel</v>
      </c>
      <c r="C27" s="211">
        <f>'Normalized Annual Summary'!BQ15</f>
        <v>25474.399999999998</v>
      </c>
      <c r="D27" s="287">
        <f>N13</f>
        <v>0</v>
      </c>
      <c r="E27" s="207">
        <f>D27/C27</f>
        <v>0</v>
      </c>
      <c r="F27" s="212">
        <f>'kW Forecast'!AN20</f>
        <v>77.82188857560908</v>
      </c>
      <c r="G27" s="209">
        <f>E27*F27</f>
        <v>0</v>
      </c>
      <c r="H27" s="242">
        <f>'Normalized Annual Summary'!BQ16</f>
        <v>25474.399999999998</v>
      </c>
      <c r="I27" s="287">
        <f>O13</f>
        <v>0</v>
      </c>
      <c r="J27" s="207">
        <f>I27/H27</f>
        <v>0</v>
      </c>
      <c r="K27" s="208">
        <f>'kW Forecast'!AN21</f>
        <v>77.82188857560908</v>
      </c>
      <c r="L27" s="208">
        <f>J27*K27</f>
        <v>0</v>
      </c>
      <c r="N27" s="92"/>
      <c r="O27" s="92"/>
    </row>
    <row r="28" spans="2:16" x14ac:dyDescent="0.25">
      <c r="B28" s="225" t="s">
        <v>499</v>
      </c>
      <c r="C28" s="226">
        <f t="shared" ref="C28:L28" ca="1" si="0">SUM(C23:C26)</f>
        <v>453260771.59665263</v>
      </c>
      <c r="D28" s="227">
        <f t="shared" ca="1" si="0"/>
        <v>5643474.063787858</v>
      </c>
      <c r="E28" s="228">
        <f t="shared" ca="1" si="0"/>
        <v>4.2709487769117066E-2</v>
      </c>
      <c r="F28" s="229">
        <f t="shared" ca="1" si="0"/>
        <v>1129887.459677988</v>
      </c>
      <c r="G28" s="229">
        <f t="shared" ca="1" si="0"/>
        <v>13943.033121015789</v>
      </c>
      <c r="H28" s="230">
        <f t="shared" ca="1" si="0"/>
        <v>454764052.41502213</v>
      </c>
      <c r="I28" s="227">
        <f t="shared" ca="1" si="0"/>
        <v>14946163.4131054</v>
      </c>
      <c r="J28" s="228">
        <f t="shared" ca="1" si="0"/>
        <v>0.13407741021922892</v>
      </c>
      <c r="K28" s="229">
        <f t="shared" ca="1" si="0"/>
        <v>1136162.876370962</v>
      </c>
      <c r="L28" s="229">
        <f t="shared" ca="1" si="0"/>
        <v>36732.578295189327</v>
      </c>
    </row>
    <row r="39" spans="4:4" x14ac:dyDescent="0.25">
      <c r="D39" s="49"/>
    </row>
  </sheetData>
  <mergeCells count="7">
    <mergeCell ref="B19:L19"/>
    <mergeCell ref="B3:K3"/>
    <mergeCell ref="B2:K2"/>
    <mergeCell ref="B4:B5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tabColor rgb="FFFF0000"/>
  </sheetPr>
  <dimension ref="B1:Y80"/>
  <sheetViews>
    <sheetView tabSelected="1" workbookViewId="0">
      <selection activeCell="L13" sqref="L13"/>
    </sheetView>
  </sheetViews>
  <sheetFormatPr defaultColWidth="9.109375" defaultRowHeight="13.2" x14ac:dyDescent="0.25"/>
  <cols>
    <col min="1" max="1" width="3" style="258" customWidth="1"/>
    <col min="2" max="2" width="23.44140625" style="258" bestFit="1" customWidth="1"/>
    <col min="3" max="3" width="15.5546875" style="258" customWidth="1"/>
    <col min="4" max="4" width="15.21875" style="258" customWidth="1"/>
    <col min="5" max="5" width="14.77734375" style="258" customWidth="1"/>
    <col min="6" max="6" width="15.109375" style="258" bestFit="1" customWidth="1"/>
    <col min="7" max="7" width="16.109375" style="258" bestFit="1" customWidth="1"/>
    <col min="8" max="8" width="15.6640625" style="258" bestFit="1" customWidth="1"/>
    <col min="9" max="9" width="13.77734375" style="258" bestFit="1" customWidth="1"/>
    <col min="10" max="10" width="14.33203125" style="258" bestFit="1" customWidth="1"/>
    <col min="11" max="11" width="14.33203125" style="258" customWidth="1"/>
    <col min="12" max="12" width="15" style="258" customWidth="1"/>
    <col min="13" max="13" width="14.44140625" style="258" customWidth="1"/>
    <col min="14" max="14" width="15.6640625" style="258" customWidth="1"/>
    <col min="15" max="15" width="14.33203125" style="258" bestFit="1" customWidth="1"/>
    <col min="16" max="16" width="15.77734375" style="258" customWidth="1"/>
    <col min="17" max="17" width="10.77734375" style="258" bestFit="1" customWidth="1"/>
    <col min="18" max="21" width="13.6640625" style="258" customWidth="1"/>
    <col min="22" max="22" width="17.33203125" style="258" customWidth="1"/>
    <col min="23" max="24" width="13.33203125" style="258" bestFit="1" customWidth="1"/>
    <col min="25" max="25" width="17.6640625" style="258" customWidth="1"/>
    <col min="26" max="26" width="11.44140625" style="258" bestFit="1" customWidth="1"/>
    <col min="27" max="16384" width="9.109375" style="258"/>
  </cols>
  <sheetData>
    <row r="1" spans="2:25" ht="16.2" thickBot="1" x14ac:dyDescent="0.35">
      <c r="B1" s="19" t="s">
        <v>425</v>
      </c>
      <c r="C1" s="19"/>
    </row>
    <row r="2" spans="2:25" ht="13.8" thickBot="1" x14ac:dyDescent="0.3">
      <c r="B2" s="138" t="s">
        <v>396</v>
      </c>
      <c r="C2" s="139" t="s">
        <v>511</v>
      </c>
      <c r="D2" s="139" t="s">
        <v>512</v>
      </c>
      <c r="E2" s="139" t="s">
        <v>513</v>
      </c>
      <c r="F2" s="139" t="s">
        <v>514</v>
      </c>
      <c r="G2" s="139" t="s">
        <v>515</v>
      </c>
      <c r="H2" s="139" t="s">
        <v>516</v>
      </c>
      <c r="I2" s="139" t="s">
        <v>517</v>
      </c>
      <c r="J2" s="139" t="s">
        <v>518</v>
      </c>
      <c r="K2" s="139" t="s">
        <v>519</v>
      </c>
      <c r="L2" s="139" t="s">
        <v>520</v>
      </c>
      <c r="M2" s="140" t="s">
        <v>521</v>
      </c>
      <c r="N2" s="139" t="s">
        <v>501</v>
      </c>
      <c r="O2" s="142" t="s">
        <v>502</v>
      </c>
      <c r="R2" s="183"/>
      <c r="S2" s="184" t="str">
        <f>I2</f>
        <v>2021 Actual</v>
      </c>
      <c r="T2" s="184" t="str">
        <f>J2</f>
        <v>2022 Actual</v>
      </c>
      <c r="U2" s="184" t="str">
        <f>K2</f>
        <v>2023 Actual</v>
      </c>
      <c r="V2" s="184" t="str">
        <f>M2</f>
        <v>2024 Normal</v>
      </c>
      <c r="W2" s="184" t="str">
        <f>N2</f>
        <v>2025 Forecast</v>
      </c>
      <c r="X2" s="185" t="str">
        <f>O2</f>
        <v>2026 Forecast</v>
      </c>
    </row>
    <row r="3" spans="2:25" x14ac:dyDescent="0.25">
      <c r="B3" s="20" t="s">
        <v>189</v>
      </c>
      <c r="C3" s="260">
        <f ca="1">OFFSET('Normalized Annual Summary'!$C$5,COLUMN(C3)-COLUMN($C3),0)</f>
        <v>479266200.99999982</v>
      </c>
      <c r="D3" s="260">
        <f ca="1">OFFSET('Normalized Annual Summary'!$C$5,COLUMN(D3)-COLUMN($C3),0)</f>
        <v>477527824.00000006</v>
      </c>
      <c r="E3" s="260">
        <f ca="1">OFFSET('Normalized Annual Summary'!$C$5,COLUMN(E3)-COLUMN($C3),0)</f>
        <v>464513659.08580053</v>
      </c>
      <c r="F3" s="260">
        <f ca="1">OFFSET('Normalized Annual Summary'!$C$5,COLUMN(F3)-COLUMN($C3),0)</f>
        <v>483410781.91419953</v>
      </c>
      <c r="G3" s="260">
        <f ca="1">OFFSET('Normalized Annual Summary'!$C$5,COLUMN(G3)-COLUMN($C3),0)</f>
        <v>482531157.99999994</v>
      </c>
      <c r="H3" s="260">
        <f ca="1">OFFSET('Normalized Annual Summary'!$C$5,COLUMN(H3)-COLUMN($C3),0)</f>
        <v>515808015</v>
      </c>
      <c r="I3" s="260">
        <f ca="1">OFFSET('Normalized Annual Summary'!$C$5,COLUMN(I3)-COLUMN($C3),0)</f>
        <v>512708990.99999994</v>
      </c>
      <c r="J3" s="260">
        <f ca="1">OFFSET('Normalized Annual Summary'!$C$5,COLUMN(J3)-COLUMN($C3),0)</f>
        <v>507634502.00000006</v>
      </c>
      <c r="K3" s="260">
        <f ca="1">OFFSET('Normalized Annual Summary'!$C$5,COLUMN(K3)-COLUMN($C3),0)</f>
        <v>515036055.76324266</v>
      </c>
      <c r="L3" s="260">
        <f ca="1">OFFSET('Normalized Annual Summary'!$C$5,COLUMN(L3)-COLUMN($C3),0)</f>
        <v>521985566.99999994</v>
      </c>
      <c r="M3" s="466">
        <f ca="1">OFFSET('Normalized Annual Summary'!$K$14,COLUMN(M3)-COLUMN($M3),0)</f>
        <v>529802317.15968937</v>
      </c>
      <c r="N3" s="466">
        <f ca="1">OFFSET('Normalized Annual Summary'!$K$14,COLUMN(N3)-COLUMN($M3),0)</f>
        <v>543766043.23787534</v>
      </c>
      <c r="O3" s="159">
        <f ca="1">OFFSET('Normalized Annual Summary'!$K$14,COLUMN(O3)-COLUMN($M3),0)</f>
        <v>556872807.6816709</v>
      </c>
      <c r="Q3" s="260"/>
      <c r="R3" s="511" t="s">
        <v>396</v>
      </c>
      <c r="S3" s="512"/>
      <c r="T3" s="512"/>
      <c r="U3" s="512"/>
      <c r="V3" s="513"/>
      <c r="W3" s="513"/>
      <c r="X3" s="514"/>
    </row>
    <row r="4" spans="2:25" x14ac:dyDescent="0.25">
      <c r="B4" s="21" t="s">
        <v>395</v>
      </c>
      <c r="C4" s="260">
        <f ca="1">OFFSET('Normalized Annual Summary'!$N$5,COLUMN(C4)-COLUMN($C4),0)</f>
        <v>134383174.00000003</v>
      </c>
      <c r="D4" s="260">
        <f ca="1">OFFSET('Normalized Annual Summary'!$N$5,COLUMN(D4)-COLUMN($C4),0)</f>
        <v>131950149.00000001</v>
      </c>
      <c r="E4" s="260">
        <f ca="1">OFFSET('Normalized Annual Summary'!$N$5,COLUMN(E4)-COLUMN($C4),0)</f>
        <v>128640162</v>
      </c>
      <c r="F4" s="260">
        <f ca="1">OFFSET('Normalized Annual Summary'!$N$5,COLUMN(F4)-COLUMN($C4),0)</f>
        <v>134207593</v>
      </c>
      <c r="G4" s="260">
        <f ca="1">OFFSET('Normalized Annual Summary'!$N$5,COLUMN(G4)-COLUMN($C4),0)</f>
        <v>117191070.00000001</v>
      </c>
      <c r="H4" s="260">
        <f ca="1">OFFSET('Normalized Annual Summary'!$N$5,COLUMN(H4)-COLUMN($C4),0)</f>
        <v>115055107</v>
      </c>
      <c r="I4" s="260">
        <f ca="1">OFFSET('Normalized Annual Summary'!$N$5,COLUMN(I4)-COLUMN($C4),0)</f>
        <v>119245755.00000001</v>
      </c>
      <c r="J4" s="260">
        <f ca="1">OFFSET('Normalized Annual Summary'!$N$5,COLUMN(J4)-COLUMN($C4),0)</f>
        <v>126198741.00000001</v>
      </c>
      <c r="K4" s="260">
        <f ca="1">OFFSET('Normalized Annual Summary'!$N$5,COLUMN(K4)-COLUMN($C4),0)</f>
        <v>126694932.13</v>
      </c>
      <c r="L4" s="260">
        <f ca="1">OFFSET('Normalized Annual Summary'!$N$5,COLUMN(L4)-COLUMN($C4),0)</f>
        <v>131348675</v>
      </c>
      <c r="M4" s="466">
        <f ca="1">OFFSET('Normalized Annual Summary'!$V$14,COLUMN(M4)-COLUMN($M4),0)</f>
        <v>128985128.6835542</v>
      </c>
      <c r="N4" s="466">
        <f ca="1">OFFSET('Normalized Annual Summary'!$V$14,COLUMN(N4)-COLUMN($M4),0)</f>
        <v>128179737.43992142</v>
      </c>
      <c r="O4" s="159">
        <f ca="1">OFFSET('Normalized Annual Summary'!$V$14,COLUMN(O4)-COLUMN($M4),0)</f>
        <v>130276902.35065086</v>
      </c>
      <c r="R4" s="281" t="str">
        <f t="shared" ref="R4:R11" si="0">B3</f>
        <v>Residential</v>
      </c>
      <c r="S4" s="282">
        <f t="shared" ref="S4:V11" ca="1" si="1">I3</f>
        <v>512708990.99999994</v>
      </c>
      <c r="T4" s="282">
        <f t="shared" ca="1" si="1"/>
        <v>507634502.00000006</v>
      </c>
      <c r="U4" s="282">
        <f t="shared" ca="1" si="1"/>
        <v>515036055.76324266</v>
      </c>
      <c r="V4" s="282">
        <f t="shared" ca="1" si="1"/>
        <v>521985566.99999994</v>
      </c>
      <c r="W4" s="282">
        <f ca="1">N3-'CDM Adjustment'!N7</f>
        <v>540900649.98211288</v>
      </c>
      <c r="X4" s="283">
        <f ca="1">O3-'CDM Adjustment'!O7</f>
        <v>550241794.14455068</v>
      </c>
    </row>
    <row r="5" spans="2:25" x14ac:dyDescent="0.25">
      <c r="B5" s="21" t="s">
        <v>298</v>
      </c>
      <c r="C5" s="260">
        <f ca="1">OFFSET('Normalized Annual Summary'!$Y$5,COLUMN(C5)-COLUMN($C5),0)</f>
        <v>331248131.3818177</v>
      </c>
      <c r="D5" s="260">
        <f ca="1">OFFSET('Normalized Annual Summary'!$Y$5,COLUMN(D5)-COLUMN($C5),0)</f>
        <v>336135880.18643844</v>
      </c>
      <c r="E5" s="260">
        <f ca="1">OFFSET('Normalized Annual Summary'!$Y$5,COLUMN(E5)-COLUMN($C5),0)+OFFSET('Normalized Annual Summary'!$AH$14,COLUMN(F5)-COLUMN($M5),0)</f>
        <v>351087787.99204063</v>
      </c>
      <c r="F5" s="260">
        <f ca="1">OFFSET('Normalized Annual Summary'!$Y$5,COLUMN(F5)-COLUMN($C5),0)+OFFSET('Normalized Annual Summary'!$AH$14,COLUMN(G5)-COLUMN($M5),0)</f>
        <v>331514411.63519758</v>
      </c>
      <c r="G5" s="260">
        <f ca="1">OFFSET('Normalized Annual Summary'!$Y$5,COLUMN(G5)-COLUMN($C5),0)+OFFSET('Normalized Annual Summary'!$AH$14,COLUMN(H5)-COLUMN($M5),0)</f>
        <v>335408697.47622365</v>
      </c>
      <c r="H5" s="260">
        <f ca="1">OFFSET('Normalized Annual Summary'!$Y$5,COLUMN(H5)-COLUMN($C5),0)+OFFSET('Normalized Annual Summary'!$AH$14,COLUMN(I5)-COLUMN($M5),0)</f>
        <v>311111218.73731273</v>
      </c>
      <c r="I5" s="260">
        <f ca="1">OFFSET('Normalized Annual Summary'!$Y$5,COLUMN(I5)-COLUMN($C5),0)+OFFSET('Normalized Annual Summary'!$AH$14,COLUMN(J5)-COLUMN($M5),0)</f>
        <v>316908766.39933515</v>
      </c>
      <c r="J5" s="260">
        <f ca="1">OFFSET('Normalized Annual Summary'!$Y$5,COLUMN(J5)-COLUMN($C5),0)+OFFSET('Normalized Annual Summary'!$AH$14,COLUMN(K5)-COLUMN($M5),0)</f>
        <v>348496887.1782701</v>
      </c>
      <c r="K5" s="260">
        <f ca="1">OFFSET('Normalized Annual Summary'!$Y$5,COLUMN(K5)-COLUMN($C5),0)+OFFSET('Normalized Annual Summary'!$AH$14,COLUMN(L5)-COLUMN($M5),0)</f>
        <v>327578058.36395878</v>
      </c>
      <c r="L5" s="260">
        <f ca="1">OFFSET('Normalized Annual Summary'!$Y$5,COLUMN(L5)-COLUMN($C5),0)+OFFSET('Normalized Annual Summary'!$AH$14,COLUMN(M5)-COLUMN($M5),0)</f>
        <v>322872882.55999994</v>
      </c>
      <c r="M5" s="466">
        <f ca="1">OFFSET('Normalized Annual Summary'!$AI$14,COLUMN(M5)-COLUMN($M5),0)</f>
        <v>336879062.81240904</v>
      </c>
      <c r="N5" s="466">
        <f ca="1">OFFSET('Normalized Annual Summary'!$AI$14,COLUMN(N5)-COLUMN($M5),0)</f>
        <v>337632740.62413126</v>
      </c>
      <c r="O5" s="159">
        <f ca="1">OFFSET('Normalized Annual Summary'!$AI$14,COLUMN(O5)-COLUMN($M5),0)</f>
        <v>338926624.5029254</v>
      </c>
      <c r="R5" s="281" t="str">
        <f t="shared" si="0"/>
        <v>GS &lt; 50</v>
      </c>
      <c r="S5" s="282">
        <f t="shared" ca="1" si="1"/>
        <v>119245755.00000001</v>
      </c>
      <c r="T5" s="282">
        <f t="shared" ca="1" si="1"/>
        <v>126198741.00000001</v>
      </c>
      <c r="U5" s="282">
        <f t="shared" ca="1" si="1"/>
        <v>126694932.13</v>
      </c>
      <c r="V5" s="282">
        <f t="shared" ca="1" si="1"/>
        <v>131348675</v>
      </c>
      <c r="W5" s="282">
        <f ca="1">N4-'CDM Adjustment'!N8</f>
        <v>125950801.90733734</v>
      </c>
      <c r="X5" s="283">
        <f ca="1">O4-'CDM Adjustment'!O8</f>
        <v>125682650.1030491</v>
      </c>
    </row>
    <row r="6" spans="2:25" x14ac:dyDescent="0.25">
      <c r="B6" s="21" t="s">
        <v>299</v>
      </c>
      <c r="C6" s="260">
        <f ca="1">OFFSET('Normalized Annual Summary'!$AL$5,COLUMN(C6)-COLUMN($C6),0)</f>
        <v>81262023.618182287</v>
      </c>
      <c r="D6" s="260">
        <f ca="1">OFFSET('Normalized Annual Summary'!$AL$5,COLUMN(D6)-COLUMN($C6),0)</f>
        <v>84479483.913561568</v>
      </c>
      <c r="E6" s="260">
        <f ca="1">OFFSET('Normalized Annual Summary'!$AL$5,COLUMN(E6)-COLUMN($C6),0)</f>
        <v>82458080.47410427</v>
      </c>
      <c r="F6" s="260">
        <f ca="1">OFFSET('Normalized Annual Summary'!$AL$5,COLUMN(F6)-COLUMN($C6),0)</f>
        <v>76765563.974827826</v>
      </c>
      <c r="G6" s="260">
        <f ca="1">OFFSET('Normalized Annual Summary'!$AL$5,COLUMN(G6)-COLUMN($C6),0)</f>
        <v>76875274.273776412</v>
      </c>
      <c r="H6" s="260">
        <f ca="1">OFFSET('Normalized Annual Summary'!$AL$5,COLUMN(H6)-COLUMN($C6),0)</f>
        <v>70871831.87268728</v>
      </c>
      <c r="I6" s="260">
        <f ca="1">OFFSET('Normalized Annual Summary'!$AL$5,COLUMN(I6)-COLUMN($C6),0)</f>
        <v>70260671.590664953</v>
      </c>
      <c r="J6" s="260">
        <f ca="1">OFFSET('Normalized Annual Summary'!$AL$5,COLUMN(J6)-COLUMN($C6),0)</f>
        <v>81816679.460561812</v>
      </c>
      <c r="K6" s="260">
        <f ca="1">OFFSET('Normalized Annual Summary'!$AL$5,COLUMN(K6)-COLUMN($C6),0)</f>
        <v>77073500.362002477</v>
      </c>
      <c r="L6" s="260">
        <f ca="1">OFFSET('Normalized Annual Summary'!$AL$5,COLUMN(L6)-COLUMN($C6),0)</f>
        <v>81507757</v>
      </c>
      <c r="M6" s="466">
        <f ca="1">OFFSET('Normalized Annual Summary'!$AT$14,COLUMN(M6)-COLUMN($M6),0)</f>
        <v>79972313.529479399</v>
      </c>
      <c r="N6" s="466">
        <f ca="1">OFFSET('Normalized Annual Summary'!$AT$14,COLUMN(N6)-COLUMN($M6),0)</f>
        <v>81054511.108828157</v>
      </c>
      <c r="O6" s="159">
        <f ca="1">OFFSET('Normalized Annual Summary'!$AT$14,COLUMN(O6)-COLUMN($M6),0)</f>
        <v>81591070.490146488</v>
      </c>
      <c r="R6" s="281" t="str">
        <f t="shared" si="0"/>
        <v>GS 50-999</v>
      </c>
      <c r="S6" s="282">
        <f t="shared" ca="1" si="1"/>
        <v>316908766.39933515</v>
      </c>
      <c r="T6" s="282">
        <f t="shared" ca="1" si="1"/>
        <v>348496887.1782701</v>
      </c>
      <c r="U6" s="282">
        <f t="shared" ca="1" si="1"/>
        <v>327578058.36395878</v>
      </c>
      <c r="V6" s="282">
        <f t="shared" ca="1" si="1"/>
        <v>322872882.55999994</v>
      </c>
      <c r="W6" s="282">
        <f ca="1">N5-'CDM Adjustment'!N9</f>
        <v>334392418.93346643</v>
      </c>
      <c r="X6" s="283">
        <f ca="1">O5-'CDM Adjustment'!O9</f>
        <v>332076482.13314188</v>
      </c>
    </row>
    <row r="7" spans="2:25" x14ac:dyDescent="0.25">
      <c r="B7" s="21" t="s">
        <v>115</v>
      </c>
      <c r="C7" s="260">
        <f ca="1">OFFSET('Normalized Annual Summary'!$AW$5,COLUMN(C7)-COLUMN($C7),0)</f>
        <v>41948975.999999993</v>
      </c>
      <c r="D7" s="260">
        <f ca="1">OFFSET('Normalized Annual Summary'!$AW$5,COLUMN(D7)-COLUMN($C7),0)</f>
        <v>41438245.999999993</v>
      </c>
      <c r="E7" s="260">
        <f ca="1">OFFSET('Normalized Annual Summary'!$AW$5,COLUMN(E7)-COLUMN($C7),0)</f>
        <v>37536243</v>
      </c>
      <c r="F7" s="260">
        <f ca="1">OFFSET('Normalized Annual Summary'!$AW$5,COLUMN(F7)-COLUMN($C7),0)</f>
        <v>44873420</v>
      </c>
      <c r="G7" s="260">
        <f ca="1">OFFSET('Normalized Annual Summary'!$AW$5,COLUMN(G7)-COLUMN($C7),0)</f>
        <v>38878938</v>
      </c>
      <c r="H7" s="260">
        <f ca="1">OFFSET('Normalized Annual Summary'!$AW$5,COLUMN(H7)-COLUMN($C7),0)</f>
        <v>30798516</v>
      </c>
      <c r="I7" s="260">
        <f ca="1">OFFSET('Normalized Annual Summary'!$AW$5,COLUMN(I7)-COLUMN($C7),0)</f>
        <v>36146632</v>
      </c>
      <c r="J7" s="260">
        <f ca="1">OFFSET('Normalized Annual Summary'!$AW$5,COLUMN(J7)-COLUMN($C7),0)</f>
        <v>33850160</v>
      </c>
      <c r="K7" s="260">
        <f ca="1">OFFSET('Normalized Annual Summary'!$AW$5,COLUMN(K7)-COLUMN($C7),0)</f>
        <v>33850160.000000007</v>
      </c>
      <c r="L7" s="260">
        <f ca="1">OFFSET('Normalized Annual Summary'!$AW$5,COLUMN(L7)-COLUMN($C7),0)</f>
        <v>39718185</v>
      </c>
      <c r="M7" s="466">
        <f ca="1">OFFSET('Normalized Annual Summary'!$BE$14,COLUMN(M7)-COLUMN($M7),0)</f>
        <v>36750440.935227141</v>
      </c>
      <c r="N7" s="466">
        <f ca="1">OFFSET('Normalized Annual Summary'!$BE$14,COLUMN(N7)-COLUMN($M7),0)</f>
        <v>36251504.113428049</v>
      </c>
      <c r="O7" s="159">
        <f ca="1">OFFSET('Normalized Annual Summary'!$BE$14,COLUMN(O7)-COLUMN($M7),0)</f>
        <v>35862204.751314573</v>
      </c>
      <c r="R7" s="281" t="str">
        <f t="shared" si="0"/>
        <v>GS 1,000-4,999</v>
      </c>
      <c r="S7" s="282">
        <f t="shared" ca="1" si="1"/>
        <v>70260671.590664953</v>
      </c>
      <c r="T7" s="282">
        <f t="shared" ca="1" si="1"/>
        <v>81816679.460561812</v>
      </c>
      <c r="U7" s="282">
        <f t="shared" ca="1" si="1"/>
        <v>77073500.362002477</v>
      </c>
      <c r="V7" s="282">
        <f t="shared" ca="1" si="1"/>
        <v>81507757</v>
      </c>
      <c r="W7" s="282">
        <f ca="1">N6-'CDM Adjustment'!N10</f>
        <v>78866726.422592267</v>
      </c>
      <c r="X7" s="283">
        <f ca="1">O6-'CDM Adjustment'!O10</f>
        <v>74407628.446597368</v>
      </c>
    </row>
    <row r="8" spans="2:25" x14ac:dyDescent="0.25">
      <c r="B8" s="21" t="s">
        <v>414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466">
        <f ca="1">OFFSET('Normalized Annual Summary'!$BK$14,COLUMN(M8)-COLUMN($M8),0)</f>
        <v>4498710.0000000009</v>
      </c>
      <c r="N8" s="466">
        <f ca="1">OFFSET('Normalized Annual Summary'!$BK$14,COLUMN(N8)-COLUMN($M8),0)</f>
        <v>4533005.3102651397</v>
      </c>
      <c r="O8" s="159">
        <f ca="1">OFFSET('Normalized Annual Summary'!$BK$14,COLUMN(O8)-COLUMN($M8),0)</f>
        <v>4595142.2306357278</v>
      </c>
      <c r="R8" s="281" t="str">
        <f t="shared" si="0"/>
        <v>Large Use</v>
      </c>
      <c r="S8" s="282">
        <f t="shared" ca="1" si="1"/>
        <v>36146632</v>
      </c>
      <c r="T8" s="282">
        <f t="shared" ca="1" si="1"/>
        <v>33850160</v>
      </c>
      <c r="U8" s="282">
        <f t="shared" ca="1" si="1"/>
        <v>33850160.000000007</v>
      </c>
      <c r="V8" s="282">
        <f t="shared" ca="1" si="1"/>
        <v>39718185</v>
      </c>
      <c r="W8" s="282">
        <f ca="1">N7-'CDM Adjustment'!N11</f>
        <v>36036136.426540934</v>
      </c>
      <c r="X8" s="283">
        <f ca="1">O7-'CDM Adjustment'!O11</f>
        <v>34949625.751541801</v>
      </c>
      <c r="Y8" s="260"/>
    </row>
    <row r="9" spans="2:25" x14ac:dyDescent="0.25">
      <c r="B9" s="21" t="s">
        <v>117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466">
        <f ca="1">OFFSET('Normalized Annual Summary'!$BQ$14,COLUMN(M9)-COLUMN($M9),0)</f>
        <v>22593</v>
      </c>
      <c r="N9" s="466">
        <f ca="1">OFFSET('Normalized Annual Summary'!$BQ$14,COLUMN(N9)-COLUMN($M9),0)</f>
        <v>25474.399999999998</v>
      </c>
      <c r="O9" s="159">
        <f ca="1">OFFSET('Normalized Annual Summary'!$BQ$14,COLUMN(O9)-COLUMN($M9),0)</f>
        <v>25474.399999999998</v>
      </c>
      <c r="R9" s="281" t="str">
        <f t="shared" si="0"/>
        <v>Street Light</v>
      </c>
      <c r="S9" s="282">
        <f t="shared" ca="1" si="1"/>
        <v>4352366.9999999981</v>
      </c>
      <c r="T9" s="282">
        <f t="shared" ca="1" si="1"/>
        <v>4432743</v>
      </c>
      <c r="U9" s="282">
        <f t="shared" ca="1" si="1"/>
        <v>4495190.04</v>
      </c>
      <c r="V9" s="282">
        <f t="shared" ca="1" si="1"/>
        <v>4498710.0000000009</v>
      </c>
      <c r="W9" s="282">
        <f ca="1">N8-'CDM Adjustment'!N12</f>
        <v>4533005.3102651397</v>
      </c>
      <c r="X9" s="283">
        <f ca="1">O8-'CDM Adjustment'!O12</f>
        <v>4595142.2306357278</v>
      </c>
      <c r="Y9" s="260"/>
    </row>
    <row r="10" spans="2:25" x14ac:dyDescent="0.25">
      <c r="B10" s="21" t="s">
        <v>194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466">
        <f ca="1">OFFSET('Normalized Annual Summary'!$BW$14,COLUMN(M10)-COLUMN($M10),0)</f>
        <v>2859026.0000000005</v>
      </c>
      <c r="N10" s="260">
        <f ca="1">OFFSET('Normalized Annual Summary'!$BW$14,COLUMN(N10)-COLUMN($M10),0)</f>
        <v>2879864.7535191379</v>
      </c>
      <c r="O10" s="278">
        <f ca="1">OFFSET('Normalized Annual Summary'!$BW$14,COLUMN(O10)-COLUMN($M10),0)</f>
        <v>2898787.7721564621</v>
      </c>
      <c r="R10" s="281" t="str">
        <f t="shared" si="0"/>
        <v>Sentinel Lights</v>
      </c>
      <c r="S10" s="282">
        <f t="shared" ca="1" si="1"/>
        <v>26915.1</v>
      </c>
      <c r="T10" s="282">
        <f t="shared" ca="1" si="1"/>
        <v>26915.1</v>
      </c>
      <c r="U10" s="282">
        <f t="shared" ca="1" si="1"/>
        <v>26915.1</v>
      </c>
      <c r="V10" s="282">
        <f t="shared" ca="1" si="1"/>
        <v>22593</v>
      </c>
      <c r="W10" s="282">
        <f ca="1">N9-'CDM Adjustment'!N13</f>
        <v>25474.399999999998</v>
      </c>
      <c r="X10" s="283">
        <f ca="1">O9-'CDM Adjustment'!O13</f>
        <v>25474.399999999998</v>
      </c>
    </row>
    <row r="11" spans="2:25" ht="13.8" thickBot="1" x14ac:dyDescent="0.3">
      <c r="B11" s="135" t="s">
        <v>321</v>
      </c>
      <c r="C11" s="136">
        <f t="shared" ref="C11:O11" ca="1" si="2">SUM(C3:C10)</f>
        <v>1079845678.3463666</v>
      </c>
      <c r="D11" s="136">
        <f t="shared" ca="1" si="2"/>
        <v>1083454536.0744421</v>
      </c>
      <c r="E11" s="136">
        <f t="shared" ca="1" si="2"/>
        <v>1071759745.204053</v>
      </c>
      <c r="F11" s="136">
        <f t="shared" ca="1" si="2"/>
        <v>1077541870.9207537</v>
      </c>
      <c r="G11" s="136">
        <f t="shared" ca="1" si="2"/>
        <v>1057757283.5774691</v>
      </c>
      <c r="H11" s="136">
        <f t="shared" ca="1" si="2"/>
        <v>1050594513.4500002</v>
      </c>
      <c r="I11" s="136">
        <f t="shared" ca="1" si="2"/>
        <v>1062265459.0900002</v>
      </c>
      <c r="J11" s="136">
        <f t="shared" ca="1" si="2"/>
        <v>1105206684.738832</v>
      </c>
      <c r="K11" s="136">
        <f t="shared" ca="1" si="2"/>
        <v>1087566254.7592039</v>
      </c>
      <c r="L11" s="136">
        <f t="shared" ca="1" si="2"/>
        <v>1104813395.5599999</v>
      </c>
      <c r="M11" s="141">
        <f t="shared" ca="1" si="2"/>
        <v>1119769592.1203592</v>
      </c>
      <c r="N11" s="136">
        <f t="shared" ca="1" si="2"/>
        <v>1134322880.9879684</v>
      </c>
      <c r="O11" s="137">
        <f t="shared" ca="1" si="2"/>
        <v>1151049014.1795006</v>
      </c>
      <c r="R11" s="281" t="str">
        <f t="shared" si="0"/>
        <v>USL</v>
      </c>
      <c r="S11" s="282">
        <f t="shared" ca="1" si="1"/>
        <v>2615361</v>
      </c>
      <c r="T11" s="282">
        <f t="shared" ca="1" si="1"/>
        <v>2750057</v>
      </c>
      <c r="U11" s="282">
        <f t="shared" ca="1" si="1"/>
        <v>2811443</v>
      </c>
      <c r="V11" s="282">
        <f t="shared" ca="1" si="1"/>
        <v>2859026.0000000005</v>
      </c>
      <c r="W11" s="282">
        <f ca="1">N10-'CDM Adjustment'!N14</f>
        <v>2879864.7535191379</v>
      </c>
      <c r="X11" s="283">
        <f ca="1">O10-'CDM Adjustment'!O14</f>
        <v>2898787.7721564621</v>
      </c>
    </row>
    <row r="12" spans="2:25" ht="13.8" thickBot="1" x14ac:dyDescent="0.3">
      <c r="R12" s="186" t="s">
        <v>321</v>
      </c>
      <c r="S12" s="187">
        <f t="shared" ref="S12:X12" ca="1" si="3">SUM(S4:S11)</f>
        <v>1062265459.0900002</v>
      </c>
      <c r="T12" s="187">
        <f t="shared" ca="1" si="3"/>
        <v>1105206684.738832</v>
      </c>
      <c r="U12" s="187">
        <f t="shared" ca="1" si="3"/>
        <v>1087566254.7592039</v>
      </c>
      <c r="V12" s="187">
        <f t="shared" ca="1" si="3"/>
        <v>1104813395.5599999</v>
      </c>
      <c r="W12" s="187">
        <f t="shared" ca="1" si="3"/>
        <v>1123585078.135834</v>
      </c>
      <c r="X12" s="188">
        <f t="shared" ca="1" si="3"/>
        <v>1124877584.9816732</v>
      </c>
    </row>
    <row r="13" spans="2:25" ht="16.2" thickBot="1" x14ac:dyDescent="0.35">
      <c r="B13" s="19" t="s">
        <v>522</v>
      </c>
      <c r="C13" s="19"/>
      <c r="G13" s="260"/>
      <c r="H13" s="260"/>
      <c r="I13" s="260"/>
      <c r="J13" s="260"/>
      <c r="K13" s="260"/>
      <c r="L13" s="260"/>
      <c r="M13" s="260"/>
    </row>
    <row r="14" spans="2:25" ht="55.2" customHeight="1" x14ac:dyDescent="0.25">
      <c r="B14" s="132" t="s">
        <v>396</v>
      </c>
      <c r="C14" s="133" t="s">
        <v>523</v>
      </c>
      <c r="D14" s="133" t="s">
        <v>524</v>
      </c>
      <c r="E14" s="134" t="s">
        <v>525</v>
      </c>
      <c r="G14" s="143" t="s">
        <v>526</v>
      </c>
      <c r="H14" s="134" t="s">
        <v>527</v>
      </c>
      <c r="Y14" s="260"/>
    </row>
    <row r="15" spans="2:25" x14ac:dyDescent="0.25">
      <c r="B15" s="20" t="str">
        <f t="shared" ref="B15:B22" si="4">B3</f>
        <v>Residential</v>
      </c>
      <c r="C15" s="260">
        <f t="shared" ref="C15:C22" ca="1" si="5">O3</f>
        <v>556872807.6816709</v>
      </c>
      <c r="D15" s="260">
        <f ca="1">'CDM Adjustment'!O7</f>
        <v>6631013.5371202808</v>
      </c>
      <c r="E15" s="278">
        <f t="shared" ref="E15:E22" ca="1" si="6">C15-D15</f>
        <v>550241794.14455068</v>
      </c>
      <c r="F15" s="125"/>
      <c r="G15" s="284">
        <f ca="1">'Total Additional-Lost Loads'!E16</f>
        <v>7002966.0857700054</v>
      </c>
      <c r="H15" s="278">
        <f t="shared" ref="H15:H22" ca="1" si="7">E15-G15</f>
        <v>543238828.05878067</v>
      </c>
    </row>
    <row r="16" spans="2:25" x14ac:dyDescent="0.25">
      <c r="B16" s="21" t="str">
        <f t="shared" si="4"/>
        <v>GS &lt; 50</v>
      </c>
      <c r="C16" s="260">
        <f t="shared" ca="1" si="5"/>
        <v>130276902.35065086</v>
      </c>
      <c r="D16" s="260">
        <f ca="1">'CDM Adjustment'!O8</f>
        <v>4594252.2476017689</v>
      </c>
      <c r="E16" s="278">
        <f t="shared" ca="1" si="6"/>
        <v>125682650.1030491</v>
      </c>
      <c r="G16" s="284">
        <f ca="1">'Total Additional-Lost Loads'!E17</f>
        <v>1350845.7018350572</v>
      </c>
      <c r="H16" s="278">
        <f t="shared" ca="1" si="7"/>
        <v>124331804.40121405</v>
      </c>
    </row>
    <row r="17" spans="2:15" x14ac:dyDescent="0.25">
      <c r="B17" s="21" t="str">
        <f t="shared" si="4"/>
        <v>GS 50-999</v>
      </c>
      <c r="C17" s="260">
        <f t="shared" ca="1" si="5"/>
        <v>338926624.5029254</v>
      </c>
      <c r="D17" s="260">
        <f ca="1">'CDM Adjustment'!O9</f>
        <v>6850142.3697835049</v>
      </c>
      <c r="E17" s="278">
        <f t="shared" ca="1" si="6"/>
        <v>332076482.13314188</v>
      </c>
      <c r="G17" s="284">
        <f>'Total Additional-Lost Loads'!E18</f>
        <v>474538.30543778761</v>
      </c>
      <c r="H17" s="278">
        <f t="shared" ca="1" si="7"/>
        <v>331601943.82770407</v>
      </c>
    </row>
    <row r="18" spans="2:15" x14ac:dyDescent="0.25">
      <c r="B18" s="21" t="str">
        <f t="shared" si="4"/>
        <v>GS 1,000-4,999</v>
      </c>
      <c r="C18" s="260">
        <f t="shared" ca="1" si="5"/>
        <v>81591070.490146488</v>
      </c>
      <c r="D18" s="260">
        <f ca="1">'CDM Adjustment'!O10</f>
        <v>7183442.0435491204</v>
      </c>
      <c r="E18" s="278">
        <f t="shared" ca="1" si="6"/>
        <v>74407628.446597368</v>
      </c>
      <c r="G18" s="284">
        <f>'Total Additional-Lost Loads'!E19</f>
        <v>313546.65194242046</v>
      </c>
      <c r="H18" s="278">
        <f t="shared" ca="1" si="7"/>
        <v>74094081.79465495</v>
      </c>
    </row>
    <row r="19" spans="2:15" x14ac:dyDescent="0.25">
      <c r="B19" s="21" t="str">
        <f t="shared" si="4"/>
        <v>Large Use</v>
      </c>
      <c r="C19" s="260">
        <f t="shared" ca="1" si="5"/>
        <v>35862204.751314573</v>
      </c>
      <c r="D19" s="260">
        <f ca="1">'CDM Adjustment'!O11</f>
        <v>912578.9997727744</v>
      </c>
      <c r="E19" s="278">
        <f t="shared" ca="1" si="6"/>
        <v>34949625.751541801</v>
      </c>
      <c r="G19" s="284">
        <f>'Total Additional-Lost Loads'!E20</f>
        <v>36185.106675106603</v>
      </c>
      <c r="H19" s="278">
        <f t="shared" ca="1" si="7"/>
        <v>34913440.644866697</v>
      </c>
    </row>
    <row r="20" spans="2:15" x14ac:dyDescent="0.25">
      <c r="B20" s="21" t="str">
        <f t="shared" si="4"/>
        <v>Street Light</v>
      </c>
      <c r="C20" s="260">
        <f t="shared" ca="1" si="5"/>
        <v>4595142.2306357278</v>
      </c>
      <c r="D20" s="260"/>
      <c r="E20" s="278">
        <f t="shared" ca="1" si="6"/>
        <v>4595142.2306357278</v>
      </c>
      <c r="G20" s="284"/>
      <c r="H20" s="278">
        <f t="shared" ca="1" si="7"/>
        <v>4595142.2306357278</v>
      </c>
    </row>
    <row r="21" spans="2:15" x14ac:dyDescent="0.25">
      <c r="B21" s="21" t="str">
        <f t="shared" si="4"/>
        <v>Sentinel Lights</v>
      </c>
      <c r="C21" s="260">
        <f t="shared" ca="1" si="5"/>
        <v>25474.399999999998</v>
      </c>
      <c r="D21" s="260"/>
      <c r="E21" s="278">
        <f t="shared" ca="1" si="6"/>
        <v>25474.399999999998</v>
      </c>
      <c r="G21" s="284"/>
      <c r="H21" s="278">
        <f t="shared" ca="1" si="7"/>
        <v>25474.399999999998</v>
      </c>
    </row>
    <row r="22" spans="2:15" x14ac:dyDescent="0.25">
      <c r="B22" s="21" t="str">
        <f t="shared" si="4"/>
        <v>USL</v>
      </c>
      <c r="C22" s="260">
        <f t="shared" ca="1" si="5"/>
        <v>2898787.7721564621</v>
      </c>
      <c r="D22" s="260"/>
      <c r="E22" s="278">
        <f t="shared" ca="1" si="6"/>
        <v>2898787.7721564621</v>
      </c>
      <c r="G22" s="284"/>
      <c r="H22" s="278">
        <f t="shared" ca="1" si="7"/>
        <v>2898787.7721564621</v>
      </c>
    </row>
    <row r="23" spans="2:15" ht="13.8" thickBot="1" x14ac:dyDescent="0.3">
      <c r="B23" s="135" t="s">
        <v>321</v>
      </c>
      <c r="C23" s="136">
        <f ca="1">SUM(C15:C22)</f>
        <v>1151049014.1795006</v>
      </c>
      <c r="D23" s="136">
        <f ca="1">SUM(D15:D22)</f>
        <v>26171429.197827451</v>
      </c>
      <c r="E23" s="137">
        <f ca="1">SUM(E15:E22)</f>
        <v>1124877584.9816732</v>
      </c>
      <c r="F23" s="130"/>
      <c r="G23" s="144">
        <f ca="1">SUM(G15:G22)</f>
        <v>9178081.8516603783</v>
      </c>
      <c r="H23" s="137">
        <f ca="1">SUM(H15:H22)</f>
        <v>1115699503.1300125</v>
      </c>
      <c r="I23" s="130"/>
    </row>
    <row r="24" spans="2:15" x14ac:dyDescent="0.25">
      <c r="G24" s="129"/>
    </row>
    <row r="25" spans="2:15" ht="16.2" thickBot="1" x14ac:dyDescent="0.35">
      <c r="B25" s="19" t="s">
        <v>425</v>
      </c>
      <c r="C25" s="19"/>
    </row>
    <row r="26" spans="2:15" x14ac:dyDescent="0.25">
      <c r="B26" s="138" t="s">
        <v>397</v>
      </c>
      <c r="C26" s="139" t="s">
        <v>511</v>
      </c>
      <c r="D26" s="139" t="s">
        <v>512</v>
      </c>
      <c r="E26" s="139" t="s">
        <v>513</v>
      </c>
      <c r="F26" s="139" t="s">
        <v>514</v>
      </c>
      <c r="G26" s="139" t="s">
        <v>515</v>
      </c>
      <c r="H26" s="139" t="s">
        <v>516</v>
      </c>
      <c r="I26" s="139" t="s">
        <v>517</v>
      </c>
      <c r="J26" s="139" t="s">
        <v>518</v>
      </c>
      <c r="K26" s="139" t="s">
        <v>519</v>
      </c>
      <c r="L26" s="139" t="s">
        <v>520</v>
      </c>
      <c r="M26" s="140" t="s">
        <v>521</v>
      </c>
      <c r="N26" s="139" t="s">
        <v>501</v>
      </c>
      <c r="O26" s="142" t="s">
        <v>502</v>
      </c>
    </row>
    <row r="27" spans="2:15" x14ac:dyDescent="0.25">
      <c r="B27" s="21" t="str">
        <f>B17</f>
        <v>GS 50-999</v>
      </c>
      <c r="C27" s="260">
        <f ca="1">OFFSET('kW Forecast'!$D$5,COLUMN()-COLUMN($C27),0)</f>
        <v>839348</v>
      </c>
      <c r="D27" s="260">
        <f ca="1">OFFSET('kW Forecast'!$D$5,COLUMN()-COLUMN($C27),0)</f>
        <v>851612</v>
      </c>
      <c r="E27" s="260">
        <f ca="1">OFFSET('kW Forecast'!$D$5,COLUMN()-COLUMN($C27),0)+OFFSET('kW Forecast'!$G$5,COLUMN()-COLUMN($C27),0)</f>
        <v>831597.31996520527</v>
      </c>
      <c r="F27" s="260">
        <f ca="1">OFFSET('kW Forecast'!$D$5,COLUMN()-COLUMN($C27),0)+OFFSET('kW Forecast'!$G$5,COLUMN()-COLUMN($C27),0)</f>
        <v>843053.40003479482</v>
      </c>
      <c r="G27" s="260">
        <f ca="1">OFFSET('kW Forecast'!$D$5,COLUMN()-COLUMN($C27),0)+OFFSET('kW Forecast'!$G$5,COLUMN()-COLUMN($C27),0)</f>
        <v>812573.35999999987</v>
      </c>
      <c r="H27" s="260">
        <f ca="1">OFFSET('kW Forecast'!$D$5,COLUMN()-COLUMN($C27),0)+OFFSET('kW Forecast'!$G$5,COLUMN()-COLUMN($C27),0)</f>
        <v>829100.49433400005</v>
      </c>
      <c r="I27" s="260">
        <f ca="1">OFFSET('kW Forecast'!$D$5,COLUMN()-COLUMN($C27),0)+OFFSET('kW Forecast'!$G$5,COLUMN()-COLUMN($C27),0)</f>
        <v>810860.7300000001</v>
      </c>
      <c r="J27" s="260">
        <f ca="1">OFFSET('kW Forecast'!$D$5,COLUMN()-COLUMN($C27),0)+OFFSET('kW Forecast'!$G$5,COLUMN()-COLUMN($C27),0)</f>
        <v>837609.7295324757</v>
      </c>
      <c r="K27" s="260">
        <f ca="1">OFFSET('kW Forecast'!$D$5,COLUMN()-COLUMN($C27),0)+OFFSET('kW Forecast'!$G$5,COLUMN()-COLUMN($C27),0)</f>
        <v>844346.60427905456</v>
      </c>
      <c r="L27" s="260">
        <f ca="1">OFFSET('kW Forecast'!$D$5,COLUMN()-COLUMN($C27),0)+OFFSET('kW Forecast'!$G$5,COLUMN()-COLUMN($C27),0)</f>
        <v>869198.30999999982</v>
      </c>
      <c r="M27" s="260">
        <f ca="1">OFFSET('kW Forecast'!$J$19,COLUMN()-COLUMN($M27),0)</f>
        <v>851664.01318309933</v>
      </c>
      <c r="N27" s="260">
        <f ca="1">OFFSET('kW Forecast'!$J$19,COLUMN()-COLUMN($M27),0)</f>
        <v>854501.90506286302</v>
      </c>
      <c r="O27" s="278">
        <f ca="1">OFFSET('kW Forecast'!$J$19,COLUMN()-COLUMN($M27),0)</f>
        <v>858909.99183744553</v>
      </c>
    </row>
    <row r="28" spans="2:15" x14ac:dyDescent="0.25">
      <c r="B28" s="21" t="str">
        <f>B18</f>
        <v>GS 1,000-4,999</v>
      </c>
      <c r="C28" s="260">
        <f ca="1">OFFSET('kW Forecast'!$N$5,COLUMN()-COLUMN($C28),0)</f>
        <v>190622</v>
      </c>
      <c r="D28" s="260">
        <f ca="1">OFFSET('kW Forecast'!$N$5,COLUMN()-COLUMN($C28),0)</f>
        <v>203972</v>
      </c>
      <c r="E28" s="260">
        <f ca="1">OFFSET('kW Forecast'!$N$5,COLUMN()-COLUMN($C28),0)</f>
        <v>192774</v>
      </c>
      <c r="F28" s="260">
        <f ca="1">OFFSET('kW Forecast'!$N$5,COLUMN()-COLUMN($C28),0)</f>
        <v>190148</v>
      </c>
      <c r="G28" s="260">
        <f ca="1">OFFSET('kW Forecast'!$N$5,COLUMN()-COLUMN($C28),0)</f>
        <v>184105.52000000002</v>
      </c>
      <c r="H28" s="260">
        <f ca="1">OFFSET('kW Forecast'!$N$5,COLUMN()-COLUMN($C28),0)</f>
        <v>176691.623696</v>
      </c>
      <c r="I28" s="260">
        <f ca="1">OFFSET('kW Forecast'!$N$5,COLUMN()-COLUMN($C28),0)</f>
        <v>171434.78999999998</v>
      </c>
      <c r="J28" s="260">
        <f ca="1">OFFSET('kW Forecast'!$N$5,COLUMN()-COLUMN($C28),0)</f>
        <v>179599.57558400001</v>
      </c>
      <c r="K28" s="260">
        <f ca="1">OFFSET('kW Forecast'!$N$5,COLUMN()-COLUMN($C28),0)</f>
        <v>179794.09288000004</v>
      </c>
      <c r="L28" s="260">
        <f ca="1">OFFSET('kW Forecast'!$N$5,COLUMN()-COLUMN($C28),0)</f>
        <v>189689.99999999994</v>
      </c>
      <c r="M28" s="260">
        <f ca="1">OFFSET('kW Forecast'!$R$19,COLUMN()-COLUMN($M28),0)</f>
        <v>189999.76108591945</v>
      </c>
      <c r="N28" s="260">
        <f ca="1">OFFSET('kW Forecast'!$R$19,COLUMN()-COLUMN($M28),0)</f>
        <v>193523.92239584439</v>
      </c>
      <c r="O28" s="278">
        <f ca="1">OFFSET('kW Forecast'!$R$19,COLUMN()-COLUMN($M28),0)</f>
        <v>195993.21482447084</v>
      </c>
    </row>
    <row r="29" spans="2:15" x14ac:dyDescent="0.25">
      <c r="B29" s="21" t="str">
        <f>B19</f>
        <v>Large Use</v>
      </c>
      <c r="C29" s="260">
        <f ca="1">OFFSET('kW Forecast'!$W$5,COLUMN()-COLUMN($C29),0)</f>
        <v>95646</v>
      </c>
      <c r="D29" s="260">
        <f ca="1">OFFSET('kW Forecast'!$W$5,COLUMN()-COLUMN($C29),0)</f>
        <v>99493</v>
      </c>
      <c r="E29" s="260">
        <f ca="1">OFFSET('kW Forecast'!$W$5,COLUMN()-COLUMN($C29),0)</f>
        <v>91980.923849603059</v>
      </c>
      <c r="F29" s="260">
        <f ca="1">OFFSET('kW Forecast'!$W$5,COLUMN()-COLUMN($C29),0)</f>
        <v>88890.076150396941</v>
      </c>
      <c r="G29" s="260">
        <f ca="1">OFFSET('kW Forecast'!$W$5,COLUMN()-COLUMN($C29),0)</f>
        <v>87299.34</v>
      </c>
      <c r="H29" s="260">
        <f ca="1">OFFSET('kW Forecast'!$W$5,COLUMN()-COLUMN($C29),0)</f>
        <v>72644.109871999986</v>
      </c>
      <c r="I29" s="260">
        <f ca="1">OFFSET('kW Forecast'!$W$5,COLUMN()-COLUMN($C29),0)</f>
        <v>73480.24000000002</v>
      </c>
      <c r="J29" s="260">
        <f ca="1">OFFSET('kW Forecast'!$W$5,COLUMN()-COLUMN($C29),0)</f>
        <v>76262.768063999989</v>
      </c>
      <c r="K29" s="260">
        <f ca="1">OFFSET('kW Forecast'!$W$5,COLUMN()-COLUMN($C29),0)</f>
        <v>73164.14</v>
      </c>
      <c r="L29" s="260">
        <f ca="1">OFFSET('kW Forecast'!$W$5,COLUMN()-COLUMN($C29),0)</f>
        <v>82732.999999999985</v>
      </c>
      <c r="M29" s="260">
        <f ca="1">OFFSET('kW Forecast'!$AA$19,COLUMN()-COLUMN($M29),0)</f>
        <v>81757.672040043602</v>
      </c>
      <c r="N29" s="260">
        <f ca="1">OFFSET('kW Forecast'!$AA$19,COLUMN()-COLUMN($M29),0)</f>
        <v>80727.112293775193</v>
      </c>
      <c r="O29" s="278">
        <f ca="1">OFFSET('kW Forecast'!$AA$19,COLUMN()-COLUMN($M29),0)</f>
        <v>79948.981198233538</v>
      </c>
    </row>
    <row r="30" spans="2:15" x14ac:dyDescent="0.25">
      <c r="B30" s="21" t="str">
        <f>B20</f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Forecast'!$AE$19,COLUMN()-COLUMN($M30),0)</f>
        <v>12754.596971956445</v>
      </c>
      <c r="N30" s="260">
        <f ca="1">OFFSET('kW Forecast'!$AE$19,COLUMN()-COLUMN($M30),0)</f>
        <v>12851.829925505361</v>
      </c>
      <c r="O30" s="278">
        <f ca="1">OFFSET('kW Forecast'!$AE$19,COLUMN()-COLUMN($M30),0)</f>
        <v>13027.998510812127</v>
      </c>
    </row>
    <row r="31" spans="2:15" x14ac:dyDescent="0.25">
      <c r="B31" s="21" t="str">
        <f>B21</f>
        <v>Sentinel Lights</v>
      </c>
      <c r="C31" s="260">
        <f ca="1">OFFSET('kW Forecast'!$AN$5,COLUMN()-COLUMN($C31),0)</f>
        <v>100</v>
      </c>
      <c r="D31" s="260">
        <f ca="1">OFFSET('kW Forecast'!$AN$5,COLUMN()-COLUMN($C31),0)</f>
        <v>85</v>
      </c>
      <c r="E31" s="260">
        <f ca="1">OFFSET('kW Forecast'!$AN$5,COLUMN()-COLUMN($C31),0)</f>
        <v>85</v>
      </c>
      <c r="F31" s="260">
        <f ca="1">OFFSET('kW Forecast'!$AN$5,COLUMN()-COLUMN($C31),0)</f>
        <v>85</v>
      </c>
      <c r="G31" s="260">
        <f ca="1">OFFSET('kW Forecast'!$AN$5,COLUMN()-COLUMN($C31),0)</f>
        <v>85</v>
      </c>
      <c r="H31" s="260">
        <f ca="1">OFFSET('kW Forecast'!$AN$5,COLUMN()-COLUMN($C31),0)</f>
        <v>85</v>
      </c>
      <c r="I31" s="260">
        <f ca="1">OFFSET('kW Forecast'!$AN$5,COLUMN()-COLUMN($C31),0)</f>
        <v>81</v>
      </c>
      <c r="J31" s="260">
        <f ca="1">OFFSET('kW Forecast'!$AN$5,COLUMN()-COLUMN($C31),0)</f>
        <v>79</v>
      </c>
      <c r="K31" s="260">
        <f ca="1">OFFSET('kW Forecast'!$AN$5,COLUMN()-COLUMN($C31),0)</f>
        <v>77</v>
      </c>
      <c r="L31" s="260">
        <f ca="1">OFFSET('kW Forecast'!$AN$5,COLUMN()-COLUMN($C31),0)</f>
        <v>75</v>
      </c>
      <c r="M31" s="260">
        <f ca="1">OFFSET('kW Forecast'!$AN$19,COLUMN()-COLUMN($M31),0)</f>
        <v>69.019483426056595</v>
      </c>
      <c r="N31" s="260">
        <f ca="1">OFFSET('kW Forecast'!$AN$19,COLUMN()-COLUMN($M31),0)</f>
        <v>77.82188857560908</v>
      </c>
      <c r="O31" s="278">
        <f ca="1">OFFSET('kW Forecast'!$AN$19,COLUMN()-COLUMN($M31),0)</f>
        <v>77.82188857560908</v>
      </c>
    </row>
    <row r="32" spans="2:15" ht="13.8" thickBot="1" x14ac:dyDescent="0.3">
      <c r="B32" s="135" t="s">
        <v>321</v>
      </c>
      <c r="C32" s="136">
        <f t="shared" ref="C32:O32" ca="1" si="8">SUM(C27:C31)</f>
        <v>1151824</v>
      </c>
      <c r="D32" s="136">
        <f t="shared" ca="1" si="8"/>
        <v>1181686</v>
      </c>
      <c r="E32" s="136">
        <f t="shared" ca="1" si="8"/>
        <v>1130382.2188148084</v>
      </c>
      <c r="F32" s="136">
        <f t="shared" ca="1" si="8"/>
        <v>1134287.4761851917</v>
      </c>
      <c r="G32" s="136">
        <f t="shared" ca="1" si="8"/>
        <v>1096288.06</v>
      </c>
      <c r="H32" s="136">
        <f t="shared" ca="1" si="8"/>
        <v>1090797.1118646557</v>
      </c>
      <c r="I32" s="136">
        <f t="shared" ca="1" si="8"/>
        <v>1068188.7731660467</v>
      </c>
      <c r="J32" s="136">
        <f t="shared" ca="1" si="8"/>
        <v>1106138.1420497703</v>
      </c>
      <c r="K32" s="136">
        <f t="shared" ca="1" si="8"/>
        <v>1110150.4371590547</v>
      </c>
      <c r="L32" s="136">
        <f t="shared" ca="1" si="8"/>
        <v>1154513.1099999999</v>
      </c>
      <c r="M32" s="141">
        <f t="shared" ca="1" si="8"/>
        <v>1136245.0627644451</v>
      </c>
      <c r="N32" s="136">
        <f t="shared" ca="1" si="8"/>
        <v>1141682.5915665636</v>
      </c>
      <c r="O32" s="137">
        <f t="shared" ca="1" si="8"/>
        <v>1147958.0082595376</v>
      </c>
    </row>
    <row r="34" spans="2:14" ht="16.2" thickBot="1" x14ac:dyDescent="0.35">
      <c r="B34" s="19" t="s">
        <v>522</v>
      </c>
      <c r="C34" s="19"/>
    </row>
    <row r="35" spans="2:14" ht="39.6" x14ac:dyDescent="0.25">
      <c r="B35" s="132" t="s">
        <v>397</v>
      </c>
      <c r="C35" s="133" t="s">
        <v>523</v>
      </c>
      <c r="D35" s="133" t="s">
        <v>524</v>
      </c>
      <c r="E35" s="134" t="s">
        <v>525</v>
      </c>
    </row>
    <row r="36" spans="2:14" x14ac:dyDescent="0.25">
      <c r="B36" s="21" t="str">
        <f>B27</f>
        <v>GS 50-999</v>
      </c>
      <c r="C36" s="260">
        <f ca="1">O27</f>
        <v>858909.99183744553</v>
      </c>
      <c r="D36" s="260">
        <f ca="1">'CDM Adjustment'!O23</f>
        <v>17442.494057187079</v>
      </c>
      <c r="E36" s="278">
        <f ca="1">C36-D36</f>
        <v>841467.49778025842</v>
      </c>
    </row>
    <row r="37" spans="2:14" x14ac:dyDescent="0.25">
      <c r="B37" s="21" t="str">
        <f>B28</f>
        <v>GS 1,000-4,999</v>
      </c>
      <c r="C37" s="260">
        <f ca="1">O28</f>
        <v>195993.21482447084</v>
      </c>
      <c r="D37" s="260">
        <f ca="1">'CDM Adjustment'!O24</f>
        <v>17255.637058843189</v>
      </c>
      <c r="E37" s="278">
        <f ca="1">C37-D37</f>
        <v>178737.57776562765</v>
      </c>
    </row>
    <row r="38" spans="2:14" x14ac:dyDescent="0.25">
      <c r="B38" s="21" t="str">
        <f>B29</f>
        <v>Large Use</v>
      </c>
      <c r="C38" s="260">
        <f ca="1">O29</f>
        <v>79948.981198233538</v>
      </c>
      <c r="D38" s="260">
        <f ca="1">'CDM Adjustment'!O25</f>
        <v>2034.4471791590527</v>
      </c>
      <c r="E38" s="278">
        <f ca="1">C38-D38</f>
        <v>77914.53401907449</v>
      </c>
    </row>
    <row r="39" spans="2:14" x14ac:dyDescent="0.25">
      <c r="B39" s="21" t="str">
        <f>B30</f>
        <v>Street Light</v>
      </c>
      <c r="C39" s="260">
        <f ca="1">O30</f>
        <v>13027.998510812127</v>
      </c>
      <c r="D39" s="260"/>
      <c r="E39" s="278">
        <f ca="1">C39-D39</f>
        <v>13027.998510812127</v>
      </c>
    </row>
    <row r="40" spans="2:14" x14ac:dyDescent="0.25">
      <c r="B40" s="21" t="str">
        <f>B31</f>
        <v>Sentinel Lights</v>
      </c>
      <c r="C40" s="260">
        <f ca="1">O31</f>
        <v>77.82188857560908</v>
      </c>
      <c r="D40" s="260"/>
      <c r="E40" s="278">
        <f ca="1">C40-D40</f>
        <v>77.82188857560908</v>
      </c>
    </row>
    <row r="41" spans="2:14" ht="13.8" thickBot="1" x14ac:dyDescent="0.3">
      <c r="B41" s="135" t="s">
        <v>321</v>
      </c>
      <c r="C41" s="136">
        <f ca="1">SUM(C36:C39)</f>
        <v>1147880.1863709621</v>
      </c>
      <c r="D41" s="136">
        <f ca="1">SUM(D36:D39)</f>
        <v>36732.578295189327</v>
      </c>
      <c r="E41" s="137">
        <f ca="1">SUM(E36:E39)</f>
        <v>1111147.6080757726</v>
      </c>
    </row>
    <row r="43" spans="2:14" ht="16.2" thickBot="1" x14ac:dyDescent="0.35">
      <c r="B43" s="19" t="s">
        <v>538</v>
      </c>
      <c r="C43" s="19"/>
    </row>
    <row r="44" spans="2:14" x14ac:dyDescent="0.25">
      <c r="B44" s="138" t="s">
        <v>436</v>
      </c>
      <c r="C44" s="139" t="s">
        <v>511</v>
      </c>
      <c r="D44" s="139" t="s">
        <v>512</v>
      </c>
      <c r="E44" s="139" t="s">
        <v>513</v>
      </c>
      <c r="F44" s="139" t="s">
        <v>514</v>
      </c>
      <c r="G44" s="139" t="s">
        <v>515</v>
      </c>
      <c r="H44" s="139" t="s">
        <v>516</v>
      </c>
      <c r="I44" s="139" t="s">
        <v>517</v>
      </c>
      <c r="J44" s="139" t="s">
        <v>518</v>
      </c>
      <c r="K44" s="139" t="s">
        <v>519</v>
      </c>
      <c r="L44" s="139" t="s">
        <v>520</v>
      </c>
      <c r="M44" s="139" t="s">
        <v>501</v>
      </c>
      <c r="N44" s="142" t="s">
        <v>502</v>
      </c>
    </row>
    <row r="45" spans="2:14" x14ac:dyDescent="0.25">
      <c r="B45" s="20" t="str">
        <f>B15</f>
        <v>Residential</v>
      </c>
      <c r="C45" s="260">
        <f ca="1">OFFSET('Customer Count'!$C$4,COLUMN()-COLUMN($C45),0)</f>
        <v>48571.666666666664</v>
      </c>
      <c r="D45" s="260">
        <f ca="1">OFFSET('Customer Count'!$C$4,COLUMN()-COLUMN($C45),0)</f>
        <v>49247.25</v>
      </c>
      <c r="E45" s="260">
        <f ca="1">OFFSET('Customer Count'!$C$4,COLUMN()-COLUMN($C45),0)</f>
        <v>52735.5</v>
      </c>
      <c r="F45" s="260">
        <f ca="1">OFFSET('Customer Count'!$C$4,COLUMN()-COLUMN($C45),0)</f>
        <v>53780.083333333336</v>
      </c>
      <c r="G45" s="260">
        <f ca="1">OFFSET('Customer Count'!$C$4,COLUMN()-COLUMN($C45),0)</f>
        <v>54576.5</v>
      </c>
      <c r="H45" s="260">
        <f ca="1">OFFSET('Customer Count'!$C$4,COLUMN()-COLUMN($C45),0)</f>
        <v>54548.583333333336</v>
      </c>
      <c r="I45" s="260">
        <f ca="1">OFFSET('Customer Count'!$C$4,COLUMN()-COLUMN($C45),0)</f>
        <v>55127.166666666664</v>
      </c>
      <c r="J45" s="260">
        <f ca="1">OFFSET('Customer Count'!$C$4,COLUMN()-COLUMN($C45),0)</f>
        <v>55761.75</v>
      </c>
      <c r="K45" s="260">
        <f ca="1">OFFSET('Customer Count'!$C$4,COLUMN()-COLUMN($C45),0)</f>
        <v>56980.916666666664</v>
      </c>
      <c r="L45" s="260">
        <f ca="1">OFFSET('Customer Count'!$C$4,COLUMN()-COLUMN($C45),0)</f>
        <v>57937</v>
      </c>
      <c r="M45" s="260">
        <f ca="1">OFFSET('Customer Count'!$C$4,COLUMN()-COLUMN($C45),0)</f>
        <v>58387.476500185643</v>
      </c>
      <c r="N45" s="278">
        <f ca="1">OFFSET('Customer Count'!$C$4,COLUMN()-COLUMN($C45),0)</f>
        <v>59177.394403200509</v>
      </c>
    </row>
    <row r="46" spans="2:14" x14ac:dyDescent="0.25">
      <c r="B46" s="21" t="str">
        <f t="shared" ref="B46:B52" si="9">B16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4427.25</v>
      </c>
      <c r="M46" s="260">
        <f ca="1">OFFSET('Customer Count'!$G$4,COLUMN()-COLUMN($C46),0)</f>
        <v>4325.022565784062</v>
      </c>
      <c r="N46" s="278">
        <f ca="1">OFFSET('Customer Count'!$G$4,COLUMN()-COLUMN($C46),0)</f>
        <v>4371.6443325355931</v>
      </c>
    </row>
    <row r="47" spans="2:14" ht="13.5" customHeight="1" x14ac:dyDescent="0.25">
      <c r="B47" s="21" t="str">
        <f t="shared" si="9"/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515.41666666666663</v>
      </c>
      <c r="G47" s="260">
        <f ca="1">OFFSET('Customer Count'!$K$4,COLUMN()-COLUMN($C47),0)</f>
        <v>525.25</v>
      </c>
      <c r="H47" s="260">
        <f ca="1">OFFSET('Customer Count'!$K$4,COLUMN()-COLUMN($C47),0)</f>
        <v>537.83333333333337</v>
      </c>
      <c r="I47" s="260">
        <f ca="1">OFFSET('Customer Count'!$K$4,COLUMN()-COLUMN($C47),0)</f>
        <v>538.41666666666663</v>
      </c>
      <c r="J47" s="260">
        <f ca="1">OFFSET('Customer Count'!$K$4,COLUMN()-COLUMN($C47),0)</f>
        <v>543.08333333333337</v>
      </c>
      <c r="K47" s="260">
        <f ca="1">OFFSET('Customer Count'!$K$4,COLUMN()-COLUMN($C47),0)</f>
        <v>521.16666666666663</v>
      </c>
      <c r="L47" s="260">
        <f ca="1">OFFSET('Customer Count'!$K$4,COLUMN()-COLUMN($C47),0)</f>
        <v>516.66666666666663</v>
      </c>
      <c r="M47" s="260">
        <f ca="1">OFFSET('Customer Count'!$K$4,COLUMN()-COLUMN($C47),0)</f>
        <v>514.61975548529983</v>
      </c>
      <c r="N47" s="278">
        <f ca="1">OFFSET('Customer Count'!$K$4,COLUMN()-COLUMN($C47),0)</f>
        <v>515.4471775238834</v>
      </c>
    </row>
    <row r="48" spans="2:14" ht="13.5" customHeight="1" x14ac:dyDescent="0.25">
      <c r="B48" s="21" t="str">
        <f t="shared" si="9"/>
        <v>GS 1,000-4,999</v>
      </c>
      <c r="C48" s="260">
        <f ca="1">OFFSET('Customer Count'!$O$4,COLUMN()-COLUMN($C48),0)</f>
        <v>12.5</v>
      </c>
      <c r="D48" s="260">
        <f ca="1">OFFSET('Customer Count'!$O$4,COLUMN()-COLUMN($C48),0)</f>
        <v>12.833333333333334</v>
      </c>
      <c r="E48" s="260">
        <f ca="1">OFFSET('Customer Count'!$O$4,COLUMN()-COLUMN($C48),0)</f>
        <v>11.833333333333334</v>
      </c>
      <c r="F48" s="260">
        <f ca="1">OFFSET('Customer Count'!$O$4,COLUMN()-COLUMN($C48),0)</f>
        <v>12</v>
      </c>
      <c r="G48" s="260">
        <f ca="1">OFFSET('Customer Count'!$O$4,COLUMN()-COLUMN($C48),0)</f>
        <v>14</v>
      </c>
      <c r="H48" s="260">
        <f ca="1">OFFSET('Customer Count'!$O$4,COLUMN()-COLUMN($C48),0)</f>
        <v>14.5</v>
      </c>
      <c r="I48" s="260">
        <f ca="1">OFFSET('Customer Count'!$O$4,COLUMN()-COLUMN($C48),0)</f>
        <v>17</v>
      </c>
      <c r="J48" s="260">
        <f ca="1">OFFSET('Customer Count'!$O$4,COLUMN()-COLUMN($C48),0)</f>
        <v>18</v>
      </c>
      <c r="K48" s="260">
        <f ca="1">OFFSET('Customer Count'!$O$4,COLUMN()-COLUMN($C48),0)</f>
        <v>18</v>
      </c>
      <c r="L48" s="260">
        <f ca="1">OFFSET('Customer Count'!$O$4,COLUMN()-COLUMN($C48),0)</f>
        <v>17</v>
      </c>
      <c r="M48" s="260">
        <f ca="1">OFFSET('Customer Count'!$O$4,COLUMN()-COLUMN($C48),0)</f>
        <v>17.085225549032245</v>
      </c>
      <c r="N48" s="278">
        <f ca="1">OFFSET('Customer Count'!$O$4,COLUMN()-COLUMN($C48),0)</f>
        <v>17.679027564713657</v>
      </c>
    </row>
    <row r="49" spans="2:14" ht="13.5" customHeight="1" x14ac:dyDescent="0.25">
      <c r="B49" s="21" t="str">
        <f t="shared" si="9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x14ac:dyDescent="0.25">
      <c r="B50" s="21" t="str">
        <f t="shared" si="9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14446.083333333334</v>
      </c>
      <c r="M50" s="260">
        <f ca="1">OFFSET('Customer Count'!$W$4,COLUMN()-COLUMN($C50),0)</f>
        <v>14528.911584442207</v>
      </c>
      <c r="N50" s="278">
        <f ca="1">OFFSET('Customer Count'!$W$4,COLUMN()-COLUMN($C50),0)</f>
        <v>14728.067686244216</v>
      </c>
    </row>
    <row r="51" spans="2:14" x14ac:dyDescent="0.25">
      <c r="B51" s="21" t="str">
        <f t="shared" si="9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x14ac:dyDescent="0.25">
      <c r="B52" s="21" t="str">
        <f t="shared" si="9"/>
        <v>USL</v>
      </c>
      <c r="C52" s="260">
        <f ca="1">OFFSET('Customer Count'!$AE$4,COLUMN()-COLUMN($C52),0)</f>
        <v>257.83333333333331</v>
      </c>
      <c r="D52" s="260">
        <f ca="1">OFFSET('Customer Count'!$AE$4,COLUMN()-COLUMN($C52),0)</f>
        <v>246.25</v>
      </c>
      <c r="E52" s="260">
        <f ca="1">OFFSET('Customer Count'!$AE$4,COLUMN()-COLUMN($C52),0)</f>
        <v>246.08333333333334</v>
      </c>
      <c r="F52" s="260">
        <f ca="1">OFFSET('Customer Count'!$AE$4,COLUMN()-COLUMN($C52),0)</f>
        <v>247.91666666666666</v>
      </c>
      <c r="G52" s="260">
        <f ca="1">OFFSET('Customer Count'!$AE$4,COLUMN()-COLUMN($C52),0)</f>
        <v>246.75</v>
      </c>
      <c r="H52" s="260">
        <f ca="1">OFFSET('Customer Count'!$AE$4,COLUMN()-COLUMN($C52),0)</f>
        <v>253.16666666666666</v>
      </c>
      <c r="I52" s="260">
        <f ca="1">OFFSET('Customer Count'!$AE$4,COLUMN()-COLUMN($C52),0)</f>
        <v>251.41666666666666</v>
      </c>
      <c r="J52" s="260">
        <f ca="1">OFFSET('Customer Count'!$AE$4,COLUMN()-COLUMN($C52),0)</f>
        <v>252.66666666666666</v>
      </c>
      <c r="K52" s="260">
        <f ca="1">OFFSET('Customer Count'!$AE$4,COLUMN()-COLUMN($C52),0)</f>
        <v>259.25</v>
      </c>
      <c r="L52" s="260">
        <f ca="1">OFFSET('Customer Count'!$AE$4,COLUMN()-COLUMN($C52),0)</f>
        <v>259.5</v>
      </c>
      <c r="M52" s="260">
        <f ca="1">OFFSET('Customer Count'!$AE$4,COLUMN()-COLUMN($C52),0)</f>
        <v>263.83585228188821</v>
      </c>
      <c r="N52" s="278">
        <f ca="1">OFFSET('Customer Count'!$AE$4,COLUMN()-COLUMN($C52),0)</f>
        <v>265.56996189345489</v>
      </c>
    </row>
    <row r="53" spans="2:14" ht="13.8" thickBot="1" x14ac:dyDescent="0.3">
      <c r="B53" s="135" t="s">
        <v>321</v>
      </c>
      <c r="C53" s="136">
        <f t="shared" ref="C53:N53" ca="1" si="10">SUM(C45:C52)</f>
        <v>66073.416666666657</v>
      </c>
      <c r="D53" s="136">
        <f t="shared" ca="1" si="10"/>
        <v>67153</v>
      </c>
      <c r="E53" s="136">
        <f t="shared" ca="1" si="10"/>
        <v>70874.583333333328</v>
      </c>
      <c r="F53" s="136">
        <f t="shared" ca="1" si="10"/>
        <v>72606.416666666672</v>
      </c>
      <c r="G53" s="136">
        <f t="shared" ca="1" si="10"/>
        <v>73511.333333333343</v>
      </c>
      <c r="H53" s="136">
        <f t="shared" ca="1" si="10"/>
        <v>73565.166666666672</v>
      </c>
      <c r="I53" s="136">
        <f t="shared" ca="1" si="10"/>
        <v>74262.916666666672</v>
      </c>
      <c r="J53" s="136">
        <f t="shared" ca="1" si="10"/>
        <v>75104.333333333343</v>
      </c>
      <c r="K53" s="136">
        <f t="shared" ca="1" si="10"/>
        <v>76577.083333333328</v>
      </c>
      <c r="L53" s="141">
        <f t="shared" ca="1" si="10"/>
        <v>77623.5</v>
      </c>
      <c r="M53" s="136">
        <f t="shared" ca="1" si="10"/>
        <v>78056.951483728131</v>
      </c>
      <c r="N53" s="137">
        <f t="shared" ca="1" si="10"/>
        <v>79095.802588962382</v>
      </c>
    </row>
    <row r="55" spans="2:14" ht="16.2" thickBot="1" x14ac:dyDescent="0.35">
      <c r="B55" s="19" t="s">
        <v>528</v>
      </c>
      <c r="C55" s="131"/>
    </row>
    <row r="56" spans="2:14" ht="26.4" x14ac:dyDescent="0.25">
      <c r="B56" s="132">
        <v>2026</v>
      </c>
      <c r="C56" s="133" t="s">
        <v>396</v>
      </c>
      <c r="D56" s="133" t="s">
        <v>397</v>
      </c>
      <c r="E56" s="134" t="s">
        <v>538</v>
      </c>
    </row>
    <row r="57" spans="2:14" x14ac:dyDescent="0.25">
      <c r="B57" s="21" t="str">
        <f t="shared" ref="B57:B64" si="11">B45</f>
        <v>Residential</v>
      </c>
      <c r="C57" s="260">
        <f t="shared" ref="C57:C64" ca="1" si="12">E15</f>
        <v>550241794.14455068</v>
      </c>
      <c r="D57" s="260"/>
      <c r="E57" s="278">
        <f t="shared" ref="E57:E64" ca="1" si="13">N45</f>
        <v>59177.394403200509</v>
      </c>
    </row>
    <row r="58" spans="2:14" x14ac:dyDescent="0.25">
      <c r="B58" s="21" t="str">
        <f t="shared" si="11"/>
        <v>GS &lt; 50</v>
      </c>
      <c r="C58" s="260">
        <f t="shared" ca="1" si="12"/>
        <v>125682650.1030491</v>
      </c>
      <c r="D58" s="260"/>
      <c r="E58" s="278">
        <f t="shared" ca="1" si="13"/>
        <v>4371.6443325355931</v>
      </c>
      <c r="G58" s="125"/>
      <c r="H58" s="125"/>
    </row>
    <row r="59" spans="2:14" x14ac:dyDescent="0.25">
      <c r="B59" s="21" t="str">
        <f t="shared" si="11"/>
        <v>GS 50-999</v>
      </c>
      <c r="C59" s="260">
        <f t="shared" ca="1" si="12"/>
        <v>332076482.13314188</v>
      </c>
      <c r="D59" s="260">
        <f ca="1">E36</f>
        <v>841467.49778025842</v>
      </c>
      <c r="E59" s="278">
        <f t="shared" ca="1" si="13"/>
        <v>515.4471775238834</v>
      </c>
    </row>
    <row r="60" spans="2:14" x14ac:dyDescent="0.25">
      <c r="B60" s="21" t="str">
        <f t="shared" si="11"/>
        <v>GS 1,000-4,999</v>
      </c>
      <c r="C60" s="260">
        <f t="shared" ca="1" si="12"/>
        <v>74407628.446597368</v>
      </c>
      <c r="D60" s="260">
        <f ca="1">E37</f>
        <v>178737.57776562765</v>
      </c>
      <c r="E60" s="278">
        <f t="shared" ca="1" si="13"/>
        <v>17.679027564713657</v>
      </c>
    </row>
    <row r="61" spans="2:14" x14ac:dyDescent="0.25">
      <c r="B61" s="21" t="str">
        <f t="shared" si="11"/>
        <v>Large Use</v>
      </c>
      <c r="C61" s="260">
        <f t="shared" ca="1" si="12"/>
        <v>34949625.751541801</v>
      </c>
      <c r="D61" s="260">
        <f ca="1">E38</f>
        <v>77914.53401907449</v>
      </c>
      <c r="E61" s="278">
        <f t="shared" ca="1" si="13"/>
        <v>1</v>
      </c>
    </row>
    <row r="62" spans="2:14" x14ac:dyDescent="0.25">
      <c r="B62" s="21" t="str">
        <f t="shared" si="11"/>
        <v>Street Light</v>
      </c>
      <c r="C62" s="260">
        <f t="shared" ca="1" si="12"/>
        <v>4595142.2306357278</v>
      </c>
      <c r="D62" s="260">
        <f ca="1">E39</f>
        <v>13027.998510812127</v>
      </c>
      <c r="E62" s="278">
        <f t="shared" ca="1" si="13"/>
        <v>14728.067686244216</v>
      </c>
    </row>
    <row r="63" spans="2:14" x14ac:dyDescent="0.25">
      <c r="B63" s="21" t="str">
        <f t="shared" si="11"/>
        <v>Sentinel Lights</v>
      </c>
      <c r="C63" s="260">
        <f t="shared" ca="1" si="12"/>
        <v>25474.399999999998</v>
      </c>
      <c r="D63" s="260">
        <f ca="1">E40</f>
        <v>77.82188857560908</v>
      </c>
      <c r="E63" s="278">
        <f t="shared" ca="1" si="13"/>
        <v>19</v>
      </c>
    </row>
    <row r="64" spans="2:14" x14ac:dyDescent="0.25">
      <c r="B64" s="21" t="str">
        <f t="shared" si="11"/>
        <v>USL</v>
      </c>
      <c r="C64" s="260">
        <f t="shared" ca="1" si="12"/>
        <v>2898787.7721564621</v>
      </c>
      <c r="D64" s="260"/>
      <c r="E64" s="278">
        <f t="shared" ca="1" si="13"/>
        <v>265.56996189345489</v>
      </c>
    </row>
    <row r="65" spans="2:19" ht="13.8" thickBot="1" x14ac:dyDescent="0.3">
      <c r="B65" s="135" t="s">
        <v>321</v>
      </c>
      <c r="C65" s="136">
        <f ca="1">SUM(C57:C64)</f>
        <v>1124877584.9816732</v>
      </c>
      <c r="D65" s="136">
        <f ca="1">SUM(D57:D64)</f>
        <v>1111225.4299643482</v>
      </c>
      <c r="E65" s="137">
        <f ca="1">SUM(E57:E64)</f>
        <v>79095.802588962382</v>
      </c>
    </row>
    <row r="70" spans="2:19" x14ac:dyDescent="0.25">
      <c r="O70" s="260"/>
    </row>
    <row r="71" spans="2:19" x14ac:dyDescent="0.25">
      <c r="O71" s="260"/>
    </row>
    <row r="72" spans="2:19" x14ac:dyDescent="0.25">
      <c r="O72" s="260"/>
      <c r="P72" s="125"/>
      <c r="Q72" s="459"/>
      <c r="R72" s="460"/>
      <c r="S72" s="460"/>
    </row>
    <row r="73" spans="2:19" x14ac:dyDescent="0.25">
      <c r="O73" s="260"/>
      <c r="P73" s="125"/>
      <c r="Q73" s="459"/>
      <c r="R73" s="460"/>
      <c r="S73" s="460"/>
    </row>
    <row r="74" spans="2:19" x14ac:dyDescent="0.25">
      <c r="O74" s="260"/>
      <c r="R74" s="460"/>
      <c r="S74" s="460"/>
    </row>
    <row r="75" spans="2:19" x14ac:dyDescent="0.25">
      <c r="O75" s="260"/>
    </row>
    <row r="76" spans="2:19" x14ac:dyDescent="0.25">
      <c r="O76" s="260"/>
    </row>
    <row r="77" spans="2:19" x14ac:dyDescent="0.25">
      <c r="O77" s="260"/>
    </row>
    <row r="78" spans="2:19" x14ac:dyDescent="0.25">
      <c r="O78" s="125"/>
    </row>
    <row r="79" spans="2:19" x14ac:dyDescent="0.25">
      <c r="O79" s="125"/>
    </row>
    <row r="80" spans="2:19" x14ac:dyDescent="0.25">
      <c r="O80" s="125"/>
    </row>
  </sheetData>
  <mergeCells count="1">
    <mergeCell ref="R3:X3"/>
  </mergeCells>
  <phoneticPr fontId="34" type="noConversion"/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4" tint="0.79998168889431442"/>
  </sheetPr>
  <dimension ref="A1:R205"/>
  <sheetViews>
    <sheetView workbookViewId="0">
      <pane xSplit="1" ySplit="1" topLeftCell="B2" activePane="bottomRight" state="frozen"/>
      <selection activeCell="G45" sqref="G45"/>
      <selection pane="topRight" activeCell="G45" sqref="G45"/>
      <selection pane="bottomLeft" activeCell="G45" sqref="G45"/>
      <selection pane="bottomRight" activeCell="G45" sqref="G45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14.6640625" style="1" bestFit="1" customWidth="1"/>
    <col min="5" max="9" width="9.33203125" style="1"/>
    <col min="10" max="10" width="11.33203125" style="1" bestFit="1" customWidth="1"/>
    <col min="11" max="11" width="9.33203125" style="1"/>
    <col min="12" max="12" width="11.77734375" style="1" bestFit="1" customWidth="1"/>
    <col min="13" max="13" width="12" style="1" bestFit="1" customWidth="1"/>
    <col min="14" max="14" width="12.77734375" style="1" bestFit="1" customWidth="1"/>
    <col min="15" max="15" width="13.77734375" style="1" bestFit="1" customWidth="1"/>
    <col min="16" max="16" width="14.33203125" style="1" bestFit="1" customWidth="1"/>
    <col min="17" max="17" width="13.6640625" style="1" bestFit="1" customWidth="1"/>
    <col min="18" max="18" width="16.109375" style="1" customWidth="1"/>
    <col min="19" max="19" width="13.77734375" style="1" bestFit="1" customWidth="1"/>
    <col min="20" max="20" width="13" style="1" bestFit="1" customWidth="1"/>
    <col min="21" max="22" width="16" style="1" bestFit="1" customWidth="1"/>
    <col min="23" max="16384" width="9.33203125" style="1"/>
  </cols>
  <sheetData>
    <row r="1" spans="1:18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G1&amp;"Norm"</f>
        <v>HDD14Norm</v>
      </c>
      <c r="F1" s="267" t="str">
        <f>H1&amp;"Norm"</f>
        <v>CDD10Norm</v>
      </c>
      <c r="G1" s="267" t="str">
        <f>'Monthly Data'!BF1</f>
        <v>HDD14</v>
      </c>
      <c r="H1" s="267" t="str">
        <f>'Monthly Data'!BK1</f>
        <v>CDD10</v>
      </c>
      <c r="I1" s="267" t="str">
        <f>J1&amp;"Norm"</f>
        <v>CWFHCDD12Norm</v>
      </c>
      <c r="J1" s="268" t="str">
        <f>'Monthly Data'!DG1</f>
        <v>CWFHCDD12</v>
      </c>
      <c r="K1" s="265" t="str">
        <f>'Monthly Data'!CC1</f>
        <v>Trend</v>
      </c>
      <c r="M1" s="265" t="s">
        <v>152</v>
      </c>
      <c r="N1" s="267" t="str">
        <f>E1</f>
        <v>HDD14Norm</v>
      </c>
      <c r="O1" s="267" t="str">
        <f>F1</f>
        <v>CDD10Norm</v>
      </c>
      <c r="P1" s="267" t="str">
        <f>J1</f>
        <v>CWFHCDD12</v>
      </c>
      <c r="Q1" s="267" t="str">
        <f>K1</f>
        <v>Trend</v>
      </c>
      <c r="R1" s="265" t="s">
        <v>420</v>
      </c>
    </row>
    <row r="2" spans="1:18" x14ac:dyDescent="0.25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269">
        <f>'Monthly Data'!BF2</f>
        <v>673.89184782608697</v>
      </c>
      <c r="H2" s="269">
        <f>'Monthly Data'!BK2</f>
        <v>0</v>
      </c>
      <c r="I2" s="269"/>
      <c r="J2" s="18">
        <f>'Monthly Data'!DG2</f>
        <v>0</v>
      </c>
      <c r="K2" s="1">
        <f>'Monthly Data'!CC2</f>
        <v>1</v>
      </c>
      <c r="M2" s="18"/>
      <c r="N2" s="18">
        <f ca="1">(E2-G2)*'Res Predicted Monthly'!$T$10</f>
        <v>-3602436.4945843285</v>
      </c>
      <c r="O2" s="18">
        <f ca="1">(F2-H2)*'Res Predicted Monthly'!$T$11</f>
        <v>0</v>
      </c>
      <c r="P2" s="18"/>
      <c r="Q2" s="18"/>
      <c r="R2" s="259">
        <f t="shared" ref="R2:R33" ca="1" si="2">D2+N2+O2</f>
        <v>45850367.71433688</v>
      </c>
    </row>
    <row r="3" spans="1:18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269">
        <f>'Monthly Data'!BF3</f>
        <v>753.85434782608695</v>
      </c>
      <c r="H3" s="269">
        <f>'Monthly Data'!BK3</f>
        <v>0</v>
      </c>
      <c r="I3" s="269"/>
      <c r="J3" s="18">
        <f>'Monthly Data'!DG3</f>
        <v>0</v>
      </c>
      <c r="K3" s="1">
        <f>'Monthly Data'!CC3</f>
        <v>2</v>
      </c>
      <c r="M3" s="18"/>
      <c r="N3" s="18">
        <f ca="1">(E3-G3)*'Res Predicted Monthly'!$T$10</f>
        <v>-8698185.0983376205</v>
      </c>
      <c r="O3" s="18">
        <f ca="1">(F3-H3)*'Res Predicted Monthly'!$T$11</f>
        <v>0</v>
      </c>
      <c r="P3" s="18"/>
      <c r="Q3" s="18"/>
      <c r="R3" s="259">
        <f t="shared" ca="1" si="2"/>
        <v>41604731.575170204</v>
      </c>
    </row>
    <row r="4" spans="1:18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269">
        <f>'Monthly Data'!BF4</f>
        <v>513.79999999999995</v>
      </c>
      <c r="H4" s="269">
        <f>'Monthly Data'!BK4</f>
        <v>0</v>
      </c>
      <c r="I4" s="269"/>
      <c r="J4" s="18">
        <f>'Monthly Data'!DG4</f>
        <v>0</v>
      </c>
      <c r="K4" s="1">
        <f>'Monthly Data'!CC4</f>
        <v>3</v>
      </c>
      <c r="M4" s="18"/>
      <c r="N4" s="18">
        <f ca="1">(E4-G4)*'Res Predicted Monthly'!$T$10</f>
        <v>-3283932.5747178509</v>
      </c>
      <c r="O4" s="18">
        <f ca="1">(F4-H4)*'Res Predicted Monthly'!$T$11</f>
        <v>30396.048002098556</v>
      </c>
      <c r="P4" s="18"/>
      <c r="Q4" s="18"/>
      <c r="R4" s="259">
        <f t="shared" ca="1" si="2"/>
        <v>38617393.336537264</v>
      </c>
    </row>
    <row r="5" spans="1:18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269">
        <f>'Monthly Data'!BF5</f>
        <v>226.75037878787884</v>
      </c>
      <c r="H5" s="269">
        <f>'Monthly Data'!BK5</f>
        <v>9.8333333333333321</v>
      </c>
      <c r="I5" s="269"/>
      <c r="J5" s="18">
        <f>'Monthly Data'!DG5</f>
        <v>0</v>
      </c>
      <c r="K5" s="1">
        <f>'Monthly Data'!CC5</f>
        <v>4</v>
      </c>
      <c r="M5" s="18"/>
      <c r="N5" s="18">
        <f ca="1">(E5-G5)*'Res Predicted Monthly'!$T$10</f>
        <v>280143.50114443008</v>
      </c>
      <c r="O5" s="18">
        <f ca="1">(F5-H5)*'Res Predicted Monthly'!$T$11</f>
        <v>173318.50985293015</v>
      </c>
      <c r="P5" s="18"/>
      <c r="Q5" s="18"/>
      <c r="R5" s="259">
        <f t="shared" ca="1" si="2"/>
        <v>37551666.810469151</v>
      </c>
    </row>
    <row r="6" spans="1:18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269">
        <f>'Monthly Data'!BF6</f>
        <v>35.578442028985506</v>
      </c>
      <c r="H6" s="269">
        <f>'Monthly Data'!BK6</f>
        <v>155.69477225672881</v>
      </c>
      <c r="I6" s="269"/>
      <c r="J6" s="18">
        <f>'Monthly Data'!DG6</f>
        <v>0</v>
      </c>
      <c r="K6" s="1">
        <f>'Monthly Data'!CC6</f>
        <v>5</v>
      </c>
      <c r="M6" s="18"/>
      <c r="N6" s="18">
        <f ca="1">(E6-G6)*'Res Predicted Monthly'!$T$10</f>
        <v>1028751.9185728909</v>
      </c>
      <c r="O6" s="18">
        <f ca="1">(F6-H6)*'Res Predicted Monthly'!$T$11</f>
        <v>-1492427.6737835682</v>
      </c>
      <c r="P6" s="18"/>
      <c r="Q6" s="18"/>
      <c r="R6" s="259">
        <f t="shared" ca="1" si="2"/>
        <v>31306714.798153676</v>
      </c>
    </row>
    <row r="7" spans="1:18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269">
        <f>'Monthly Data'!BF7</f>
        <v>5.9875000000000078</v>
      </c>
      <c r="H7" s="269">
        <f>'Monthly Data'!BK7</f>
        <v>209.61250000000001</v>
      </c>
      <c r="I7" s="269"/>
      <c r="J7" s="18">
        <f>'Monthly Data'!DG7</f>
        <v>0</v>
      </c>
      <c r="K7" s="1">
        <f>'Monthly Data'!CC7</f>
        <v>6</v>
      </c>
      <c r="M7" s="18"/>
      <c r="N7" s="18">
        <f ca="1">(E7-G7)*'Res Predicted Monthly'!$T$10</f>
        <v>-98637.022595353788</v>
      </c>
      <c r="O7" s="18">
        <f ca="1">(F7-H7)*'Res Predicted Monthly'!$T$11</f>
        <v>2631244.0787277683</v>
      </c>
      <c r="P7" s="18"/>
      <c r="Q7" s="18"/>
      <c r="R7" s="259">
        <f t="shared" ca="1" si="2"/>
        <v>37420432.945145331</v>
      </c>
    </row>
    <row r="8" spans="1:18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269">
        <f>'Monthly Data'!BF8</f>
        <v>0</v>
      </c>
      <c r="H8" s="269">
        <f>'Monthly Data'!BK8</f>
        <v>329.53750000000002</v>
      </c>
      <c r="I8" s="269"/>
      <c r="J8" s="18">
        <f>'Monthly Data'!DG8</f>
        <v>0</v>
      </c>
      <c r="K8" s="1">
        <f>'Monthly Data'!CC8</f>
        <v>7</v>
      </c>
      <c r="M8" s="18"/>
      <c r="N8" s="18">
        <f ca="1">(E8-G8)*'Res Predicted Monthly'!$T$10</f>
        <v>0</v>
      </c>
      <c r="O8" s="18">
        <f ca="1">(F8-H8)*'Res Predicted Monthly'!$T$11</f>
        <v>1781860.4901723529</v>
      </c>
      <c r="P8" s="18"/>
      <c r="Q8" s="18"/>
      <c r="R8" s="259">
        <f t="shared" ca="1" si="2"/>
        <v>42623981.860447377</v>
      </c>
    </row>
    <row r="9" spans="1:18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269">
        <f>'Monthly Data'!BF9</f>
        <v>0</v>
      </c>
      <c r="H9" s="269">
        <f>'Monthly Data'!BK9</f>
        <v>291.94166666666666</v>
      </c>
      <c r="I9" s="269"/>
      <c r="J9" s="18">
        <f>'Monthly Data'!DG9</f>
        <v>0</v>
      </c>
      <c r="K9" s="1">
        <f>'Monthly Data'!CC9</f>
        <v>8</v>
      </c>
      <c r="M9" s="18"/>
      <c r="N9" s="18">
        <f ca="1">(E9-G9)*'Res Predicted Monthly'!$T$10</f>
        <v>0</v>
      </c>
      <c r="O9" s="18">
        <f ca="1">(F9-H9)*'Res Predicted Monthly'!$T$11</f>
        <v>2520977.6894544954</v>
      </c>
      <c r="P9" s="18"/>
      <c r="Q9" s="18"/>
      <c r="R9" s="259">
        <f t="shared" ca="1" si="2"/>
        <v>47906686.167442717</v>
      </c>
    </row>
    <row r="10" spans="1:18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269">
        <f>'Monthly Data'!BF10</f>
        <v>6.0041666666666682</v>
      </c>
      <c r="H10" s="269">
        <f>'Monthly Data'!BK10</f>
        <v>248.92261904761907</v>
      </c>
      <c r="I10" s="269"/>
      <c r="J10" s="18">
        <f>'Monthly Data'!DG10</f>
        <v>0</v>
      </c>
      <c r="K10" s="1">
        <f>'Monthly Data'!CC10</f>
        <v>9</v>
      </c>
      <c r="M10" s="18"/>
      <c r="N10" s="18">
        <f ca="1">(E10-G10)*'Res Predicted Monthly'!$T$10</f>
        <v>157957.86171858813</v>
      </c>
      <c r="O10" s="18">
        <f ca="1">(F10-H10)*'Res Predicted Monthly'!$T$11</f>
        <v>-1895442.4767333064</v>
      </c>
      <c r="P10" s="18"/>
      <c r="Q10" s="18"/>
      <c r="R10" s="259">
        <f t="shared" ca="1" si="2"/>
        <v>38895138.433254786</v>
      </c>
    </row>
    <row r="11" spans="1:18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269">
        <f>'Monthly Data'!BF11</f>
        <v>157.34583333333333</v>
      </c>
      <c r="H11" s="269">
        <f>'Monthly Data'!BK11</f>
        <v>32.275000000000006</v>
      </c>
      <c r="I11" s="269"/>
      <c r="J11" s="18">
        <f>'Monthly Data'!DG11</f>
        <v>0</v>
      </c>
      <c r="K11" s="1">
        <f>'Monthly Data'!CC11</f>
        <v>10</v>
      </c>
      <c r="M11" s="18"/>
      <c r="N11" s="18">
        <f ca="1">(E11-G11)*'Res Predicted Monthly'!$T$10</f>
        <v>-972617.34969144082</v>
      </c>
      <c r="O11" s="18">
        <f ca="1">(F11-H11)*'Res Predicted Monthly'!$T$11</f>
        <v>1757355.4499526564</v>
      </c>
      <c r="P11" s="18"/>
      <c r="Q11" s="18"/>
      <c r="R11" s="259">
        <f t="shared" ca="1" si="2"/>
        <v>33417836.940322846</v>
      </c>
    </row>
    <row r="12" spans="1:18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269">
        <f>'Monthly Data'!BF12</f>
        <v>252.04166666666663</v>
      </c>
      <c r="H12" s="269">
        <f>'Monthly Data'!BK12</f>
        <v>11.908333333333333</v>
      </c>
      <c r="I12" s="269"/>
      <c r="J12" s="18">
        <f>'Monthly Data'!DG12</f>
        <v>0</v>
      </c>
      <c r="K12" s="1">
        <f>'Monthly Data'!CC12</f>
        <v>11</v>
      </c>
      <c r="M12" s="18"/>
      <c r="N12" s="18">
        <f ca="1">(E12-G12)*'Res Predicted Monthly'!$T$10</f>
        <v>1984559.4799461411</v>
      </c>
      <c r="O12" s="18">
        <f ca="1">(F12-H12)*'Res Predicted Monthly'!$T$11</f>
        <v>-367340.51264222938</v>
      </c>
      <c r="P12" s="18"/>
      <c r="Q12" s="18"/>
      <c r="R12" s="259">
        <f t="shared" ca="1" si="2"/>
        <v>37645967.496574454</v>
      </c>
    </row>
    <row r="13" spans="1:18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269">
        <f>'Monthly Data'!BF13</f>
        <v>313.62590579710144</v>
      </c>
      <c r="H13" s="269">
        <f>'Monthly Data'!BK13</f>
        <v>0.86666666666666714</v>
      </c>
      <c r="I13" s="269"/>
      <c r="J13" s="18">
        <f>'Monthly Data'!DG13</f>
        <v>0</v>
      </c>
      <c r="K13" s="1">
        <f>'Monthly Data'!CC13</f>
        <v>12</v>
      </c>
      <c r="M13" s="18"/>
      <c r="N13" s="18">
        <f ca="1">(E13-G13)*'Res Predicted Monthly'!$T$10</f>
        <v>5026264.4857727932</v>
      </c>
      <c r="O13" s="18">
        <f ca="1">(F13-H13)*'Res Predicted Monthly'!$T$11</f>
        <v>-43286.902094554898</v>
      </c>
      <c r="P13" s="18"/>
      <c r="Q13" s="18"/>
      <c r="R13" s="259">
        <f t="shared" ca="1" si="2"/>
        <v>45089665.330282129</v>
      </c>
    </row>
    <row r="14" spans="1:18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269">
        <f>'Monthly Data'!BF14</f>
        <v>551.87916666666672</v>
      </c>
      <c r="H14" s="269">
        <f>'Monthly Data'!BK14</f>
        <v>0</v>
      </c>
      <c r="I14" s="269"/>
      <c r="J14" s="18">
        <f>'Monthly Data'!DG14</f>
        <v>0</v>
      </c>
      <c r="K14" s="1">
        <f>'Monthly Data'!CC14</f>
        <v>13</v>
      </c>
      <c r="M14" s="18"/>
      <c r="N14" s="18">
        <f ca="1">(E14-G14)*'Res Predicted Monthly'!$T$10</f>
        <v>768617.10896581702</v>
      </c>
      <c r="O14" s="18">
        <f ca="1">(F14-H14)*'Res Predicted Monthly'!$T$11</f>
        <v>0</v>
      </c>
      <c r="P14" s="18"/>
      <c r="Q14" s="18"/>
      <c r="R14" s="259">
        <f t="shared" ca="1" si="2"/>
        <v>45607373.705298856</v>
      </c>
    </row>
    <row r="15" spans="1:18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269">
        <f>'Monthly Data'!BF15</f>
        <v>487.70833333333337</v>
      </c>
      <c r="H15" s="269">
        <f>'Monthly Data'!BK15</f>
        <v>0</v>
      </c>
      <c r="I15" s="269"/>
      <c r="J15" s="18">
        <f>'Monthly Data'!DG15</f>
        <v>0</v>
      </c>
      <c r="K15" s="1">
        <f>'Monthly Data'!CC15</f>
        <v>14</v>
      </c>
      <c r="M15" s="18"/>
      <c r="N15" s="18">
        <f ca="1">(E15-G15)*'Res Predicted Monthly'!$T$10</f>
        <v>836385.2812695289</v>
      </c>
      <c r="O15" s="18">
        <f ca="1">(F15-H15)*'Res Predicted Monthly'!$T$11</f>
        <v>0</v>
      </c>
      <c r="P15" s="18"/>
      <c r="Q15" s="18"/>
      <c r="R15" s="259">
        <f t="shared" ca="1" si="2"/>
        <v>45064020.625849105</v>
      </c>
    </row>
    <row r="16" spans="1:18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269">
        <f>'Monthly Data'!BF16</f>
        <v>391.07934782608697</v>
      </c>
      <c r="H16" s="269">
        <f>'Monthly Data'!BK16</f>
        <v>0</v>
      </c>
      <c r="I16" s="269"/>
      <c r="J16" s="18">
        <f>'Monthly Data'!DG16</f>
        <v>0</v>
      </c>
      <c r="K16" s="1">
        <f>'Monthly Data'!CC16</f>
        <v>15</v>
      </c>
      <c r="M16" s="18"/>
      <c r="N16" s="18">
        <f ca="1">(E16-G16)*'Res Predicted Monthly'!$T$10</f>
        <v>1112483.7962487745</v>
      </c>
      <c r="O16" s="18">
        <f ca="1">(F16-H16)*'Res Predicted Monthly'!$T$11</f>
        <v>30396.048002098556</v>
      </c>
      <c r="P16" s="18"/>
      <c r="Q16" s="18"/>
      <c r="R16" s="259">
        <f t="shared" ca="1" si="2"/>
        <v>39475263.485563911</v>
      </c>
    </row>
    <row r="17" spans="1:18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269">
        <f>'Monthly Data'!BF17</f>
        <v>286.81666666666661</v>
      </c>
      <c r="H17" s="269">
        <f>'Monthly Data'!BK17</f>
        <v>9.3541666666666732</v>
      </c>
      <c r="I17" s="269"/>
      <c r="J17" s="18">
        <f>'Monthly Data'!DG17</f>
        <v>0</v>
      </c>
      <c r="K17" s="1">
        <f>'Monthly Data'!CC17</f>
        <v>16</v>
      </c>
      <c r="M17" s="18"/>
      <c r="N17" s="18">
        <f ca="1">(E17-G17)*'Res Predicted Monthly'!$T$10</f>
        <v>-1871706.3032329299</v>
      </c>
      <c r="O17" s="18">
        <f ca="1">(F17-H17)*'Res Predicted Monthly'!$T$11</f>
        <v>201395.18069824166</v>
      </c>
      <c r="P17" s="18"/>
      <c r="Q17" s="18"/>
      <c r="R17" s="259">
        <f t="shared" ca="1" si="2"/>
        <v>34853809.720812321</v>
      </c>
    </row>
    <row r="18" spans="1:18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269">
        <f>'Monthly Data'!BF18</f>
        <v>75.344444444444463</v>
      </c>
      <c r="H18" s="269">
        <f>'Monthly Data'!BK18</f>
        <v>134.0888888888889</v>
      </c>
      <c r="I18" s="269"/>
      <c r="J18" s="18">
        <f>'Monthly Data'!DG18</f>
        <v>0</v>
      </c>
      <c r="K18" s="1">
        <f>'Monthly Data'!CC18</f>
        <v>17</v>
      </c>
      <c r="M18" s="18"/>
      <c r="N18" s="18">
        <f ca="1">(E18-G18)*'Res Predicted Monthly'!$T$10</f>
        <v>-395848.59430138551</v>
      </c>
      <c r="O18" s="18">
        <f ca="1">(F18-H18)*'Res Predicted Monthly'!$T$11</f>
        <v>-226435.44635878626</v>
      </c>
      <c r="P18" s="18"/>
      <c r="Q18" s="18"/>
      <c r="R18" s="259">
        <f t="shared" ca="1" si="2"/>
        <v>31331096.108111519</v>
      </c>
    </row>
    <row r="19" spans="1:18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269">
        <f>'Monthly Data'!BF19</f>
        <v>3.9749999999999996</v>
      </c>
      <c r="H19" s="269">
        <f>'Monthly Data'!BK19</f>
        <v>263.20416666666671</v>
      </c>
      <c r="I19" s="269"/>
      <c r="J19" s="18">
        <f>'Monthly Data'!DG19</f>
        <v>0</v>
      </c>
      <c r="K19" s="1">
        <f>'Monthly Data'!CC19</f>
        <v>18</v>
      </c>
      <c r="M19" s="18"/>
      <c r="N19" s="18">
        <f ca="1">(E19-G19)*'Res Predicted Monthly'!$T$10</f>
        <v>-26540.046333919254</v>
      </c>
      <c r="O19" s="18">
        <f ca="1">(F19-H19)*'Res Predicted Monthly'!$T$11</f>
        <v>-508948.44659747218</v>
      </c>
      <c r="P19" s="18"/>
      <c r="Q19" s="18"/>
      <c r="R19" s="259">
        <f t="shared" ca="1" si="2"/>
        <v>38240852.586414494</v>
      </c>
    </row>
    <row r="20" spans="1:18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269">
        <f>'Monthly Data'!BF20</f>
        <v>0</v>
      </c>
      <c r="H20" s="269">
        <f>'Monthly Data'!BK20</f>
        <v>375.22916666666669</v>
      </c>
      <c r="I20" s="269"/>
      <c r="J20" s="18">
        <f>'Monthly Data'!DG20</f>
        <v>0</v>
      </c>
      <c r="K20" s="1">
        <f>'Monthly Data'!CC20</f>
        <v>19</v>
      </c>
      <c r="M20" s="18"/>
      <c r="N20" s="18">
        <f ca="1">(E20-G20)*'Res Predicted Monthly'!$T$10</f>
        <v>0</v>
      </c>
      <c r="O20" s="18">
        <f ca="1">(F20-H20)*'Res Predicted Monthly'!$T$11</f>
        <v>-895433.18365104648</v>
      </c>
      <c r="P20" s="18"/>
      <c r="Q20" s="18"/>
      <c r="R20" s="259">
        <f t="shared" ca="1" si="2"/>
        <v>46323132.381752566</v>
      </c>
    </row>
    <row r="21" spans="1:18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269">
        <f>'Monthly Data'!BF21</f>
        <v>0</v>
      </c>
      <c r="H21" s="269">
        <f>'Monthly Data'!BK21</f>
        <v>390.02499999999998</v>
      </c>
      <c r="I21" s="269"/>
      <c r="J21" s="18">
        <f>'Monthly Data'!DG21</f>
        <v>0</v>
      </c>
      <c r="K21" s="1">
        <f>'Monthly Data'!CC21</f>
        <v>20</v>
      </c>
      <c r="M21" s="18"/>
      <c r="N21" s="18">
        <f ca="1">(E21-G21)*'Res Predicted Monthly'!$T$10</f>
        <v>0</v>
      </c>
      <c r="O21" s="18">
        <f ca="1">(F21-H21)*'Res Predicted Monthly'!$T$11</f>
        <v>-3226194.7600989253</v>
      </c>
      <c r="P21" s="18"/>
      <c r="Q21" s="18"/>
      <c r="R21" s="259">
        <f t="shared" ca="1" si="2"/>
        <v>48969719.85387408</v>
      </c>
    </row>
    <row r="22" spans="1:18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269">
        <f>'Monthly Data'!BF22</f>
        <v>4.9124999999999979</v>
      </c>
      <c r="H22" s="269">
        <f>'Monthly Data'!BK22</f>
        <v>235.7416666666667</v>
      </c>
      <c r="I22" s="269"/>
      <c r="J22" s="18">
        <f>'Monthly Data'!DG22</f>
        <v>0</v>
      </c>
      <c r="K22" s="1">
        <f>'Monthly Data'!CC22</f>
        <v>21</v>
      </c>
      <c r="M22" s="18"/>
      <c r="N22" s="18">
        <f ca="1">(E22-G22)*'Res Predicted Monthly'!$T$10</f>
        <v>197066.36644011163</v>
      </c>
      <c r="O22" s="18">
        <f ca="1">(F22-H22)*'Res Predicted Monthly'!$T$11</f>
        <v>-1123107.322449347</v>
      </c>
      <c r="P22" s="18"/>
      <c r="Q22" s="18"/>
      <c r="R22" s="259">
        <f t="shared" ca="1" si="2"/>
        <v>41177106.817126252</v>
      </c>
    </row>
    <row r="23" spans="1:18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269">
        <f>'Monthly Data'!BF23</f>
        <v>121.96666666666667</v>
      </c>
      <c r="H23" s="269">
        <f>'Monthly Data'!BK23</f>
        <v>85.800000000000011</v>
      </c>
      <c r="I23" s="269"/>
      <c r="J23" s="18">
        <f>'Monthly Data'!DG23</f>
        <v>0</v>
      </c>
      <c r="K23" s="1">
        <f>'Monthly Data'!CC23</f>
        <v>22</v>
      </c>
      <c r="M23" s="18"/>
      <c r="N23" s="18">
        <f ca="1">(E23-G23)*'Res Predicted Monthly'!$T$10</f>
        <v>294826.59531029442</v>
      </c>
      <c r="O23" s="18">
        <f ca="1">(F23-H23)*'Res Predicted Monthly'!$T$11</f>
        <v>-1378930.755950626</v>
      </c>
      <c r="P23" s="18"/>
      <c r="Q23" s="18"/>
      <c r="R23" s="259">
        <f t="shared" ca="1" si="2"/>
        <v>30814980.051196817</v>
      </c>
    </row>
    <row r="24" spans="1:18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269">
        <f>'Monthly Data'!BF24</f>
        <v>257.33511904761906</v>
      </c>
      <c r="H24" s="269">
        <f>'Monthly Data'!BK24</f>
        <v>3.6666666666666679</v>
      </c>
      <c r="I24" s="269"/>
      <c r="J24" s="18">
        <f>'Monthly Data'!DG24</f>
        <v>0</v>
      </c>
      <c r="K24" s="1">
        <f>'Monthly Data'!CC24</f>
        <v>23</v>
      </c>
      <c r="M24" s="18"/>
      <c r="N24" s="18">
        <f ca="1">(E24-G24)*'Res Predicted Monthly'!$T$10</f>
        <v>1794923.7479458628</v>
      </c>
      <c r="O24" s="18">
        <f ca="1">(F24-H24)*'Res Predicted Monthly'!$T$11</f>
        <v>115578.22589713628</v>
      </c>
      <c r="P24" s="18"/>
      <c r="Q24" s="18"/>
      <c r="R24" s="259">
        <f t="shared" ca="1" si="2"/>
        <v>37045699.615471087</v>
      </c>
    </row>
    <row r="25" spans="1:18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269">
        <f>'Monthly Data'!BF25</f>
        <v>492.67083333333335</v>
      </c>
      <c r="H25" s="269">
        <f>'Monthly Data'!BK25</f>
        <v>0</v>
      </c>
      <c r="I25" s="269"/>
      <c r="J25" s="18">
        <f>'Monthly Data'!DG25</f>
        <v>0</v>
      </c>
      <c r="K25" s="1">
        <f>'Monthly Data'!CC25</f>
        <v>24</v>
      </c>
      <c r="M25" s="18"/>
      <c r="N25" s="18">
        <f ca="1">(E25-G25)*'Res Predicted Monthly'!$T$10</f>
        <v>-1387945.6460582267</v>
      </c>
      <c r="O25" s="18">
        <f ca="1">(F25-H25)*'Res Predicted Monthly'!$T$11</f>
        <v>7495.2503908789322</v>
      </c>
      <c r="P25" s="18"/>
      <c r="Q25" s="18"/>
      <c r="R25" s="259">
        <f t="shared" ca="1" si="2"/>
        <v>41072350.6446651</v>
      </c>
    </row>
    <row r="26" spans="1:18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269">
        <f>'Monthly Data'!BF26</f>
        <v>496.21666666666664</v>
      </c>
      <c r="H26" s="269">
        <f>'Monthly Data'!BK26</f>
        <v>0</v>
      </c>
      <c r="I26" s="269"/>
      <c r="J26" s="18">
        <f>'Monthly Data'!DG26</f>
        <v>0</v>
      </c>
      <c r="K26" s="1">
        <f>'Monthly Data'!CC26</f>
        <v>25</v>
      </c>
      <c r="M26" s="18"/>
      <c r="N26" s="18">
        <f ca="1">(E26-G26)*'Res Predicted Monthly'!$T$10</f>
        <v>2762703.0424575387</v>
      </c>
      <c r="O26" s="18">
        <f ca="1">(F26-H26)*'Res Predicted Monthly'!$T$11</f>
        <v>0</v>
      </c>
      <c r="P26" s="18"/>
      <c r="Q26" s="18"/>
      <c r="R26" s="259">
        <f t="shared" ca="1" si="2"/>
        <v>49206992.242107943</v>
      </c>
    </row>
    <row r="27" spans="1:18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269">
        <f>'Monthly Data'!BF27</f>
        <v>418.08333333333331</v>
      </c>
      <c r="H27" s="269">
        <f>'Monthly Data'!BK27</f>
        <v>0</v>
      </c>
      <c r="I27" s="269"/>
      <c r="J27" s="18">
        <f>'Monthly Data'!DG27</f>
        <v>0</v>
      </c>
      <c r="K27" s="1">
        <f>'Monthly Data'!CC27</f>
        <v>26</v>
      </c>
      <c r="M27" s="18"/>
      <c r="N27" s="18">
        <f ca="1">(E27-G27)*'Res Predicted Monthly'!$T$10</f>
        <v>3330671.9755315729</v>
      </c>
      <c r="O27" s="18">
        <f ca="1">(F27-H27)*'Res Predicted Monthly'!$T$11</f>
        <v>0</v>
      </c>
      <c r="P27" s="18"/>
      <c r="Q27" s="18"/>
      <c r="R27" s="259">
        <f t="shared" ca="1" si="2"/>
        <v>46116771.87869779</v>
      </c>
    </row>
    <row r="28" spans="1:18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269">
        <f>'Monthly Data'!BF28</f>
        <v>475.67916666666662</v>
      </c>
      <c r="H28" s="269">
        <f>'Monthly Data'!BK28</f>
        <v>0</v>
      </c>
      <c r="I28" s="269"/>
      <c r="J28" s="18">
        <f>'Monthly Data'!DG28</f>
        <v>0</v>
      </c>
      <c r="K28" s="1">
        <f>'Monthly Data'!CC28</f>
        <v>27</v>
      </c>
      <c r="M28" s="18"/>
      <c r="N28" s="18">
        <f ca="1">(E28-G28)*'Res Predicted Monthly'!$T$10</f>
        <v>-1918269.5606063353</v>
      </c>
      <c r="O28" s="18">
        <f ca="1">(F28-H28)*'Res Predicted Monthly'!$T$11</f>
        <v>30396.048002098556</v>
      </c>
      <c r="P28" s="18"/>
      <c r="Q28" s="18"/>
      <c r="R28" s="259">
        <f t="shared" ca="1" si="2"/>
        <v>38950099.932607554</v>
      </c>
    </row>
    <row r="29" spans="1:18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269">
        <f>'Monthly Data'!BF29</f>
        <v>174.03750000000005</v>
      </c>
      <c r="H29" s="269">
        <f>'Monthly Data'!BK29</f>
        <v>24.758333333333333</v>
      </c>
      <c r="I29" s="269"/>
      <c r="J29" s="18">
        <f>'Monthly Data'!DG29</f>
        <v>0</v>
      </c>
      <c r="K29" s="1">
        <f>'Monthly Data'!CC29</f>
        <v>28</v>
      </c>
      <c r="M29" s="18"/>
      <c r="N29" s="18">
        <f ca="1">(E29-G29)*'Res Predicted Monthly'!$T$10</f>
        <v>2168560.4803452045</v>
      </c>
      <c r="O29" s="18">
        <f ca="1">(F29-H29)*'Res Predicted Monthly'!$T$11</f>
        <v>-701208.75073756941</v>
      </c>
      <c r="P29" s="18"/>
      <c r="Q29" s="18"/>
      <c r="R29" s="259">
        <f t="shared" ca="1" si="2"/>
        <v>38408092.089980967</v>
      </c>
    </row>
    <row r="30" spans="1:18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269">
        <f>'Monthly Data'!BF30</f>
        <v>88.129166666666677</v>
      </c>
      <c r="H30" s="269">
        <f>'Monthly Data'!BK30</f>
        <v>90.983333333333348</v>
      </c>
      <c r="I30" s="269"/>
      <c r="J30" s="18">
        <f>'Monthly Data'!DG30</f>
        <v>0</v>
      </c>
      <c r="K30" s="1">
        <f>'Monthly Data'!CC30</f>
        <v>29</v>
      </c>
      <c r="M30" s="18"/>
      <c r="N30" s="18">
        <f ca="1">(E30-G30)*'Res Predicted Monthly'!$T$10</f>
        <v>-853855.95557571389</v>
      </c>
      <c r="O30" s="18">
        <f ca="1">(F30-H30)*'Res Predicted Monthly'!$T$11</f>
        <v>2299325.5865545529</v>
      </c>
      <c r="P30" s="18"/>
      <c r="Q30" s="18"/>
      <c r="R30" s="259">
        <f t="shared" ca="1" si="2"/>
        <v>34718318.987641916</v>
      </c>
    </row>
    <row r="31" spans="1:18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269">
        <f>'Monthly Data'!BF31</f>
        <v>4.091666666666665</v>
      </c>
      <c r="H31" s="269">
        <f>'Monthly Data'!BK31</f>
        <v>228.62166666666667</v>
      </c>
      <c r="I31" s="269"/>
      <c r="J31" s="18">
        <f>'Monthly Data'!DG31</f>
        <v>0</v>
      </c>
      <c r="K31" s="1">
        <f>'Monthly Data'!CC31</f>
        <v>30</v>
      </c>
      <c r="M31" s="18"/>
      <c r="N31" s="18">
        <f ca="1">(E31-G31)*'Res Predicted Monthly'!$T$10</f>
        <v>-30719.581189654527</v>
      </c>
      <c r="O31" s="18">
        <f ca="1">(F31-H31)*'Res Predicted Monthly'!$T$11</f>
        <v>1517405.9245496623</v>
      </c>
      <c r="P31" s="18"/>
      <c r="Q31" s="18"/>
      <c r="R31" s="259">
        <f t="shared" ca="1" si="2"/>
        <v>38757807.987276196</v>
      </c>
    </row>
    <row r="32" spans="1:18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269">
        <f>'Monthly Data'!BF32</f>
        <v>0</v>
      </c>
      <c r="H32" s="269">
        <f>'Monthly Data'!BK32</f>
        <v>322.16666666666657</v>
      </c>
      <c r="I32" s="269"/>
      <c r="J32" s="18">
        <f>'Monthly Data'!DG32</f>
        <v>0</v>
      </c>
      <c r="K32" s="1">
        <f>'Monthly Data'!CC32</f>
        <v>31</v>
      </c>
      <c r="M32" s="18"/>
      <c r="N32" s="18">
        <f ca="1">(E32-G32)*'Res Predicted Monthly'!$T$10</f>
        <v>0</v>
      </c>
      <c r="O32" s="18">
        <f ca="1">(F32-H32)*'Res Predicted Monthly'!$T$11</f>
        <v>2213752.9312624196</v>
      </c>
      <c r="P32" s="18"/>
      <c r="Q32" s="18"/>
      <c r="R32" s="259">
        <f t="shared" ca="1" si="2"/>
        <v>45220758.7336291</v>
      </c>
    </row>
    <row r="33" spans="1:18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269">
        <f>'Monthly Data'!BF33</f>
        <v>0</v>
      </c>
      <c r="H33" s="269">
        <f>'Monthly Data'!BK33</f>
        <v>279.42409420289852</v>
      </c>
      <c r="I33" s="269"/>
      <c r="J33" s="18">
        <f>'Monthly Data'!DG33</f>
        <v>0</v>
      </c>
      <c r="K33" s="1">
        <f>'Monthly Data'!CC33</f>
        <v>32</v>
      </c>
      <c r="M33" s="18"/>
      <c r="N33" s="18">
        <f ca="1">(E33-G33)*'Res Predicted Monthly'!$T$10</f>
        <v>0</v>
      </c>
      <c r="O33" s="18">
        <f ca="1">(F33-H33)*'Res Predicted Monthly'!$T$11</f>
        <v>3254442.2359189661</v>
      </c>
      <c r="P33" s="18"/>
      <c r="Q33" s="18"/>
      <c r="R33" s="259">
        <f t="shared" ca="1" si="2"/>
        <v>46500953.983077548</v>
      </c>
    </row>
    <row r="34" spans="1:18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269">
        <f>'Monthly Data'!BF34</f>
        <v>16.833333333333329</v>
      </c>
      <c r="H34" s="269">
        <f>'Monthly Data'!BK34</f>
        <v>217.22916666666663</v>
      </c>
      <c r="I34" s="269"/>
      <c r="J34" s="18">
        <f>'Monthly Data'!DG34</f>
        <v>0</v>
      </c>
      <c r="K34" s="1">
        <f>'Monthly Data'!CC34</f>
        <v>33</v>
      </c>
      <c r="M34" s="18"/>
      <c r="N34" s="18">
        <f ca="1">(E34-G34)*'Res Predicted Monthly'!$T$10</f>
        <v>-229992.53435484355</v>
      </c>
      <c r="O34" s="18">
        <f ca="1">(F34-H34)*'Res Predicted Monthly'!$T$11</f>
        <v>-38371.247964812006</v>
      </c>
      <c r="P34" s="18"/>
      <c r="Q34" s="18"/>
      <c r="R34" s="259">
        <f t="shared" ref="R34:R65" ca="1" si="5">D34+N34+O34</f>
        <v>39905148.661524236</v>
      </c>
    </row>
    <row r="35" spans="1:18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269">
        <f>'Monthly Data'!BF35</f>
        <v>82.137500000000017</v>
      </c>
      <c r="H35" s="269">
        <f>'Monthly Data'!BK35</f>
        <v>98.274999999999977</v>
      </c>
      <c r="I35" s="269"/>
      <c r="J35" s="18">
        <f>'Monthly Data'!DG35</f>
        <v>0</v>
      </c>
      <c r="K35" s="1">
        <f>'Monthly Data'!CC35</f>
        <v>34</v>
      </c>
      <c r="M35" s="18"/>
      <c r="N35" s="18">
        <f ca="1">(E35-G35)*'Res Predicted Monthly'!$T$10</f>
        <v>1721689.9412379335</v>
      </c>
      <c r="O35" s="18">
        <f ca="1">(F35-H35)*'Res Predicted Monthly'!$T$11</f>
        <v>-2109900.7777842241</v>
      </c>
      <c r="P35" s="18"/>
      <c r="Q35" s="18"/>
      <c r="R35" s="259">
        <f t="shared" ca="1" si="5"/>
        <v>36443717.442843348</v>
      </c>
    </row>
    <row r="36" spans="1:18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269">
        <f>'Monthly Data'!BF36</f>
        <v>322.61174242424249</v>
      </c>
      <c r="H36" s="269">
        <f>'Monthly Data'!BK36</f>
        <v>1.2958333333333325</v>
      </c>
      <c r="I36" s="269"/>
      <c r="J36" s="18">
        <f>'Monthly Data'!DG36</f>
        <v>0</v>
      </c>
      <c r="K36" s="1">
        <f>'Monthly Data'!CC36</f>
        <v>35</v>
      </c>
      <c r="M36" s="18"/>
      <c r="N36" s="18">
        <f ca="1">(E36-G36)*'Res Predicted Monthly'!$T$10</f>
        <v>-543584.16063103336</v>
      </c>
      <c r="O36" s="18">
        <f ca="1">(F36-H36)*'Res Predicted Monthly'!$T$11</f>
        <v>254496.71034046251</v>
      </c>
      <c r="P36" s="18"/>
      <c r="Q36" s="18"/>
      <c r="R36" s="259">
        <f t="shared" ca="1" si="5"/>
        <v>38888326.047158614</v>
      </c>
    </row>
    <row r="37" spans="1:18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269">
        <f>'Monthly Data'!BF37</f>
        <v>612.31250000000011</v>
      </c>
      <c r="H37" s="269">
        <f>'Monthly Data'!BK37</f>
        <v>0</v>
      </c>
      <c r="I37" s="269"/>
      <c r="J37" s="18">
        <f>'Monthly Data'!DG37</f>
        <v>0</v>
      </c>
      <c r="K37" s="1">
        <f>'Monthly Data'!CC37</f>
        <v>36</v>
      </c>
      <c r="M37" s="18"/>
      <c r="N37" s="18">
        <f ca="1">(E37-G37)*'Res Predicted Monthly'!$T$10</f>
        <v>-5674058.6406147992</v>
      </c>
      <c r="O37" s="18">
        <f ca="1">(F37-H37)*'Res Predicted Monthly'!$T$11</f>
        <v>7495.2503908789322</v>
      </c>
      <c r="P37" s="18"/>
      <c r="Q37" s="18"/>
      <c r="R37" s="259">
        <f t="shared" ca="1" si="5"/>
        <v>40076533.516387567</v>
      </c>
    </row>
    <row r="38" spans="1:18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269">
        <f>'Monthly Data'!BF38</f>
        <v>626.53750000000002</v>
      </c>
      <c r="H38" s="269">
        <f>'Monthly Data'!BK38</f>
        <v>0</v>
      </c>
      <c r="I38" s="269"/>
      <c r="J38" s="18">
        <f>'Monthly Data'!DG38</f>
        <v>0</v>
      </c>
      <c r="K38" s="1">
        <f>'Monthly Data'!CC38</f>
        <v>37</v>
      </c>
      <c r="M38" s="18"/>
      <c r="N38" s="18">
        <f ca="1">(E38-G38)*'Res Predicted Monthly'!$T$10</f>
        <v>-1905986.6605008049</v>
      </c>
      <c r="O38" s="18">
        <f ca="1">(F38-H38)*'Res Predicted Monthly'!$T$11</f>
        <v>0</v>
      </c>
      <c r="P38" s="18"/>
      <c r="Q38" s="18"/>
      <c r="R38" s="259">
        <f t="shared" ca="1" si="5"/>
        <v>47276557.309166819</v>
      </c>
    </row>
    <row r="39" spans="1:18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269">
        <f>'Monthly Data'!BF39</f>
        <v>464.49583333333334</v>
      </c>
      <c r="H39" s="269">
        <f>'Monthly Data'!BK39</f>
        <v>0</v>
      </c>
      <c r="I39" s="269"/>
      <c r="J39" s="18">
        <f>'Monthly Data'!DG39</f>
        <v>0</v>
      </c>
      <c r="K39" s="1">
        <f>'Monthly Data'!CC39</f>
        <v>38</v>
      </c>
      <c r="M39" s="18"/>
      <c r="N39" s="18">
        <f ca="1">(E39-G39)*'Res Predicted Monthly'!$T$10</f>
        <v>1667963.4484588681</v>
      </c>
      <c r="O39" s="18">
        <f ca="1">(F39-H39)*'Res Predicted Monthly'!$T$11</f>
        <v>0</v>
      </c>
      <c r="P39" s="18"/>
      <c r="Q39" s="18"/>
      <c r="R39" s="259">
        <f t="shared" ca="1" si="5"/>
        <v>43922454.089006424</v>
      </c>
    </row>
    <row r="40" spans="1:18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269">
        <f>'Monthly Data'!BF40</f>
        <v>443.2791666666667</v>
      </c>
      <c r="H40" s="269">
        <f>'Monthly Data'!BK40</f>
        <v>0</v>
      </c>
      <c r="I40" s="269"/>
      <c r="J40" s="18">
        <f>'Monthly Data'!DG40</f>
        <v>0</v>
      </c>
      <c r="K40" s="1">
        <f>'Monthly Data'!CC40</f>
        <v>39</v>
      </c>
      <c r="M40" s="18"/>
      <c r="N40" s="18">
        <f ca="1">(E40-G40)*'Res Predicted Monthly'!$T$10</f>
        <v>-757553.02352784376</v>
      </c>
      <c r="O40" s="18">
        <f ca="1">(F40-H40)*'Res Predicted Monthly'!$T$11</f>
        <v>30396.048002098556</v>
      </c>
      <c r="P40" s="18"/>
      <c r="Q40" s="18"/>
      <c r="R40" s="259">
        <f t="shared" ca="1" si="5"/>
        <v>42705409.161518157</v>
      </c>
    </row>
    <row r="41" spans="1:18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269">
        <f>'Monthly Data'!BF41</f>
        <v>332.51666666666671</v>
      </c>
      <c r="H41" s="269">
        <f>'Monthly Data'!BK41</f>
        <v>6.2499999999998224E-2</v>
      </c>
      <c r="I41" s="269"/>
      <c r="J41" s="18">
        <f>'Monthly Data'!DG41</f>
        <v>0</v>
      </c>
      <c r="K41" s="1">
        <f>'Monthly Data'!CC41</f>
        <v>40</v>
      </c>
      <c r="M41" s="18"/>
      <c r="N41" s="18">
        <f ca="1">(E41-G41)*'Res Predicted Monthly'!$T$10</f>
        <v>-3508889.8138652542</v>
      </c>
      <c r="O41" s="18">
        <f ca="1">(F41-H41)*'Res Predicted Monthly'!$T$11</f>
        <v>745838.45013342192</v>
      </c>
      <c r="P41" s="18"/>
      <c r="Q41" s="18"/>
      <c r="R41" s="259">
        <f t="shared" ca="1" si="5"/>
        <v>37978433.9408186</v>
      </c>
    </row>
    <row r="42" spans="1:18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269">
        <f>'Monthly Data'!BF42</f>
        <v>22.062500000000014</v>
      </c>
      <c r="H42" s="269">
        <f>'Monthly Data'!BK42</f>
        <v>185.32554112554109</v>
      </c>
      <c r="I42" s="269"/>
      <c r="J42" s="18">
        <f>'Monthly Data'!DG42</f>
        <v>0</v>
      </c>
      <c r="K42" s="1">
        <f>'Monthly Data'!CC42</f>
        <v>41</v>
      </c>
      <c r="M42" s="18"/>
      <c r="N42" s="18">
        <f ca="1">(E42-G42)*'Res Predicted Monthly'!$T$10</f>
        <v>1512954.9255864008</v>
      </c>
      <c r="O42" s="18">
        <f ca="1">(F42-H42)*'Res Predicted Monthly'!$T$11</f>
        <v>-3228636.3925797264</v>
      </c>
      <c r="P42" s="18"/>
      <c r="Q42" s="18"/>
      <c r="R42" s="259">
        <f t="shared" ca="1" si="5"/>
        <v>30940651.551113568</v>
      </c>
    </row>
    <row r="43" spans="1:18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269">
        <f>'Monthly Data'!BF43</f>
        <v>3.3208333333333275</v>
      </c>
      <c r="H43" s="269">
        <f>'Monthly Data'!BK43</f>
        <v>258.19393939393944</v>
      </c>
      <c r="I43" s="269"/>
      <c r="J43" s="18">
        <f>'Monthly Data'!DG43</f>
        <v>0</v>
      </c>
      <c r="K43" s="1">
        <f>'Monthly Data'!CC43</f>
        <v>42</v>
      </c>
      <c r="M43" s="18"/>
      <c r="N43" s="18">
        <f ca="1">(E43-G43)*'Res Predicted Monthly'!$T$10</f>
        <v>-3104.7973214031649</v>
      </c>
      <c r="O43" s="18">
        <f ca="1">(F43-H43)*'Res Predicted Monthly'!$T$11</f>
        <v>-215375.22503941634</v>
      </c>
      <c r="P43" s="18"/>
      <c r="Q43" s="18"/>
      <c r="R43" s="259">
        <f t="shared" ca="1" si="5"/>
        <v>39209104.077215374</v>
      </c>
    </row>
    <row r="44" spans="1:18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269">
        <f>'Monthly Data'!BF44</f>
        <v>0</v>
      </c>
      <c r="H44" s="269">
        <f>'Monthly Data'!BK44</f>
        <v>380.39861424807083</v>
      </c>
      <c r="I44" s="269"/>
      <c r="J44" s="18">
        <f>'Monthly Data'!DG44</f>
        <v>0</v>
      </c>
      <c r="K44" s="1">
        <f>'Monthly Data'!CC44</f>
        <v>43</v>
      </c>
      <c r="M44" s="18"/>
      <c r="N44" s="18">
        <f ca="1">(E44-G44)*'Res Predicted Monthly'!$T$10</f>
        <v>0</v>
      </c>
      <c r="O44" s="18">
        <f ca="1">(F44-H44)*'Res Predicted Monthly'!$T$11</f>
        <v>-1198335.8859714181</v>
      </c>
      <c r="P44" s="18"/>
      <c r="Q44" s="18"/>
      <c r="R44" s="259">
        <f t="shared" ca="1" si="5"/>
        <v>47684581.003387049</v>
      </c>
    </row>
    <row r="45" spans="1:18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269">
        <f>'Monthly Data'!BF45</f>
        <v>0</v>
      </c>
      <c r="H45" s="269">
        <f>'Monthly Data'!BK45</f>
        <v>376.24583333333334</v>
      </c>
      <c r="I45" s="269"/>
      <c r="J45" s="18">
        <f>'Monthly Data'!DG45</f>
        <v>0</v>
      </c>
      <c r="K45" s="1">
        <f>'Monthly Data'!CC45</f>
        <v>44</v>
      </c>
      <c r="M45" s="18"/>
      <c r="N45" s="18">
        <f ca="1">(E45-G45)*'Res Predicted Monthly'!$T$10</f>
        <v>0</v>
      </c>
      <c r="O45" s="18">
        <f ca="1">(F45-H45)*'Res Predicted Monthly'!$T$11</f>
        <v>-2418807.3645733041</v>
      </c>
      <c r="P45" s="18"/>
      <c r="Q45" s="18"/>
      <c r="R45" s="259">
        <f t="shared" ca="1" si="5"/>
        <v>48932944.813268907</v>
      </c>
    </row>
    <row r="46" spans="1:18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269">
        <f>'Monthly Data'!BF46</f>
        <v>13.695833333333338</v>
      </c>
      <c r="H46" s="269">
        <f>'Monthly Data'!BK46</f>
        <v>241.36666666666665</v>
      </c>
      <c r="I46" s="269"/>
      <c r="J46" s="18">
        <f>'Monthly Data'!DG46</f>
        <v>0</v>
      </c>
      <c r="K46" s="1">
        <f>'Monthly Data'!CC46</f>
        <v>45</v>
      </c>
      <c r="M46" s="18"/>
      <c r="N46" s="18">
        <f ca="1">(E46-G46)*'Res Predicted Monthly'!$T$10</f>
        <v>-117592.90055596191</v>
      </c>
      <c r="O46" s="18">
        <f ca="1">(F46-H46)*'Res Predicted Monthly'!$T$11</f>
        <v>-1452703.0236769191</v>
      </c>
      <c r="P46" s="18"/>
      <c r="Q46" s="18"/>
      <c r="R46" s="259">
        <f t="shared" ca="1" si="5"/>
        <v>43524494.110795908</v>
      </c>
    </row>
    <row r="47" spans="1:18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269">
        <f>'Monthly Data'!BF47</f>
        <v>194.17916666666662</v>
      </c>
      <c r="H47" s="269">
        <f>'Monthly Data'!BK47</f>
        <v>41.524999999999999</v>
      </c>
      <c r="I47" s="269"/>
      <c r="J47" s="18">
        <f>'Monthly Data'!DG47</f>
        <v>0</v>
      </c>
      <c r="K47" s="1">
        <f>'Monthly Data'!CC47</f>
        <v>46</v>
      </c>
      <c r="M47" s="18"/>
      <c r="N47" s="18">
        <f ca="1">(E47-G47)*'Res Predicted Monthly'!$T$10</f>
        <v>-2292156.2112878757</v>
      </c>
      <c r="O47" s="18">
        <f ca="1">(F47-H47)*'Res Predicted Monthly'!$T$11</f>
        <v>1215353.6301561999</v>
      </c>
      <c r="P47" s="18"/>
      <c r="Q47" s="18"/>
      <c r="R47" s="259">
        <f t="shared" ca="1" si="5"/>
        <v>33795773.231849529</v>
      </c>
    </row>
    <row r="48" spans="1:18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269">
        <f>'Monthly Data'!BF48</f>
        <v>383.52500000000003</v>
      </c>
      <c r="H48" s="269">
        <f>'Monthly Data'!BK48</f>
        <v>0.34166666666666856</v>
      </c>
      <c r="I48" s="269"/>
      <c r="J48" s="18">
        <f>'Monthly Data'!DG48</f>
        <v>0</v>
      </c>
      <c r="K48" s="1">
        <f>'Monthly Data'!CC48</f>
        <v>47</v>
      </c>
      <c r="M48" s="18"/>
      <c r="N48" s="18">
        <f ca="1">(E48-G48)*'Res Predicted Monthly'!$T$10</f>
        <v>-2725776.3024675655</v>
      </c>
      <c r="O48" s="18">
        <f ca="1">(F48-H48)*'Res Predicted Monthly'!$T$11</f>
        <v>310405.90706721402</v>
      </c>
      <c r="P48" s="18"/>
      <c r="Q48" s="18"/>
      <c r="R48" s="259">
        <f t="shared" ca="1" si="5"/>
        <v>37280774.838456616</v>
      </c>
    </row>
    <row r="49" spans="1:18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269">
        <f>'Monthly Data'!BF49</f>
        <v>460.91666666666657</v>
      </c>
      <c r="H49" s="269">
        <f>'Monthly Data'!BK49</f>
        <v>0</v>
      </c>
      <c r="I49" s="269"/>
      <c r="J49" s="18">
        <f>'Monthly Data'!DG49</f>
        <v>0</v>
      </c>
      <c r="K49" s="1">
        <f>'Monthly Data'!CC49</f>
        <v>48</v>
      </c>
      <c r="M49" s="18"/>
      <c r="N49" s="18">
        <f ca="1">(E49-G49)*'Res Predicted Monthly'!$T$10</f>
        <v>-250365.81978826332</v>
      </c>
      <c r="O49" s="18">
        <f ca="1">(F49-H49)*'Res Predicted Monthly'!$T$11</f>
        <v>7495.2503908789322</v>
      </c>
      <c r="P49" s="18"/>
      <c r="Q49" s="18"/>
      <c r="R49" s="259">
        <f t="shared" ca="1" si="5"/>
        <v>43227482.88228377</v>
      </c>
    </row>
    <row r="50" spans="1:18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269">
        <f>'Monthly Data'!BF50</f>
        <v>655.93333333333339</v>
      </c>
      <c r="H50" s="269">
        <f>'Monthly Data'!BK50</f>
        <v>0</v>
      </c>
      <c r="I50" s="269"/>
      <c r="J50" s="18">
        <f>'Monthly Data'!DG50</f>
        <v>0</v>
      </c>
      <c r="K50" s="1">
        <f>'Monthly Data'!CC50</f>
        <v>49</v>
      </c>
      <c r="M50" s="18"/>
      <c r="N50" s="18">
        <f ca="1">(E50-G50)*'Res Predicted Monthly'!$T$10</f>
        <v>-2959080.1750441161</v>
      </c>
      <c r="O50" s="18">
        <f ca="1">(F50-H50)*'Res Predicted Monthly'!$T$11</f>
        <v>0</v>
      </c>
      <c r="P50" s="18"/>
      <c r="Q50" s="18"/>
      <c r="R50" s="259">
        <f t="shared" ca="1" si="5"/>
        <v>46827465.422030136</v>
      </c>
    </row>
    <row r="51" spans="1:18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269">
        <f>'Monthly Data'!BF51</f>
        <v>527.30416666666656</v>
      </c>
      <c r="H51" s="269">
        <f>'Monthly Data'!BK51</f>
        <v>0</v>
      </c>
      <c r="I51" s="269"/>
      <c r="J51" s="18">
        <f>'Monthly Data'!DG51</f>
        <v>0</v>
      </c>
      <c r="K51" s="1">
        <f>'Monthly Data'!CC51</f>
        <v>50</v>
      </c>
      <c r="M51" s="18"/>
      <c r="N51" s="18">
        <f ca="1">(E51-G51)*'Res Predicted Monthly'!$T$10</f>
        <v>-582118.99494663498</v>
      </c>
      <c r="O51" s="18">
        <f ca="1">(F51-H51)*'Res Predicted Monthly'!$T$11</f>
        <v>0</v>
      </c>
      <c r="P51" s="18"/>
      <c r="Q51" s="18"/>
      <c r="R51" s="259">
        <f t="shared" ca="1" si="5"/>
        <v>46380819.105087779</v>
      </c>
    </row>
    <row r="52" spans="1:18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269">
        <f>'Monthly Data'!BF52</f>
        <v>487.45833333333331</v>
      </c>
      <c r="H52" s="269">
        <f>'Monthly Data'!BK52</f>
        <v>0</v>
      </c>
      <c r="I52" s="269"/>
      <c r="J52" s="18">
        <f>'Monthly Data'!DG52</f>
        <v>0</v>
      </c>
      <c r="K52" s="1">
        <f>'Monthly Data'!CC52</f>
        <v>51</v>
      </c>
      <c r="M52" s="18"/>
      <c r="N52" s="18">
        <f ca="1">(E52-G52)*'Res Predicted Monthly'!$T$10</f>
        <v>-2340253.3119336129</v>
      </c>
      <c r="O52" s="18">
        <f ca="1">(F52-H52)*'Res Predicted Monthly'!$T$11</f>
        <v>30396.048002098556</v>
      </c>
      <c r="P52" s="18"/>
      <c r="Q52" s="18"/>
      <c r="R52" s="259">
        <f t="shared" ca="1" si="5"/>
        <v>38219402.492720872</v>
      </c>
    </row>
    <row r="53" spans="1:18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269">
        <f>'Monthly Data'!BF53</f>
        <v>246.6541666666667</v>
      </c>
      <c r="H53" s="269">
        <f>'Monthly Data'!BK53</f>
        <v>2.8791666666666664</v>
      </c>
      <c r="I53" s="269"/>
      <c r="J53" s="18">
        <f>'Monthly Data'!DG53</f>
        <v>0</v>
      </c>
      <c r="K53" s="1">
        <f>'Monthly Data'!CC53</f>
        <v>52</v>
      </c>
      <c r="M53" s="18"/>
      <c r="N53" s="18">
        <f ca="1">(E53-G53)*'Res Predicted Monthly'!$T$10</f>
        <v>-432901.42914604972</v>
      </c>
      <c r="O53" s="18">
        <f ca="1">(F53-H53)*'Res Predicted Monthly'!$T$11</f>
        <v>580796.45455576188</v>
      </c>
      <c r="P53" s="18"/>
      <c r="Q53" s="18"/>
      <c r="R53" s="259">
        <f t="shared" ca="1" si="5"/>
        <v>38538306.18516314</v>
      </c>
    </row>
    <row r="54" spans="1:18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269">
        <f>'Monthly Data'!BF54</f>
        <v>92.742982456140368</v>
      </c>
      <c r="H54" s="269">
        <f>'Monthly Data'!BK54</f>
        <v>63.802850877192981</v>
      </c>
      <c r="I54" s="269"/>
      <c r="J54" s="18">
        <f>'Monthly Data'!DG54</f>
        <v>0</v>
      </c>
      <c r="K54" s="1">
        <f>'Monthly Data'!CC54</f>
        <v>53</v>
      </c>
      <c r="M54" s="18"/>
      <c r="N54" s="18">
        <f ca="1">(E54-G54)*'Res Predicted Monthly'!$T$10</f>
        <v>-1019143.9890904047</v>
      </c>
      <c r="O54" s="18">
        <f ca="1">(F54-H54)*'Res Predicted Monthly'!$T$11</f>
        <v>3891960.2843030663</v>
      </c>
      <c r="P54" s="18"/>
      <c r="Q54" s="18"/>
      <c r="R54" s="259">
        <f t="shared" ca="1" si="5"/>
        <v>37307278.662515111</v>
      </c>
    </row>
    <row r="55" spans="1:18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269">
        <f>'Monthly Data'!BF55</f>
        <v>9.0750000000000011</v>
      </c>
      <c r="H55" s="269">
        <f>'Monthly Data'!BK55</f>
        <v>230.72083333333327</v>
      </c>
      <c r="I55" s="269"/>
      <c r="J55" s="18">
        <f>'Monthly Data'!DG55</f>
        <v>0</v>
      </c>
      <c r="K55" s="1">
        <f>'Monthly Data'!CC55</f>
        <v>54</v>
      </c>
      <c r="M55" s="18"/>
      <c r="N55" s="18">
        <f ca="1">(E55-G55)*'Res Predicted Monthly'!$T$10</f>
        <v>-209245.42717034896</v>
      </c>
      <c r="O55" s="18">
        <f ca="1">(F55-H55)*'Res Predicted Monthly'!$T$11</f>
        <v>1394405.6917508123</v>
      </c>
      <c r="P55" s="18"/>
      <c r="Q55" s="18"/>
      <c r="R55" s="259">
        <f t="shared" ca="1" si="5"/>
        <v>37835322.92185276</v>
      </c>
    </row>
    <row r="56" spans="1:18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269">
        <f>'Monthly Data'!BF56</f>
        <v>0</v>
      </c>
      <c r="H56" s="269">
        <f>'Monthly Data'!BK56</f>
        <v>383.6</v>
      </c>
      <c r="I56" s="269"/>
      <c r="J56" s="18">
        <f>'Monthly Data'!DG56</f>
        <v>0</v>
      </c>
      <c r="K56" s="1">
        <f>'Monthly Data'!CC56</f>
        <v>55</v>
      </c>
      <c r="M56" s="18"/>
      <c r="N56" s="18">
        <f ca="1">(E56-G56)*'Res Predicted Monthly'!$T$10</f>
        <v>0</v>
      </c>
      <c r="O56" s="18">
        <f ca="1">(F56-H56)*'Res Predicted Monthly'!$T$11</f>
        <v>-1385920.4160704531</v>
      </c>
      <c r="P56" s="18"/>
      <c r="Q56" s="18"/>
      <c r="R56" s="259">
        <f t="shared" ca="1" si="5"/>
        <v>50012871.913984403</v>
      </c>
    </row>
    <row r="57" spans="1:18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269">
        <f>'Monthly Data'!BF57</f>
        <v>0</v>
      </c>
      <c r="H57" s="269">
        <f>'Monthly Data'!BK57</f>
        <v>314.07083333333338</v>
      </c>
      <c r="I57" s="269"/>
      <c r="J57" s="18">
        <f>'Monthly Data'!DG57</f>
        <v>0</v>
      </c>
      <c r="K57" s="1">
        <f>'Monthly Data'!CC57</f>
        <v>56</v>
      </c>
      <c r="M57" s="18"/>
      <c r="N57" s="18">
        <f ca="1">(E57-G57)*'Res Predicted Monthly'!$T$10</f>
        <v>0</v>
      </c>
      <c r="O57" s="18">
        <f ca="1">(F57-H57)*'Res Predicted Monthly'!$T$11</f>
        <v>1224323.7863288245</v>
      </c>
      <c r="P57" s="18"/>
      <c r="Q57" s="18"/>
      <c r="R57" s="259">
        <f t="shared" ca="1" si="5"/>
        <v>51629490.43887125</v>
      </c>
    </row>
    <row r="58" spans="1:18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269">
        <f>'Monthly Data'!BF58</f>
        <v>4.9833333333333325</v>
      </c>
      <c r="H58" s="269">
        <f>'Monthly Data'!BK58</f>
        <v>191.51666666666671</v>
      </c>
      <c r="I58" s="269"/>
      <c r="J58" s="18">
        <f>'Monthly Data'!DG58</f>
        <v>0</v>
      </c>
      <c r="K58" s="1">
        <f>'Monthly Data'!CC58</f>
        <v>57</v>
      </c>
      <c r="M58" s="18"/>
      <c r="N58" s="18">
        <f ca="1">(E58-G58)*'Res Predicted Monthly'!$T$10</f>
        <v>194528.79170627226</v>
      </c>
      <c r="O58" s="18">
        <f ca="1">(F58-H58)*'Res Predicted Monthly'!$T$11</f>
        <v>1468247.3240910103</v>
      </c>
      <c r="P58" s="18"/>
      <c r="Q58" s="18"/>
      <c r="R58" s="259">
        <f t="shared" ca="1" si="5"/>
        <v>42378253.755147964</v>
      </c>
    </row>
    <row r="59" spans="1:18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269">
        <f>'Monthly Data'!BF59</f>
        <v>125.30000000000004</v>
      </c>
      <c r="H59" s="269">
        <f>'Monthly Data'!BK59</f>
        <v>37.229166666666664</v>
      </c>
      <c r="I59" s="269"/>
      <c r="J59" s="18">
        <f>'Monthly Data'!DG59</f>
        <v>0</v>
      </c>
      <c r="K59" s="1">
        <f>'Monthly Data'!CC59</f>
        <v>58</v>
      </c>
      <c r="M59" s="18"/>
      <c r="N59" s="18">
        <f ca="1">(E59-G59)*'Res Predicted Monthly'!$T$10</f>
        <v>175411.31371785537</v>
      </c>
      <c r="O59" s="18">
        <f ca="1">(F59-H59)*'Res Predicted Monthly'!$T$11</f>
        <v>1467067.0879085185</v>
      </c>
      <c r="P59" s="18"/>
      <c r="Q59" s="18"/>
      <c r="R59" s="259">
        <f t="shared" ca="1" si="5"/>
        <v>36887569.41914846</v>
      </c>
    </row>
    <row r="60" spans="1:18" x14ac:dyDescent="0.25">
      <c r="A60" s="3">
        <f>'Monthly Data'!A60</f>
        <v>43770</v>
      </c>
      <c r="B60" s="1">
        <f t="shared" ref="B60:B115" si="7">YEAR(A60)</f>
        <v>2019</v>
      </c>
      <c r="C60" s="1">
        <f t="shared" ref="C60:C115" si="8">MONTH(A60)</f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269">
        <f>'Monthly Data'!BF60</f>
        <v>409.72499999999997</v>
      </c>
      <c r="H60" s="269">
        <f>'Monthly Data'!BK60</f>
        <v>0</v>
      </c>
      <c r="I60" s="269"/>
      <c r="J60" s="18">
        <f>'Monthly Data'!DG60</f>
        <v>0</v>
      </c>
      <c r="K60" s="1">
        <f>'Monthly Data'!CC60</f>
        <v>59</v>
      </c>
      <c r="M60" s="18"/>
      <c r="N60" s="18">
        <f ca="1">(E60-G60)*'Res Predicted Monthly'!$T$10</f>
        <v>-3664380.4157841234</v>
      </c>
      <c r="O60" s="18">
        <f ca="1">(F60-H60)*'Res Predicted Monthly'!$T$11</f>
        <v>330425.7941047409</v>
      </c>
      <c r="P60" s="18"/>
      <c r="Q60" s="18"/>
      <c r="R60" s="259">
        <f t="shared" ca="1" si="5"/>
        <v>37566843.554286197</v>
      </c>
    </row>
    <row r="61" spans="1:18" x14ac:dyDescent="0.25">
      <c r="A61" s="3">
        <f>'Monthly Data'!A61</f>
        <v>43800</v>
      </c>
      <c r="B61" s="1">
        <f t="shared" si="7"/>
        <v>2019</v>
      </c>
      <c r="C61" s="1">
        <f t="shared" si="8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269">
        <f>'Monthly Data'!BF61</f>
        <v>490.42916666666656</v>
      </c>
      <c r="H61" s="269">
        <f>'Monthly Data'!BK61</f>
        <v>0</v>
      </c>
      <c r="I61" s="269"/>
      <c r="J61" s="18">
        <f>'Monthly Data'!DG61</f>
        <v>0</v>
      </c>
      <c r="K61" s="1">
        <f>'Monthly Data'!CC61</f>
        <v>60</v>
      </c>
      <c r="M61" s="18"/>
      <c r="N61" s="18">
        <f ca="1">(E61-G61)*'Res Predicted Monthly'!$T$10</f>
        <v>-1307638.869187308</v>
      </c>
      <c r="O61" s="18">
        <f ca="1">(F61-H61)*'Res Predicted Monthly'!$T$11</f>
        <v>7495.2503908789322</v>
      </c>
      <c r="P61" s="18"/>
      <c r="Q61" s="18"/>
      <c r="R61" s="259">
        <f t="shared" ca="1" si="5"/>
        <v>45044097.927678742</v>
      </c>
    </row>
    <row r="62" spans="1:18" x14ac:dyDescent="0.25">
      <c r="A62" s="3">
        <f>'Monthly Data'!A62</f>
        <v>43831</v>
      </c>
      <c r="B62" s="1">
        <f t="shared" si="7"/>
        <v>2020</v>
      </c>
      <c r="C62" s="1">
        <f t="shared" si="8"/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269">
        <f>'Monthly Data'!BF62</f>
        <v>504.82083333333333</v>
      </c>
      <c r="H62" s="269">
        <f>'Monthly Data'!BK62</f>
        <v>0</v>
      </c>
      <c r="I62" s="269"/>
      <c r="J62" s="18">
        <f>'Monthly Data'!DG62</f>
        <v>0</v>
      </c>
      <c r="K62" s="1">
        <f>'Monthly Data'!CC62</f>
        <v>61</v>
      </c>
      <c r="M62" s="18"/>
      <c r="N62" s="18">
        <f ca="1">(E62-G62)*'Res Predicted Monthly'!$T$10</f>
        <v>2454462.3468470583</v>
      </c>
      <c r="O62" s="18">
        <f ca="1">(F62-H62)*'Res Predicted Monthly'!$T$11</f>
        <v>0</v>
      </c>
      <c r="P62" s="18"/>
      <c r="Q62" s="18"/>
      <c r="R62" s="259">
        <f t="shared" ca="1" si="5"/>
        <v>50793430.941127941</v>
      </c>
    </row>
    <row r="63" spans="1:18" x14ac:dyDescent="0.25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269">
        <f>'Monthly Data'!BF63</f>
        <v>504.40000000000003</v>
      </c>
      <c r="H63" s="269">
        <f>'Monthly Data'!BK63</f>
        <v>0</v>
      </c>
      <c r="I63" s="269"/>
      <c r="J63" s="18">
        <f>'Monthly Data'!DG63</f>
        <v>0</v>
      </c>
      <c r="K63" s="1">
        <f>'Monthly Data'!CC63</f>
        <v>62</v>
      </c>
      <c r="M63" s="18"/>
      <c r="N63" s="18">
        <f ca="1">(E63-G63)*'Res Predicted Monthly'!$T$10</f>
        <v>238413.25869539738</v>
      </c>
      <c r="O63" s="18">
        <f ca="1">(F63-H63)*'Res Predicted Monthly'!$T$11</f>
        <v>0</v>
      </c>
      <c r="P63" s="18"/>
      <c r="Q63" s="18"/>
      <c r="R63" s="259">
        <f t="shared" ca="1" si="5"/>
        <v>46063280.422230579</v>
      </c>
    </row>
    <row r="64" spans="1:18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269">
        <f>'Monthly Data'!BF64</f>
        <v>357.57083333333344</v>
      </c>
      <c r="H64" s="269">
        <f>'Monthly Data'!BK64</f>
        <v>3.7499999999999645E-2</v>
      </c>
      <c r="I64" s="269">
        <f ca="1">F64*'Monthly Data'!CH64</f>
        <v>0.25937499999999963</v>
      </c>
      <c r="J64" s="18">
        <f>'Monthly Data'!DG64</f>
        <v>0</v>
      </c>
      <c r="K64" s="1">
        <f>'Monthly Data'!CC64</f>
        <v>63</v>
      </c>
      <c r="M64" s="18"/>
      <c r="N64" s="18">
        <f ca="1">(E64-G64)*'Res Predicted Monthly'!$T$10</f>
        <v>2312912.4044177071</v>
      </c>
      <c r="O64" s="18">
        <f ca="1">(F64-H64)*'Res Predicted Monthly'!$T$11</f>
        <v>28198.743327248078</v>
      </c>
      <c r="P64" s="18">
        <f ca="1">(I64-J64)*'Res Predicted Monthly'!$T$12</f>
        <v>3941.6318409768182</v>
      </c>
      <c r="Q64" s="18"/>
      <c r="R64" s="259">
        <f t="shared" ca="1" si="5"/>
        <v>42659961.839854777</v>
      </c>
    </row>
    <row r="65" spans="1:18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269">
        <f>'Monthly Data'!BF65</f>
        <v>259.67500000000007</v>
      </c>
      <c r="H65" s="269">
        <f>'Monthly Data'!BK65</f>
        <v>2.1541666666666721</v>
      </c>
      <c r="I65" s="269">
        <f ca="1">F65*'Monthly Data'!CH65</f>
        <v>12.79125</v>
      </c>
      <c r="J65" s="18">
        <f>'Monthly Data'!DG65</f>
        <v>0</v>
      </c>
      <c r="K65" s="1">
        <f>'Monthly Data'!CC65</f>
        <v>64</v>
      </c>
      <c r="M65" s="18"/>
      <c r="N65" s="18">
        <f ca="1">(E65-G65)*'Res Predicted Monthly'!$T$10</f>
        <v>-899367.37286651076</v>
      </c>
      <c r="O65" s="18">
        <f ca="1">(F65-H65)*'Res Predicted Monthly'!$T$11</f>
        <v>623277.67826953798</v>
      </c>
      <c r="P65" s="18">
        <f ca="1">(I65-J65)*'Res Predicted Monthly'!$T$12</f>
        <v>194384.18616248594</v>
      </c>
      <c r="Q65" s="18"/>
      <c r="R65" s="259">
        <f t="shared" ca="1" si="5"/>
        <v>41419153.359751344</v>
      </c>
    </row>
    <row r="66" spans="1:18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269">
        <f>'Monthly Data'!BF66</f>
        <v>122.05</v>
      </c>
      <c r="H66" s="269">
        <f>'Monthly Data'!BK66</f>
        <v>111.87976190476191</v>
      </c>
      <c r="I66" s="269">
        <f ca="1">F66*'Monthly Data'!CH66</f>
        <v>130.22445928308915</v>
      </c>
      <c r="J66" s="18">
        <f>'Monthly Data'!DG66</f>
        <v>77.750595238095229</v>
      </c>
      <c r="K66" s="1">
        <f>'Monthly Data'!CC66</f>
        <v>65</v>
      </c>
      <c r="M66" s="18"/>
      <c r="N66" s="18">
        <f ca="1">(E66-G66)*'Res Predicted Monthly'!$T$10</f>
        <v>-2069055.7148807573</v>
      </c>
      <c r="O66" s="18">
        <f ca="1">(F66-H66)*'Res Predicted Monthly'!$T$11</f>
        <v>1074903.7148830981</v>
      </c>
      <c r="P66" s="18">
        <f ca="1">(I66-J66)*'Res Predicted Monthly'!$T$12</f>
        <v>797427.09720997373</v>
      </c>
      <c r="Q66" s="18"/>
      <c r="R66" s="259">
        <f t="shared" ref="R66:R97" ca="1" si="9">D66+N66+O66</f>
        <v>38372447.834298566</v>
      </c>
    </row>
    <row r="67" spans="1:18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269">
        <f>'Monthly Data'!BF67</f>
        <v>3.4333333333333353</v>
      </c>
      <c r="H67" s="269">
        <f>'Monthly Data'!BK67</f>
        <v>282.53623188405788</v>
      </c>
      <c r="I67" s="269">
        <f ca="1">F67*'Monthly Data'!CH67</f>
        <v>254.51826754405016</v>
      </c>
      <c r="J67" s="18">
        <f>'Monthly Data'!DG67</f>
        <v>222.53623188405788</v>
      </c>
      <c r="K67" s="1">
        <f>'Monthly Data'!CC67</f>
        <v>66</v>
      </c>
      <c r="M67" s="18"/>
      <c r="N67" s="18">
        <f ca="1">(E67-G67)*'Res Predicted Monthly'!$T$10</f>
        <v>-7135.0630751482167</v>
      </c>
      <c r="O67" s="18">
        <f ca="1">(F67-H67)*'Res Predicted Monthly'!$T$11</f>
        <v>-1641706.7739758296</v>
      </c>
      <c r="P67" s="18">
        <f ca="1">(I67-J67)*'Res Predicted Monthly'!$T$12</f>
        <v>486019.89434865263</v>
      </c>
      <c r="Q67" s="18"/>
      <c r="R67" s="259">
        <f t="shared" ca="1" si="9"/>
        <v>45505255.785295427</v>
      </c>
    </row>
    <row r="68" spans="1:18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269">
        <f>'Monthly Data'!BF68</f>
        <v>0</v>
      </c>
      <c r="H68" s="269">
        <f>'Monthly Data'!BK68</f>
        <v>432.88750000000005</v>
      </c>
      <c r="I68" s="269">
        <f ca="1">F68*'Monthly Data'!CH68</f>
        <v>359.94737858727854</v>
      </c>
      <c r="J68" s="18">
        <f>'Monthly Data'!DG68</f>
        <v>370.88750000000005</v>
      </c>
      <c r="K68" s="1">
        <f>'Monthly Data'!CC68</f>
        <v>67</v>
      </c>
      <c r="M68" s="18"/>
      <c r="N68" s="18">
        <f ca="1">(E68-G68)*'Res Predicted Monthly'!$T$10</f>
        <v>0</v>
      </c>
      <c r="O68" s="18">
        <f ca="1">(F68-H68)*'Res Predicted Monthly'!$T$11</f>
        <v>-4273911.1937156301</v>
      </c>
      <c r="P68" s="18">
        <f ca="1">(I68-J68)*'Res Predicted Monthly'!$T$12</f>
        <v>-166253.22758375114</v>
      </c>
      <c r="Q68" s="18"/>
      <c r="R68" s="259">
        <f t="shared" ca="1" si="9"/>
        <v>55920549.382460967</v>
      </c>
    </row>
    <row r="69" spans="1:18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269">
        <f>'Monthly Data'!BF69</f>
        <v>0</v>
      </c>
      <c r="H69" s="269">
        <f>'Monthly Data'!BK69</f>
        <v>340.93106060606056</v>
      </c>
      <c r="I69" s="269">
        <f ca="1">F69*'Monthly Data'!CH69</f>
        <v>334.96558794466404</v>
      </c>
      <c r="J69" s="18">
        <f>'Monthly Data'!DG69</f>
        <v>278.93106060606061</v>
      </c>
      <c r="K69" s="1">
        <f>'Monthly Data'!CC69</f>
        <v>68</v>
      </c>
      <c r="M69" s="18"/>
      <c r="N69" s="18">
        <f ca="1">(E69-G69)*'Res Predicted Monthly'!$T$10</f>
        <v>0</v>
      </c>
      <c r="O69" s="18">
        <f ca="1">(F69-H69)*'Res Predicted Monthly'!$T$11</f>
        <v>-349545.62577545148</v>
      </c>
      <c r="P69" s="18">
        <f ca="1">(I69-J69)*'Res Predicted Monthly'!$T$12</f>
        <v>851537.26130862872</v>
      </c>
      <c r="Q69" s="18"/>
      <c r="R69" s="259">
        <f t="shared" ca="1" si="9"/>
        <v>55313121.446752399</v>
      </c>
    </row>
    <row r="70" spans="1:18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269">
        <f>'Monthly Data'!BF70</f>
        <v>23.967028985507248</v>
      </c>
      <c r="H70" s="269">
        <f>'Monthly Data'!BK70</f>
        <v>174.07880434782609</v>
      </c>
      <c r="I70" s="269">
        <f ca="1">F70*'Monthly Data'!CH70</f>
        <v>216.57430900621117</v>
      </c>
      <c r="J70" s="18">
        <f>'Monthly Data'!DG70</f>
        <v>120.81213768115938</v>
      </c>
      <c r="K70" s="1">
        <f>'Monthly Data'!CC70</f>
        <v>69</v>
      </c>
      <c r="M70" s="18"/>
      <c r="N70" s="18">
        <f ca="1">(E70-G70)*'Res Predicted Monthly'!$T$10</f>
        <v>-485554.21688457264</v>
      </c>
      <c r="O70" s="18">
        <f ca="1">(F70-H70)*'Res Predicted Monthly'!$T$11</f>
        <v>2490015.2278933539</v>
      </c>
      <c r="P70" s="18">
        <f ca="1">(I70-J70)*'Res Predicted Monthly'!$T$12</f>
        <v>1455264.4767456457</v>
      </c>
      <c r="Q70" s="18"/>
      <c r="R70" s="259">
        <f t="shared" ca="1" si="9"/>
        <v>46337241.488910243</v>
      </c>
    </row>
    <row r="71" spans="1:18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269">
        <f>'Monthly Data'!BF71</f>
        <v>167.76250000000005</v>
      </c>
      <c r="H71" s="269">
        <f>'Monthly Data'!BK71</f>
        <v>31.466666666666676</v>
      </c>
      <c r="I71" s="269">
        <f ca="1">F71*'Monthly Data'!CH71</f>
        <v>62.266666666666673</v>
      </c>
      <c r="J71" s="18">
        <f>'Monthly Data'!DG71</f>
        <v>10.262500000000003</v>
      </c>
      <c r="K71" s="1">
        <f>'Monthly Data'!CC71</f>
        <v>70</v>
      </c>
      <c r="M71" s="18"/>
      <c r="N71" s="18">
        <f ca="1">(E71-G71)*'Res Predicted Monthly'!$T$10</f>
        <v>-1345790.1046678103</v>
      </c>
      <c r="O71" s="18">
        <f ca="1">(F71-H71)*'Res Predicted Monthly'!$T$11</f>
        <v>1804719.5729438781</v>
      </c>
      <c r="P71" s="18">
        <f ca="1">(I71-J71)*'Res Predicted Monthly'!$T$12</f>
        <v>790289.26919247769</v>
      </c>
      <c r="Q71" s="18"/>
      <c r="R71" s="259">
        <f t="shared" ca="1" si="9"/>
        <v>36910040.2381173</v>
      </c>
    </row>
    <row r="72" spans="1:18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269">
        <f>'Monthly Data'!BF72</f>
        <v>246.30072463768118</v>
      </c>
      <c r="H72" s="269">
        <f>'Monthly Data'!BK72</f>
        <v>9.9624999999999932</v>
      </c>
      <c r="I72" s="269">
        <f ca="1">F72*'Monthly Data'!CH72</f>
        <v>5.6391666666666662</v>
      </c>
      <c r="J72" s="18">
        <f>'Monthly Data'!DG72</f>
        <v>1.8291666666666622</v>
      </c>
      <c r="K72" s="1">
        <f>'Monthly Data'!CC72</f>
        <v>71</v>
      </c>
      <c r="M72" s="18"/>
      <c r="N72" s="18">
        <f ca="1">(E72-G72)*'Res Predicted Monthly'!$T$10</f>
        <v>2190226.3426452884</v>
      </c>
      <c r="O72" s="18">
        <f ca="1">(F72-H72)*'Res Predicted Monthly'!$T$11</f>
        <v>-253324.8145138752</v>
      </c>
      <c r="P72" s="18">
        <f ca="1">(I72-J72)*'Res Predicted Monthly'!$T$12</f>
        <v>57899.24747613191</v>
      </c>
      <c r="Q72" s="18"/>
      <c r="R72" s="259">
        <f t="shared" ca="1" si="9"/>
        <v>41540235.57129202</v>
      </c>
    </row>
    <row r="73" spans="1:18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269">
        <f>'Monthly Data'!BF73</f>
        <v>458.90416666666681</v>
      </c>
      <c r="H73" s="269">
        <f>'Monthly Data'!BK73</f>
        <v>0</v>
      </c>
      <c r="I73" s="269">
        <f ca="1">F73*'Monthly Data'!CH73</f>
        <v>0.12791666666666668</v>
      </c>
      <c r="J73" s="18">
        <f>'Monthly Data'!DG73</f>
        <v>0</v>
      </c>
      <c r="K73" s="1">
        <f>'Monthly Data'!CC73</f>
        <v>72</v>
      </c>
      <c r="M73" s="18"/>
      <c r="N73" s="18">
        <f ca="1">(E73-G73)*'Res Predicted Monthly'!$T$10</f>
        <v>-178268.84352683765</v>
      </c>
      <c r="O73" s="18">
        <f ca="1">(F73-H73)*'Res Predicted Monthly'!$T$11</f>
        <v>7495.2503908789322</v>
      </c>
      <c r="P73" s="18">
        <f ca="1">(I73-J73)*'Res Predicted Monthly'!$T$12</f>
        <v>1943.9051810118633</v>
      </c>
      <c r="Q73" s="18"/>
      <c r="R73" s="259">
        <f t="shared" ca="1" si="9"/>
        <v>45924585.506339408</v>
      </c>
    </row>
    <row r="74" spans="1:18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 ca="1"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269">
        <f>'Monthly Data'!BF74</f>
        <v>529.50416666666661</v>
      </c>
      <c r="H74" s="269">
        <f>'Monthly Data'!BK74</f>
        <v>0</v>
      </c>
      <c r="I74" s="269">
        <f ca="1">F74*'Monthly Data'!CH74</f>
        <v>0</v>
      </c>
      <c r="J74" s="18">
        <f>'Monthly Data'!DG74</f>
        <v>0</v>
      </c>
      <c r="K74" s="1">
        <f>'Monthly Data'!CC74</f>
        <v>73</v>
      </c>
      <c r="M74" s="18"/>
      <c r="N74" s="18">
        <f ca="1">(E74-G74)*'Res Predicted Monthly'!$T$10</f>
        <v>1570192.186655059</v>
      </c>
      <c r="O74" s="18">
        <f ca="1">(F74-H74)*'Res Predicted Monthly'!$T$11</f>
        <v>0</v>
      </c>
      <c r="P74" s="18">
        <f ca="1">(I74-J74)*'Res Predicted Monthly'!$T$12</f>
        <v>0</v>
      </c>
      <c r="Q74" s="18"/>
      <c r="R74" s="259">
        <f t="shared" ca="1" si="9"/>
        <v>53156054.303193256</v>
      </c>
    </row>
    <row r="75" spans="1:18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 ca="1"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269">
        <f>'Monthly Data'!BF75</f>
        <v>541.45416666666677</v>
      </c>
      <c r="H75" s="269">
        <f>'Monthly Data'!BK75</f>
        <v>0</v>
      </c>
      <c r="I75" s="269">
        <f ca="1">F75*'Monthly Data'!CH75</f>
        <v>0</v>
      </c>
      <c r="J75" s="18">
        <f>'Monthly Data'!DG75</f>
        <v>0</v>
      </c>
      <c r="K75" s="1">
        <f>'Monthly Data'!CC75</f>
        <v>74</v>
      </c>
      <c r="M75" s="18"/>
      <c r="N75" s="18">
        <f ca="1">(E75-G75)*'Res Predicted Monthly'!$T$10</f>
        <v>-1089036.8653065402</v>
      </c>
      <c r="O75" s="18">
        <f ca="1">(F75-H75)*'Res Predicted Monthly'!$T$11</f>
        <v>0</v>
      </c>
      <c r="P75" s="18">
        <f ca="1">(I75-J75)*'Res Predicted Monthly'!$T$12</f>
        <v>0</v>
      </c>
      <c r="Q75" s="18"/>
      <c r="R75" s="259">
        <f t="shared" ca="1" si="9"/>
        <v>49275342.889859974</v>
      </c>
    </row>
    <row r="76" spans="1:18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 ca="1"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269">
        <f>'Monthly Data'!BF76</f>
        <v>368.59637681159427</v>
      </c>
      <c r="H76" s="269">
        <f>'Monthly Data'!BK76</f>
        <v>5.1499999999999932</v>
      </c>
      <c r="I76" s="269">
        <f ca="1">F76*'Monthly Data'!CH76</f>
        <v>0.38906249999999942</v>
      </c>
      <c r="J76" s="18">
        <f>'Monthly Data'!DG76</f>
        <v>0.22187499999999671</v>
      </c>
      <c r="K76" s="1">
        <f>'Monthly Data'!CC76</f>
        <v>75</v>
      </c>
      <c r="M76" s="18"/>
      <c r="N76" s="18">
        <f ca="1">(E76-G76)*'Res Predicted Monthly'!$T$10</f>
        <v>1917926.8906678527</v>
      </c>
      <c r="O76" s="18">
        <f ca="1">(F76-H76)*'Res Predicted Monthly'!$T$11</f>
        <v>-271367.12734403659</v>
      </c>
      <c r="P76" s="18">
        <f ca="1">(I76-J76)*'Res Predicted Monthly'!$T$12</f>
        <v>2540.6904035212469</v>
      </c>
      <c r="Q76" s="18"/>
      <c r="R76" s="259">
        <f t="shared" ca="1" si="9"/>
        <v>43233345.261160932</v>
      </c>
    </row>
    <row r="77" spans="1:18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 ca="1"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269">
        <f>'Monthly Data'!BF77</f>
        <v>203.50416666666672</v>
      </c>
      <c r="H77" s="269">
        <f>'Monthly Data'!BK77</f>
        <v>22.362499999999997</v>
      </c>
      <c r="I77" s="269">
        <f ca="1">F77*'Monthly Data'!CH77</f>
        <v>9.5934375000000003</v>
      </c>
      <c r="J77" s="18">
        <f>'Monthly Data'!DG77</f>
        <v>8.2906249999999986</v>
      </c>
      <c r="K77" s="1">
        <f>'Monthly Data'!CC77</f>
        <v>76</v>
      </c>
      <c r="M77" s="18"/>
      <c r="N77" s="18">
        <f ca="1">(E77-G77)*'Res Predicted Monthly'!$T$10</f>
        <v>1112929.3910680553</v>
      </c>
      <c r="O77" s="18">
        <f ca="1">(F77-H77)*'Res Predicted Monthly'!$T$11</f>
        <v>-560825.39651100943</v>
      </c>
      <c r="P77" s="18">
        <f ca="1">(I77-J77)*'Res Predicted Monthly'!$T$12</f>
        <v>19798.389331364335</v>
      </c>
      <c r="Q77" s="18"/>
      <c r="R77" s="259">
        <f t="shared" ca="1" si="9"/>
        <v>39822655.368707381</v>
      </c>
    </row>
    <row r="78" spans="1:18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 ca="1"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269">
        <f>'Monthly Data'!BF78</f>
        <v>83.376388888888897</v>
      </c>
      <c r="H78" s="269">
        <f>'Monthly Data'!BK78</f>
        <v>120.51527777777777</v>
      </c>
      <c r="I78" s="269">
        <f ca="1">F78*'Monthly Data'!CH78</f>
        <v>97.668344462316867</v>
      </c>
      <c r="J78" s="18">
        <f>'Monthly Data'!DG78</f>
        <v>62.442708333333314</v>
      </c>
      <c r="K78" s="1">
        <f>'Monthly Data'!CC78</f>
        <v>77</v>
      </c>
      <c r="M78" s="18"/>
      <c r="N78" s="18">
        <f ca="1">(E78-G78)*'Res Predicted Monthly'!$T$10</f>
        <v>-683589.66657182982</v>
      </c>
      <c r="O78" s="18">
        <f ca="1">(F78-H78)*'Res Predicted Monthly'!$T$11</f>
        <v>568907.4642824725</v>
      </c>
      <c r="P78" s="18">
        <f ca="1">(I78-J78)*'Res Predicted Monthly'!$T$12</f>
        <v>535311.76476015477</v>
      </c>
      <c r="Q78" s="18"/>
      <c r="R78" s="259">
        <f t="shared" ca="1" si="9"/>
        <v>38324001.322136305</v>
      </c>
    </row>
    <row r="79" spans="1:18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 ca="1"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269">
        <f>'Monthly Data'!BF79</f>
        <v>0</v>
      </c>
      <c r="H79" s="269">
        <f>'Monthly Data'!BK79</f>
        <v>301.67500000000001</v>
      </c>
      <c r="I79" s="269">
        <f ca="1">F79*'Monthly Data'!CH79</f>
        <v>190.88870065803764</v>
      </c>
      <c r="J79" s="18">
        <f>'Monthly Data'!DG79</f>
        <v>181.25625000000002</v>
      </c>
      <c r="K79" s="1">
        <f>'Monthly Data'!CC79</f>
        <v>78</v>
      </c>
      <c r="M79" s="18"/>
      <c r="N79" s="18">
        <f ca="1">(E79-G79)*'Res Predicted Monthly'!$T$10</f>
        <v>115862.67696506267</v>
      </c>
      <c r="O79" s="18">
        <f ca="1">(F79-H79)*'Res Predicted Monthly'!$T$11</f>
        <v>-2763138.8980302121</v>
      </c>
      <c r="P79" s="18">
        <f ca="1">(I79-J79)*'Res Predicted Monthly'!$T$12</f>
        <v>146381.00904234877</v>
      </c>
      <c r="Q79" s="18"/>
      <c r="R79" s="259">
        <f t="shared" ca="1" si="9"/>
        <v>43509751.213171147</v>
      </c>
    </row>
    <row r="80" spans="1:18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 ca="1"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269">
        <f>'Monthly Data'!BF80</f>
        <v>0</v>
      </c>
      <c r="H80" s="269">
        <f>'Monthly Data'!BK80</f>
        <v>316.87499999999994</v>
      </c>
      <c r="I80" s="269">
        <f ca="1">F80*'Monthly Data'!CH80</f>
        <v>269.9605339404589</v>
      </c>
      <c r="J80" s="18">
        <f>'Monthly Data'!DG80</f>
        <v>191.15624999999994</v>
      </c>
      <c r="K80" s="1">
        <f>'Monthly Data'!CC80</f>
        <v>79</v>
      </c>
      <c r="M80" s="18"/>
      <c r="N80" s="18">
        <f ca="1">(E80-G80)*'Res Predicted Monthly'!$T$10</f>
        <v>0</v>
      </c>
      <c r="O80" s="18">
        <f ca="1">(F80-H80)*'Res Predicted Monthly'!$T$11</f>
        <v>2523817.0353802103</v>
      </c>
      <c r="P80" s="18">
        <f ca="1">(I80-J80)*'Res Predicted Monthly'!$T$12</f>
        <v>1197561.3485690278</v>
      </c>
      <c r="Q80" s="18"/>
      <c r="R80" s="259">
        <f t="shared" ca="1" si="9"/>
        <v>52015307.674016356</v>
      </c>
    </row>
    <row r="81" spans="1:18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 ca="1"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269">
        <f>'Monthly Data'!BF81</f>
        <v>0</v>
      </c>
      <c r="H81" s="269">
        <f>'Monthly Data'!BK81</f>
        <v>390.06249999999989</v>
      </c>
      <c r="I81" s="269">
        <f ca="1">F81*'Monthly Data'!CH81</f>
        <v>251.22419095849801</v>
      </c>
      <c r="J81" s="18">
        <f>'Monthly Data'!DG81</f>
        <v>246.04687499999991</v>
      </c>
      <c r="K81" s="1">
        <f>'Monthly Data'!CC81</f>
        <v>80</v>
      </c>
      <c r="M81" s="18"/>
      <c r="N81" s="18">
        <f ca="1">(E81-G81)*'Res Predicted Monthly'!$T$10</f>
        <v>0</v>
      </c>
      <c r="O81" s="18">
        <f ca="1">(F81-H81)*'Res Predicted Monthly'!$T$11</f>
        <v>-3228392.0647737705</v>
      </c>
      <c r="P81" s="18">
        <f ca="1">(I81-J81)*'Res Predicted Monthly'!$T$12</f>
        <v>78677.873475907661</v>
      </c>
      <c r="Q81" s="18"/>
      <c r="R81" s="259">
        <f t="shared" ca="1" si="9"/>
        <v>52068155.471224077</v>
      </c>
    </row>
    <row r="82" spans="1:18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 ca="1"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269">
        <f>'Monthly Data'!BF82</f>
        <v>5.9833333333333432</v>
      </c>
      <c r="H82" s="269">
        <f>'Monthly Data'!BK82</f>
        <v>209.27500000000001</v>
      </c>
      <c r="I82" s="269">
        <f ca="1">F82*'Monthly Data'!CH82</f>
        <v>162.43073175465838</v>
      </c>
      <c r="J82" s="18">
        <f>'Monthly Data'!DG82</f>
        <v>112.16874999999996</v>
      </c>
      <c r="K82" s="1">
        <f>'Monthly Data'!CC82</f>
        <v>81</v>
      </c>
      <c r="M82" s="18"/>
      <c r="N82" s="18">
        <f ca="1">(E82-G82)*'Res Predicted Monthly'!$T$10</f>
        <v>158704.20722854059</v>
      </c>
      <c r="O82" s="18">
        <f ca="1">(F82-H82)*'Res Predicted Monthly'!$T$11</f>
        <v>427701.48806736397</v>
      </c>
      <c r="P82" s="18">
        <f ca="1">(I82-J82)*'Res Predicted Monthly'!$T$12</f>
        <v>763813.8898303915</v>
      </c>
      <c r="Q82" s="18"/>
      <c r="R82" s="259">
        <f t="shared" ca="1" si="9"/>
        <v>48430879.454924896</v>
      </c>
    </row>
    <row r="83" spans="1:18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 ca="1"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269">
        <f>'Monthly Data'!BF83</f>
        <v>72.749999999999986</v>
      </c>
      <c r="H83" s="269">
        <f>'Monthly Data'!BK83</f>
        <v>118.07916666666668</v>
      </c>
      <c r="I83" s="269">
        <f ca="1">F83*'Monthly Data'!CH83</f>
        <v>46.7</v>
      </c>
      <c r="J83" s="18">
        <f>'Monthly Data'!DG83</f>
        <v>58.484375000000014</v>
      </c>
      <c r="K83" s="1">
        <f>'Monthly Data'!CC83</f>
        <v>82</v>
      </c>
      <c r="M83" s="18"/>
      <c r="N83" s="18">
        <f ca="1">(E83-G83)*'Res Predicted Monthly'!$T$10</f>
        <v>2057993.2280226373</v>
      </c>
      <c r="O83" s="18">
        <f ca="1">(F83-H83)*'Res Predicted Monthly'!$T$11</f>
        <v>-3270321.791069163</v>
      </c>
      <c r="P83" s="18">
        <f ca="1">(I83-J83)*'Res Predicted Monthly'!$T$12</f>
        <v>-179083.05629305562</v>
      </c>
      <c r="Q83" s="18"/>
      <c r="R83" s="259">
        <f t="shared" ca="1" si="9"/>
        <v>35614155.005219407</v>
      </c>
    </row>
    <row r="84" spans="1:18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 ca="1"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269">
        <f>'Monthly Data'!BF84</f>
        <v>326.31260351966864</v>
      </c>
      <c r="H84" s="269">
        <f>'Monthly Data'!BK84</f>
        <v>0</v>
      </c>
      <c r="I84" s="269">
        <f ca="1">F84*'Monthly Data'!CH84</f>
        <v>4.2293749999999992</v>
      </c>
      <c r="J84" s="18">
        <f>'Monthly Data'!DG84</f>
        <v>0</v>
      </c>
      <c r="K84" s="1">
        <f>'Monthly Data'!CC84</f>
        <v>83</v>
      </c>
      <c r="M84" s="18"/>
      <c r="N84" s="18">
        <f ca="1">(E84-G84)*'Res Predicted Monthly'!$T$10</f>
        <v>-676165.97158447653</v>
      </c>
      <c r="O84" s="18">
        <f ca="1">(F84-H84)*'Res Predicted Monthly'!$T$11</f>
        <v>330425.7941047409</v>
      </c>
      <c r="P84" s="18">
        <f ca="1">(I84-J84)*'Res Predicted Monthly'!$T$12</f>
        <v>64272.343778048576</v>
      </c>
      <c r="Q84" s="18"/>
      <c r="R84" s="259">
        <f t="shared" ca="1" si="9"/>
        <v>39153770.261300601</v>
      </c>
    </row>
    <row r="85" spans="1:18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 ca="1"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269">
        <f>'Monthly Data'!BF85</f>
        <v>409.04583333333335</v>
      </c>
      <c r="H85" s="269">
        <f>'Monthly Data'!BK85</f>
        <v>0.41249999999999964</v>
      </c>
      <c r="I85" s="269">
        <f ca="1">F85*'Monthly Data'!CH85</f>
        <v>9.5937500000000009E-2</v>
      </c>
      <c r="J85" s="18">
        <f>'Monthly Data'!DG85</f>
        <v>0</v>
      </c>
      <c r="K85" s="1">
        <f>'Monthly Data'!CC85</f>
        <v>84</v>
      </c>
      <c r="M85" s="18"/>
      <c r="N85" s="18">
        <f ca="1">(E85-G85)*'Res Predicted Monthly'!$T$10</f>
        <v>1607885.2308920536</v>
      </c>
      <c r="O85" s="18">
        <f ca="1">(F85-H85)*'Res Predicted Monthly'!$T$11</f>
        <v>-16675.101032476559</v>
      </c>
      <c r="P85" s="18">
        <f ca="1">(I85-J85)*'Res Predicted Monthly'!$T$12</f>
        <v>1457.9288857588976</v>
      </c>
      <c r="Q85" s="18"/>
      <c r="R85" s="259">
        <f t="shared" ca="1" si="9"/>
        <v>47263954.490121089</v>
      </c>
    </row>
    <row r="86" spans="1:18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 ca="1"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269">
        <f>'Monthly Data'!BF86</f>
        <v>701.49166666666656</v>
      </c>
      <c r="H86" s="269">
        <f>'Monthly Data'!BK86</f>
        <v>0</v>
      </c>
      <c r="I86" s="269">
        <f ca="1">F86*'Monthly Data'!CH86</f>
        <v>0</v>
      </c>
      <c r="J86" s="18">
        <f>'Monthly Data'!DG86</f>
        <v>0</v>
      </c>
      <c r="K86" s="1">
        <f>'Monthly Data'!CC86</f>
        <v>85</v>
      </c>
      <c r="M86" s="18"/>
      <c r="N86" s="18">
        <f ca="1">(E86-G86)*'Res Predicted Monthly'!$T$10</f>
        <v>-4591188.5362087516</v>
      </c>
      <c r="O86" s="18">
        <f ca="1">(F86-H86)*'Res Predicted Monthly'!$T$11</f>
        <v>0</v>
      </c>
      <c r="P86" s="18">
        <f ca="1">(I86-J86)*'Res Predicted Monthly'!$T$12</f>
        <v>0</v>
      </c>
      <c r="Q86" s="18"/>
      <c r="R86" s="259">
        <f t="shared" ca="1" si="9"/>
        <v>46802262.320213057</v>
      </c>
    </row>
    <row r="87" spans="1:18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 ca="1"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269">
        <f>'Monthly Data'!BF87</f>
        <v>524.84999999999991</v>
      </c>
      <c r="H87" s="269">
        <f>'Monthly Data'!BK87</f>
        <v>0</v>
      </c>
      <c r="I87" s="269">
        <f ca="1">F87*'Monthly Data'!CH87</f>
        <v>0</v>
      </c>
      <c r="J87" s="18">
        <f>'Monthly Data'!DG87</f>
        <v>0</v>
      </c>
      <c r="K87" s="1">
        <f>'Monthly Data'!CC87</f>
        <v>86</v>
      </c>
      <c r="M87" s="18"/>
      <c r="N87" s="18">
        <f ca="1">(E87-G87)*'Res Predicted Monthly'!$T$10</f>
        <v>-494199.4938742033</v>
      </c>
      <c r="O87" s="18">
        <f ca="1">(F87-H87)*'Res Predicted Monthly'!$T$11</f>
        <v>0</v>
      </c>
      <c r="P87" s="18">
        <f ca="1">(I87-J87)*'Res Predicted Monthly'!$T$12</f>
        <v>0</v>
      </c>
      <c r="Q87" s="18"/>
      <c r="R87" s="259">
        <f t="shared" ca="1" si="9"/>
        <v>45432598.496693291</v>
      </c>
    </row>
    <row r="88" spans="1:18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 ca="1"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269">
        <f>'Monthly Data'!BF88</f>
        <v>420.72083333333353</v>
      </c>
      <c r="H88" s="269">
        <f>'Monthly Data'!BK88</f>
        <v>0</v>
      </c>
      <c r="I88" s="269">
        <f ca="1">F88*'Monthly Data'!CH88</f>
        <v>0.25937499999999963</v>
      </c>
      <c r="J88" s="18">
        <f>'Monthly Data'!DG88</f>
        <v>0</v>
      </c>
      <c r="K88" s="1">
        <f>'Monthly Data'!CC88</f>
        <v>87</v>
      </c>
      <c r="M88" s="18"/>
      <c r="N88" s="18">
        <f ca="1">(E88-G88)*'Res Predicted Monthly'!$T$10</f>
        <v>50589.8946489722</v>
      </c>
      <c r="O88" s="18">
        <f ca="1">(F88-H88)*'Res Predicted Monthly'!$T$11</f>
        <v>30396.048002098556</v>
      </c>
      <c r="P88" s="18">
        <f ca="1">(I88-J88)*'Res Predicted Monthly'!$T$12</f>
        <v>3941.6318409768182</v>
      </c>
      <c r="Q88" s="18"/>
      <c r="R88" s="259">
        <f t="shared" ca="1" si="9"/>
        <v>48891294.705578029</v>
      </c>
    </row>
    <row r="89" spans="1:18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 ca="1"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269">
        <f>'Monthly Data'!BF89</f>
        <v>234.33333333333331</v>
      </c>
      <c r="H89" s="269">
        <f>'Monthly Data'!BK89</f>
        <v>8.7083333333333286</v>
      </c>
      <c r="I89" s="269">
        <f ca="1">F89*'Monthly Data'!CH89</f>
        <v>6.3956249999999999</v>
      </c>
      <c r="J89" s="18">
        <f>'Monthly Data'!DG89</f>
        <v>1.1270833333333314</v>
      </c>
      <c r="K89" s="1">
        <f>'Monthly Data'!CC89</f>
        <v>88</v>
      </c>
      <c r="M89" s="18"/>
      <c r="N89" s="18">
        <f ca="1">(E89-G89)*'Res Predicted Monthly'!$T$10</f>
        <v>8487.3054399998164</v>
      </c>
      <c r="O89" s="18">
        <f ca="1">(F89-H89)*'Res Predicted Monthly'!$T$11</f>
        <v>239237.65009844539</v>
      </c>
      <c r="P89" s="18">
        <f ca="1">(I89-J89)*'Res Predicted Monthly'!$T$12</f>
        <v>80064.198896757371</v>
      </c>
      <c r="Q89" s="18"/>
      <c r="R89" s="259">
        <f t="shared" ca="1" si="9"/>
        <v>41255112.652732819</v>
      </c>
    </row>
    <row r="90" spans="1:18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 ca="1"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269">
        <f>'Monthly Data'!BF90</f>
        <v>39.324999999999996</v>
      </c>
      <c r="H90" s="269">
        <f>'Monthly Data'!BK90</f>
        <v>157.97083333333333</v>
      </c>
      <c r="I90" s="269">
        <f ca="1">F90*'Monthly Data'!CH90</f>
        <v>65.112229641544573</v>
      </c>
      <c r="J90" s="18">
        <f>'Monthly Data'!DG90</f>
        <v>54.718749999999986</v>
      </c>
      <c r="K90" s="1">
        <f>'Monthly Data'!CC90</f>
        <v>89</v>
      </c>
      <c r="M90" s="18"/>
      <c r="N90" s="18">
        <f ca="1">(E90-G90)*'Res Predicted Monthly'!$T$10</f>
        <v>894533.03603956476</v>
      </c>
      <c r="O90" s="18">
        <f ca="1">(F90-H90)*'Res Predicted Monthly'!$T$11</f>
        <v>-1625792.9976200582</v>
      </c>
      <c r="P90" s="18">
        <f ca="1">(I90-J90)*'Res Predicted Monthly'!$T$12</f>
        <v>157946.10233698902</v>
      </c>
      <c r="Q90" s="18"/>
      <c r="R90" s="259">
        <f t="shared" ca="1" si="9"/>
        <v>36356231.98960866</v>
      </c>
    </row>
    <row r="91" spans="1:18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 ca="1"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269">
        <f>'Monthly Data'!BF91</f>
        <v>0</v>
      </c>
      <c r="H91" s="269">
        <f>'Monthly Data'!BK91</f>
        <v>240.92250416250408</v>
      </c>
      <c r="I91" s="269">
        <f ca="1">F91*'Monthly Data'!CH91</f>
        <v>127.25913377202508</v>
      </c>
      <c r="J91" s="18">
        <f>'Monthly Data'!DG91</f>
        <v>90.461252081252042</v>
      </c>
      <c r="K91" s="1">
        <f>'Monthly Data'!CC91</f>
        <v>90</v>
      </c>
      <c r="M91" s="18"/>
      <c r="N91" s="18">
        <f ca="1">(E91-G91)*'Res Predicted Monthly'!$T$10</f>
        <v>115862.67696506267</v>
      </c>
      <c r="O91" s="18">
        <f ca="1">(F91-H91)*'Res Predicted Monthly'!$T$11</f>
        <v>796640.91830486548</v>
      </c>
      <c r="P91" s="18">
        <f ca="1">(I91-J91)*'Res Predicted Monthly'!$T$12</f>
        <v>559204.63480616512</v>
      </c>
      <c r="Q91" s="18"/>
      <c r="R91" s="259">
        <f t="shared" ca="1" si="9"/>
        <v>42514020.090831518</v>
      </c>
    </row>
    <row r="92" spans="1:18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 ca="1"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269">
        <f>'Monthly Data'!BF92</f>
        <v>0</v>
      </c>
      <c r="H92" s="269">
        <f>'Monthly Data'!BK92</f>
        <v>345.85433829138066</v>
      </c>
      <c r="I92" s="269">
        <f ca="1">F92*'Monthly Data'!CH92</f>
        <v>179.97368929363927</v>
      </c>
      <c r="J92" s="18">
        <f>'Monthly Data'!DG92</f>
        <v>141.9271691456903</v>
      </c>
      <c r="K92" s="1">
        <f>'Monthly Data'!CC92</f>
        <v>91</v>
      </c>
      <c r="M92" s="18"/>
      <c r="N92" s="18">
        <f ca="1">(E92-G92)*'Res Predicted Monthly'!$T$10</f>
        <v>0</v>
      </c>
      <c r="O92" s="18">
        <f ca="1">(F92-H92)*'Res Predicted Monthly'!$T$11</f>
        <v>825778.7553342107</v>
      </c>
      <c r="P92" s="18">
        <f ca="1">(I92-J92)*'Res Predicted Monthly'!$T$12</f>
        <v>578179.76001357846</v>
      </c>
      <c r="Q92" s="18"/>
      <c r="R92" s="259">
        <f t="shared" ca="1" si="9"/>
        <v>50957729.456479155</v>
      </c>
    </row>
    <row r="93" spans="1:18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 ca="1"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269">
        <f>'Monthly Data'!BF93</f>
        <v>0</v>
      </c>
      <c r="H93" s="269">
        <f>'Monthly Data'!BK93</f>
        <v>352.28333333333342</v>
      </c>
      <c r="I93" s="269">
        <f ca="1">F93*'Monthly Data'!CH93</f>
        <v>167.48279397233202</v>
      </c>
      <c r="J93" s="18">
        <f>'Monthly Data'!DG93</f>
        <v>145.14166666666668</v>
      </c>
      <c r="K93" s="1">
        <f>'Monthly Data'!CC93</f>
        <v>92</v>
      </c>
      <c r="M93" s="18"/>
      <c r="N93" s="18">
        <f ca="1">(E93-G93)*'Res Predicted Monthly'!$T$10</f>
        <v>0</v>
      </c>
      <c r="O93" s="18">
        <f ca="1">(F93-H93)*'Res Predicted Monthly'!$T$11</f>
        <v>-1014729.6773438384</v>
      </c>
      <c r="P93" s="18">
        <f ca="1">(I93-J93)*'Res Predicted Monthly'!$T$12</f>
        <v>339510.35663162312</v>
      </c>
      <c r="Q93" s="18"/>
      <c r="R93" s="259">
        <f t="shared" ca="1" si="9"/>
        <v>53562453.238085605</v>
      </c>
    </row>
    <row r="94" spans="1:18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 ca="1"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269">
        <f>'Monthly Data'!BF94</f>
        <v>22.833333333333329</v>
      </c>
      <c r="H94" s="269">
        <f>'Monthly Data'!BK94</f>
        <v>193.32083333333327</v>
      </c>
      <c r="I94" s="269">
        <f ca="1">F94*'Monthly Data'!CH94</f>
        <v>108.28715450310558</v>
      </c>
      <c r="J94" s="18">
        <f>'Monthly Data'!DG94</f>
        <v>69.895833333333314</v>
      </c>
      <c r="K94" s="1">
        <f>'Monthly Data'!CC94</f>
        <v>93</v>
      </c>
      <c r="M94" s="18"/>
      <c r="N94" s="18">
        <f ca="1">(E94-G94)*'Res Predicted Monthly'!$T$10</f>
        <v>-444940.04122123134</v>
      </c>
      <c r="O94" s="18">
        <f ca="1">(F94-H94)*'Res Predicted Monthly'!$T$11</f>
        <v>1362532.5547343201</v>
      </c>
      <c r="P94" s="18">
        <f ca="1">(I94-J94)*'Res Predicted Monthly'!$T$12</f>
        <v>583419.581455198</v>
      </c>
      <c r="Q94" s="18"/>
      <c r="R94" s="259">
        <f t="shared" ca="1" si="9"/>
        <v>46443883.242628612</v>
      </c>
    </row>
    <row r="95" spans="1:18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 ca="1"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269">
        <f>'Monthly Data'!BF95</f>
        <v>147.2764492753623</v>
      </c>
      <c r="H95" s="269">
        <f>'Monthly Data'!BK95</f>
        <v>32</v>
      </c>
      <c r="I95" s="269">
        <f ca="1">F95*'Monthly Data'!CH95</f>
        <v>31.133333333333336</v>
      </c>
      <c r="J95" s="18">
        <f>'Monthly Data'!DG95</f>
        <v>5.8020833333333339</v>
      </c>
      <c r="K95" s="1">
        <f>'Monthly Data'!CC95</f>
        <v>94</v>
      </c>
      <c r="M95" s="18"/>
      <c r="N95" s="18">
        <f ca="1">(E95-G95)*'Res Predicted Monthly'!$T$10</f>
        <v>-611885.84986793669</v>
      </c>
      <c r="O95" s="18">
        <f ca="1">(F95-H95)*'Res Predicted Monthly'!$T$11</f>
        <v>1773469.0175682271</v>
      </c>
      <c r="P95" s="18">
        <f ca="1">(I95-J95)*'Res Predicted Monthly'!$T$12</f>
        <v>384950.21328865224</v>
      </c>
      <c r="Q95" s="18"/>
      <c r="R95" s="259">
        <f t="shared" ca="1" si="9"/>
        <v>37013098.036657505</v>
      </c>
    </row>
    <row r="96" spans="1:18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 ca="1"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269">
        <f>'Monthly Data'!BF96</f>
        <v>294.14166666666671</v>
      </c>
      <c r="H96" s="269">
        <f>'Monthly Data'!BK96</f>
        <v>13.824999999999999</v>
      </c>
      <c r="I96" s="269">
        <f ca="1">F96*'Monthly Data'!CH96</f>
        <v>2.8195833333333331</v>
      </c>
      <c r="J96" s="18">
        <f>'Monthly Data'!DG96</f>
        <v>3.2895833333333337</v>
      </c>
      <c r="K96" s="1">
        <f>'Monthly Data'!CC96</f>
        <v>95</v>
      </c>
      <c r="M96" s="18"/>
      <c r="N96" s="18">
        <f ca="1">(E96-G96)*'Res Predicted Monthly'!$T$10</f>
        <v>476344.47343365045</v>
      </c>
      <c r="O96" s="18">
        <f ca="1">(F96-H96)*'Res Predicted Monthly'!$T$11</f>
        <v>-479647.19602347718</v>
      </c>
      <c r="P96" s="18">
        <f ca="1">(I96-J96)*'Res Predicted Monthly'!$T$12</f>
        <v>-7142.4268540110252</v>
      </c>
      <c r="Q96" s="18"/>
      <c r="R96" s="259">
        <f t="shared" ca="1" si="9"/>
        <v>39274041.497889169</v>
      </c>
    </row>
    <row r="97" spans="1:18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 ca="1"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269">
        <f>'Monthly Data'!BF97</f>
        <v>461.12083333333328</v>
      </c>
      <c r="H97" s="269">
        <f>'Monthly Data'!BK97</f>
        <v>0</v>
      </c>
      <c r="I97" s="269">
        <f ca="1">F97*'Monthly Data'!CH97</f>
        <v>6.3958333333333339E-2</v>
      </c>
      <c r="J97" s="18">
        <f>'Monthly Data'!DG97</f>
        <v>0</v>
      </c>
      <c r="K97" s="1">
        <f>'Monthly Data'!CC97</f>
        <v>96</v>
      </c>
      <c r="M97" s="18"/>
      <c r="N97" s="18">
        <f ca="1">(E97-G97)*'Res Predicted Monthly'!$T$10</f>
        <v>-257680.00578580162</v>
      </c>
      <c r="O97" s="18">
        <f ca="1">(F97-H97)*'Res Predicted Monthly'!$T$11</f>
        <v>7495.2503908789322</v>
      </c>
      <c r="P97" s="18">
        <f ca="1">(I97-J97)*'Res Predicted Monthly'!$T$12</f>
        <v>971.95259050593165</v>
      </c>
      <c r="Q97" s="18"/>
      <c r="R97" s="259">
        <f t="shared" ca="1" si="9"/>
        <v>45693697.006805681</v>
      </c>
    </row>
    <row r="98" spans="1:18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 ca="1"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269">
        <f>'Monthly Data'!BF98</f>
        <v>480.07083333333327</v>
      </c>
      <c r="H98" s="269">
        <f>'Monthly Data'!BK98</f>
        <v>0</v>
      </c>
      <c r="I98" s="269">
        <f ca="1">F98*'Monthly Data'!CH98</f>
        <v>0</v>
      </c>
      <c r="J98" s="18">
        <f>'Monthly Data'!DG98</f>
        <v>0</v>
      </c>
      <c r="K98" s="1">
        <f>'Monthly Data'!CC98</f>
        <v>97</v>
      </c>
      <c r="M98" s="18"/>
      <c r="N98" s="18">
        <f ca="1">(E98-G98)*'Res Predicted Monthly'!$T$10</f>
        <v>3341120.8126709098</v>
      </c>
      <c r="O98" s="18">
        <f ca="1">(F98-H98)*'Res Predicted Monthly'!$T$11</f>
        <v>0</v>
      </c>
      <c r="P98" s="18">
        <f ca="1">(I98-J98)*'Res Predicted Monthly'!$T$12</f>
        <v>0</v>
      </c>
      <c r="Q98" s="18"/>
      <c r="R98" s="259">
        <f t="shared" ref="R98:R121" ca="1" si="12">D98+N98+O98</f>
        <v>53128116.714399181</v>
      </c>
    </row>
    <row r="99" spans="1:18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 ca="1"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269">
        <f>'Monthly Data'!BF99</f>
        <v>461.43333333333328</v>
      </c>
      <c r="H99" s="269">
        <f>'Monthly Data'!BK99</f>
        <v>0</v>
      </c>
      <c r="I99" s="269">
        <f ca="1">F99*'Monthly Data'!CH99</f>
        <v>0</v>
      </c>
      <c r="J99" s="18">
        <f>'Monthly Data'!DG99</f>
        <v>0</v>
      </c>
      <c r="K99" s="1">
        <f>'Monthly Data'!CC99</f>
        <v>98</v>
      </c>
      <c r="M99" s="18"/>
      <c r="N99" s="18">
        <f ca="1">(E99-G99)*'Res Predicted Monthly'!$T$10</f>
        <v>1777676.2384219221</v>
      </c>
      <c r="O99" s="18">
        <f ca="1">(F99-H99)*'Res Predicted Monthly'!$T$11</f>
        <v>0</v>
      </c>
      <c r="P99" s="18">
        <f ca="1">(I99-J99)*'Res Predicted Monthly'!$T$12</f>
        <v>0</v>
      </c>
      <c r="Q99" s="18"/>
      <c r="R99" s="259">
        <f t="shared" ca="1" si="12"/>
        <v>49893210.089690715</v>
      </c>
    </row>
    <row r="100" spans="1:18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 ca="1"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269">
        <f>'Monthly Data'!BF100</f>
        <v>427.0333333333333</v>
      </c>
      <c r="H100" s="269">
        <f>'Monthly Data'!BK100</f>
        <v>0</v>
      </c>
      <c r="I100" s="269">
        <f ca="1">F100*'Monthly Data'!CH100</f>
        <v>0.12968749999999982</v>
      </c>
      <c r="J100" s="18">
        <f>'Monthly Data'!DG100</f>
        <v>0</v>
      </c>
      <c r="K100" s="1">
        <f>'Monthly Data'!CC100</f>
        <v>99</v>
      </c>
      <c r="M100" s="18"/>
      <c r="N100" s="18">
        <f ca="1">(E100-G100)*'Res Predicted Monthly'!$T$10</f>
        <v>-175552.7948666985</v>
      </c>
      <c r="O100" s="18">
        <f ca="1">(F100-H100)*'Res Predicted Monthly'!$T$11</f>
        <v>30396.048002098556</v>
      </c>
      <c r="P100" s="18">
        <f ca="1">(I100-J100)*'Res Predicted Monthly'!$T$12</f>
        <v>1970.8159204884091</v>
      </c>
      <c r="Q100" s="18"/>
      <c r="R100" s="259">
        <f t="shared" ca="1" si="12"/>
        <v>43908878.970198832</v>
      </c>
    </row>
    <row r="101" spans="1:18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 ca="1"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269">
        <f>'Monthly Data'!BF101</f>
        <v>193.11666666666667</v>
      </c>
      <c r="H101" s="269">
        <f>'Monthly Data'!BK101</f>
        <v>37.175000000000004</v>
      </c>
      <c r="I101" s="269">
        <f ca="1">F101*'Monthly Data'!CH101</f>
        <v>3.1978124999999999</v>
      </c>
      <c r="J101" s="18">
        <f>'Monthly Data'!DG101</f>
        <v>5.6791666666666689</v>
      </c>
      <c r="K101" s="1">
        <f>'Monthly Data'!CC101</f>
        <v>100</v>
      </c>
      <c r="M101" s="18"/>
      <c r="N101" s="18">
        <f ca="1">(E101-G101)*'Res Predicted Monthly'!$T$10</f>
        <v>1485057.2623304906</v>
      </c>
      <c r="O101" s="18">
        <f ca="1">(F101-H101)*'Res Predicted Monthly'!$T$11</f>
        <v>-1428760.743076958</v>
      </c>
      <c r="P101" s="18">
        <f ca="1">(I101-J101)*'Res Predicted Monthly'!$T$12</f>
        <v>-37708.277945344984</v>
      </c>
      <c r="Q101" s="18"/>
      <c r="R101" s="259">
        <f t="shared" ca="1" si="12"/>
        <v>41534078.144382171</v>
      </c>
    </row>
    <row r="102" spans="1:18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 ca="1"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269">
        <f>'Monthly Data'!BF102</f>
        <v>68.776666666666671</v>
      </c>
      <c r="H102" s="269">
        <f>'Monthly Data'!BK102</f>
        <v>112.85416666666666</v>
      </c>
      <c r="I102" s="269">
        <f ca="1">F102*'Monthly Data'!CH102</f>
        <v>32.556114820772287</v>
      </c>
      <c r="J102" s="18">
        <f>'Monthly Data'!DG102</f>
        <v>17.012499999999996</v>
      </c>
      <c r="K102" s="1">
        <f>'Monthly Data'!CC102</f>
        <v>101</v>
      </c>
      <c r="M102" s="18"/>
      <c r="N102" s="18">
        <f ca="1">(E102-G102)*'Res Predicted Monthly'!$T$10</f>
        <v>-160560.68447041864</v>
      </c>
      <c r="O102" s="18">
        <f ca="1">(F102-H102)*'Res Predicted Monthly'!$T$11</f>
        <v>1017808.6711889674</v>
      </c>
      <c r="P102" s="18">
        <f ca="1">(I102-J102)*'Res Predicted Monthly'!$T$12</f>
        <v>236210.91894529283</v>
      </c>
      <c r="Q102" s="18"/>
      <c r="R102" s="259">
        <f t="shared" ca="1" si="12"/>
        <v>38538350.381375723</v>
      </c>
    </row>
    <row r="103" spans="1:18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 ca="1"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269">
        <f>'Monthly Data'!BF103</f>
        <v>0</v>
      </c>
      <c r="H103" s="269">
        <f>'Monthly Data'!BK103</f>
        <v>265.54166666666669</v>
      </c>
      <c r="I103" s="269">
        <f ca="1">F103*'Monthly Data'!CH103</f>
        <v>63.62956688601254</v>
      </c>
      <c r="J103" s="18">
        <f>'Monthly Data'!DG103</f>
        <v>51.385416666666671</v>
      </c>
      <c r="K103" s="1">
        <f>'Monthly Data'!CC103</f>
        <v>102</v>
      </c>
      <c r="M103" s="18"/>
      <c r="N103" s="18">
        <f ca="1">(E103-G103)*'Res Predicted Monthly'!$T$10</f>
        <v>115862.67696506267</v>
      </c>
      <c r="O103" s="18">
        <f ca="1">(F103-H103)*'Res Predicted Monthly'!$T$11</f>
        <v>-645913.77132981876</v>
      </c>
      <c r="P103" s="18">
        <f ca="1">(I103-J103)*'Res Predicted Monthly'!$T$12</f>
        <v>186070.10070468255</v>
      </c>
      <c r="Q103" s="18"/>
      <c r="R103" s="259">
        <f t="shared" ca="1" si="12"/>
        <v>43675474.64590089</v>
      </c>
    </row>
    <row r="104" spans="1:18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 ca="1"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269">
        <f>'Monthly Data'!BF104</f>
        <v>0</v>
      </c>
      <c r="H104" s="269">
        <f>'Monthly Data'!BK104</f>
        <v>347.78333333333342</v>
      </c>
      <c r="I104" s="269">
        <f ca="1">F104*'Monthly Data'!CH104</f>
        <v>89.986844646819634</v>
      </c>
      <c r="J104" s="18">
        <f>'Monthly Data'!DG104</f>
        <v>71.445833333333354</v>
      </c>
      <c r="K104" s="1">
        <f>'Monthly Data'!CC104</f>
        <v>103</v>
      </c>
      <c r="M104" s="18"/>
      <c r="N104" s="18">
        <f ca="1">(E104-G104)*'Res Predicted Monthly'!$T$10</f>
        <v>0</v>
      </c>
      <c r="O104" s="18">
        <f ca="1">(F104-H104)*'Res Predicted Monthly'!$T$11</f>
        <v>712749.69337564427</v>
      </c>
      <c r="P104" s="18">
        <f ca="1">(I104-J104)*'Res Predicted Monthly'!$T$12</f>
        <v>281761.312991418</v>
      </c>
      <c r="Q104" s="18"/>
      <c r="R104" s="259">
        <f t="shared" ca="1" si="12"/>
        <v>53860803.636023387</v>
      </c>
    </row>
    <row r="105" spans="1:18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 ca="1"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269">
        <f>'Monthly Data'!BF105</f>
        <v>0</v>
      </c>
      <c r="H105" s="269">
        <f>'Monthly Data'!BK105</f>
        <v>289.8048913043479</v>
      </c>
      <c r="I105" s="269">
        <f ca="1">F105*'Monthly Data'!CH105</f>
        <v>83.741396986166009</v>
      </c>
      <c r="J105" s="18">
        <f>'Monthly Data'!DG105</f>
        <v>56.951222826086969</v>
      </c>
      <c r="K105" s="1">
        <f>'Monthly Data'!CC105</f>
        <v>104</v>
      </c>
      <c r="M105" s="18"/>
      <c r="N105" s="18">
        <f ca="1">(E105-G105)*'Res Predicted Monthly'!$T$10</f>
        <v>0</v>
      </c>
      <c r="O105" s="18">
        <f ca="1">(F105-H105)*'Res Predicted Monthly'!$T$11</f>
        <v>2646181.5959272524</v>
      </c>
      <c r="P105" s="18">
        <f ca="1">(I105-J105)*'Res Predicted Monthly'!$T$12</f>
        <v>407120.97732889478</v>
      </c>
      <c r="Q105" s="18"/>
      <c r="R105" s="259">
        <f t="shared" ca="1" si="12"/>
        <v>55001883.369176805</v>
      </c>
    </row>
    <row r="106" spans="1:18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 ca="1"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269">
        <f>'Monthly Data'!BF106</f>
        <v>2.3583333333333378</v>
      </c>
      <c r="H106" s="269">
        <f>'Monthly Data'!BK106</f>
        <v>222.99166666666656</v>
      </c>
      <c r="I106" s="269">
        <f ca="1">F106*'Monthly Data'!CH106</f>
        <v>54.143577251552792</v>
      </c>
      <c r="J106" s="18">
        <f>'Monthly Data'!DG106</f>
        <v>40.747916666666654</v>
      </c>
      <c r="K106" s="1">
        <f>'Monthly Data'!CC106</f>
        <v>105</v>
      </c>
      <c r="M106" s="18"/>
      <c r="N106" s="18">
        <f ca="1">(E106-G106)*'Res Predicted Monthly'!$T$10</f>
        <v>288568.32596031675</v>
      </c>
      <c r="O106" s="18">
        <f ca="1">(F106-H106)*'Res Predicted Monthly'!$T$11</f>
        <v>-376023.73300016834</v>
      </c>
      <c r="P106" s="18">
        <f ca="1">(I106-J106)*'Res Predicted Monthly'!$T$12</f>
        <v>203569.20401852691</v>
      </c>
      <c r="Q106" s="18"/>
      <c r="R106" s="259">
        <f t="shared" ca="1" si="12"/>
        <v>46478778.324616887</v>
      </c>
    </row>
    <row r="107" spans="1:18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 ca="1"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269">
        <f>'Monthly Data'!BF107</f>
        <v>111.18333333333332</v>
      </c>
      <c r="H107" s="269">
        <f>'Monthly Data'!BK107</f>
        <v>85.929166666666674</v>
      </c>
      <c r="I107" s="269">
        <f ca="1">F107*'Monthly Data'!CH107</f>
        <v>15.566666666666668</v>
      </c>
      <c r="J107" s="18">
        <f>'Monthly Data'!DG107</f>
        <v>13.65625</v>
      </c>
      <c r="K107" s="1">
        <f>'Monthly Data'!CC107</f>
        <v>106</v>
      </c>
      <c r="M107" s="18"/>
      <c r="N107" s="18">
        <f ca="1">(E107-G107)*'Res Predicted Monthly'!$T$10</f>
        <v>681135.03126183071</v>
      </c>
      <c r="O107" s="18">
        <f ca="1">(F107-H107)*'Res Predicted Monthly'!$T$11</f>
        <v>-1386499.2498306665</v>
      </c>
      <c r="P107" s="18">
        <f ca="1">(I107-J107)*'Res Predicted Monthly'!$T$12</f>
        <v>29031.938941170683</v>
      </c>
      <c r="Q107" s="18"/>
      <c r="R107" s="259">
        <f t="shared" ca="1" si="12"/>
        <v>38466307.347292468</v>
      </c>
    </row>
    <row r="108" spans="1:18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 ca="1"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269">
        <f>'Monthly Data'!BF108</f>
        <v>330.59311594202904</v>
      </c>
      <c r="H108" s="269">
        <f>'Monthly Data'!BK108</f>
        <v>0.36249999999999893</v>
      </c>
      <c r="I108" s="269">
        <f ca="1">F108*'Monthly Data'!CH108</f>
        <v>1.4097916666666666</v>
      </c>
      <c r="J108" s="18">
        <f>'Monthly Data'!DG108</f>
        <v>0</v>
      </c>
      <c r="K108" s="1">
        <f>'Monthly Data'!CC108</f>
        <v>107</v>
      </c>
      <c r="M108" s="18"/>
      <c r="N108" s="18">
        <f ca="1">(E108-G108)*'Res Predicted Monthly'!$T$10</f>
        <v>-829513.55046730512</v>
      </c>
      <c r="O108" s="18">
        <f ca="1">(F108-H108)*'Res Predicted Monthly'!$T$11</f>
        <v>309185.18224785279</v>
      </c>
      <c r="P108" s="18">
        <f ca="1">(I108-J108)*'Res Predicted Monthly'!$T$12</f>
        <v>21424.114592682861</v>
      </c>
      <c r="Q108" s="18"/>
      <c r="R108" s="259">
        <f t="shared" ca="1" si="12"/>
        <v>41269195.614923432</v>
      </c>
    </row>
    <row r="109" spans="1:18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 ca="1"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269">
        <f>'Monthly Data'!BF109</f>
        <v>365.67916666666667</v>
      </c>
      <c r="H109" s="269">
        <f>'Monthly Data'!BK109</f>
        <v>0</v>
      </c>
      <c r="I109" s="269">
        <f ca="1">F109*'Monthly Data'!CH109</f>
        <v>3.197916666666667E-2</v>
      </c>
      <c r="J109" s="18">
        <f>'Monthly Data'!DG109</f>
        <v>0</v>
      </c>
      <c r="K109" s="1">
        <f>'Monthly Data'!CC109</f>
        <v>108</v>
      </c>
      <c r="M109" s="18"/>
      <c r="N109" s="18">
        <f ca="1">(E109-G109)*'Res Predicted Monthly'!$T$10</f>
        <v>3161478.0444096681</v>
      </c>
      <c r="O109" s="18">
        <f ca="1">(F109-H109)*'Res Predicted Monthly'!$T$11</f>
        <v>7495.2503908789322</v>
      </c>
      <c r="P109" s="18">
        <f ca="1">(I109-J109)*'Res Predicted Monthly'!$T$12</f>
        <v>485.97629525296583</v>
      </c>
      <c r="Q109" s="18"/>
      <c r="R109" s="259">
        <f t="shared" ca="1" si="12"/>
        <v>49506645.160209015</v>
      </c>
    </row>
    <row r="110" spans="1:18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 ca="1"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269">
        <f>'Monthly Data'!BF110</f>
        <v>512.99583333333328</v>
      </c>
      <c r="H110" s="269">
        <f>'Monthly Data'!BK110</f>
        <v>0</v>
      </c>
      <c r="I110" s="269">
        <f ca="1">F110*'Monthly Data'!CH110</f>
        <v>0</v>
      </c>
      <c r="J110" s="18">
        <f>'Monthly Data'!DG110</f>
        <v>0</v>
      </c>
      <c r="K110" s="1">
        <f>'Monthly Data'!CC110</f>
        <v>109</v>
      </c>
      <c r="M110" s="18"/>
      <c r="N110" s="18">
        <f ca="1">(E110-G110)*'Res Predicted Monthly'!$T$10</f>
        <v>2161596.3687416064</v>
      </c>
      <c r="O110" s="18">
        <f ca="1">(F110-H110)*'Res Predicted Monthly'!$T$11</f>
        <v>0</v>
      </c>
      <c r="P110" s="18">
        <f ca="1">(I110-J110)*'Res Predicted Monthly'!$T$12</f>
        <v>0</v>
      </c>
      <c r="Q110" s="18"/>
      <c r="R110" s="259">
        <f t="shared" ca="1" si="12"/>
        <v>51638255.407663122</v>
      </c>
    </row>
    <row r="111" spans="1:18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 ca="1"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269">
        <f>'Monthly Data'!BF111</f>
        <v>426.96666666666664</v>
      </c>
      <c r="H111" s="269">
        <f>'Monthly Data'!BK111</f>
        <v>0</v>
      </c>
      <c r="I111" s="269">
        <f ca="1">F111*'Monthly Data'!CH111</f>
        <v>0</v>
      </c>
      <c r="J111" s="18">
        <f>'Monthly Data'!DG111</f>
        <v>0</v>
      </c>
      <c r="K111" s="1">
        <f>'Monthly Data'!CC111</f>
        <v>110</v>
      </c>
      <c r="M111" s="18"/>
      <c r="N111" s="18">
        <f ca="1">(E111-G111)*'Res Predicted Monthly'!$T$10</f>
        <v>3012430.2500877269</v>
      </c>
      <c r="O111" s="18">
        <f ca="1">(F111-H111)*'Res Predicted Monthly'!$T$11</f>
        <v>0</v>
      </c>
      <c r="P111" s="18">
        <f ca="1">(I111-J111)*'Res Predicted Monthly'!$T$12</f>
        <v>0</v>
      </c>
      <c r="Q111" s="18"/>
      <c r="R111" s="259">
        <f t="shared" ca="1" si="12"/>
        <v>46239063.99607335</v>
      </c>
    </row>
    <row r="112" spans="1:18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 ca="1"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269">
        <f>'Monthly Data'!BF112</f>
        <v>336.11249999999995</v>
      </c>
      <c r="H112" s="269">
        <f>'Monthly Data'!BK112</f>
        <v>0</v>
      </c>
      <c r="I112" s="269">
        <f ca="1">F112*'Monthly Data'!CH112</f>
        <v>0.12968749999999982</v>
      </c>
      <c r="J112" s="18">
        <f>'Monthly Data'!DG112</f>
        <v>0</v>
      </c>
      <c r="K112" s="1">
        <f>'Monthly Data'!CC112</f>
        <v>111</v>
      </c>
      <c r="M112" s="18"/>
      <c r="N112" s="18">
        <f ca="1">(E112-G112)*'Res Predicted Monthly'!$T$10</f>
        <v>3081648.2796690301</v>
      </c>
      <c r="O112" s="18">
        <f ca="1">(F112-H112)*'Res Predicted Monthly'!$T$11</f>
        <v>30396.048002098556</v>
      </c>
      <c r="P112" s="18">
        <f ca="1">(I112-J112)*'Res Predicted Monthly'!$T$12</f>
        <v>1970.8159204884091</v>
      </c>
      <c r="Q112" s="18"/>
      <c r="R112" s="259">
        <f t="shared" ca="1" si="12"/>
        <v>48092104.363879167</v>
      </c>
    </row>
    <row r="113" spans="1:18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 ca="1"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269">
        <f>'Monthly Data'!BF113</f>
        <v>188.29791666666671</v>
      </c>
      <c r="H113" s="269">
        <f>'Monthly Data'!BK113</f>
        <v>10.625</v>
      </c>
      <c r="I113" s="269">
        <f ca="1">F113*'Monthly Data'!CH113</f>
        <v>3.1978124999999999</v>
      </c>
      <c r="J113" s="18">
        <f>'Monthly Data'!DG113</f>
        <v>0.59583333333333366</v>
      </c>
      <c r="K113" s="1">
        <f>'Monthly Data'!CC113</f>
        <v>112</v>
      </c>
      <c r="M113" s="18"/>
      <c r="N113" s="18">
        <f ca="1">(E113-G113)*'Res Predicted Monthly'!$T$10</f>
        <v>1657686.9787825572</v>
      </c>
      <c r="O113" s="18">
        <f ca="1">(F113-H113)*'Res Predicted Monthly'!$T$11</f>
        <v>126930.96671719727</v>
      </c>
      <c r="P113" s="18">
        <f ca="1">(I113-J113)*'Res Predicted Monthly'!$T$12</f>
        <v>39541.374199100428</v>
      </c>
      <c r="Q113" s="18"/>
      <c r="R113" s="259">
        <f t="shared" ca="1" si="12"/>
        <v>42761246.448710017</v>
      </c>
    </row>
    <row r="114" spans="1:18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 ca="1">'Monthly Data'!F114</f>
        <v>40992624.283915721</v>
      </c>
      <c r="E114" s="269">
        <f t="shared" ref="E114:F121" ca="1" si="13">E102</f>
        <v>64.294809115179262</v>
      </c>
      <c r="F114" s="269">
        <f t="shared" ca="1" si="13"/>
        <v>130.22445928308915</v>
      </c>
      <c r="G114" s="269">
        <f>'Monthly Data'!BF114</f>
        <v>15.562499999999984</v>
      </c>
      <c r="H114" s="269">
        <f>'Monthly Data'!BK114</f>
        <v>169.12916666666669</v>
      </c>
      <c r="I114" s="269">
        <f ca="1">F114*'Monthly Data'!CH114</f>
        <v>32.556114820772287</v>
      </c>
      <c r="J114" s="18">
        <f>'Monthly Data'!DG114</f>
        <v>27.512500000000003</v>
      </c>
      <c r="K114" s="1">
        <f>'Monthly Data'!CC114</f>
        <v>113</v>
      </c>
      <c r="M114" s="18"/>
      <c r="N114" s="18">
        <f ca="1">(E114-G114)*'Res Predicted Monthly'!$T$10</f>
        <v>1745814.7246916553</v>
      </c>
      <c r="O114" s="18">
        <f ca="1">(F114-H114)*'Res Predicted Monthly'!$T$11</f>
        <v>-2279613.2108700201</v>
      </c>
      <c r="P114" s="18">
        <f ca="1">(I114-J114)*'Res Predicted Monthly'!$T$12</f>
        <v>76646.063696110461</v>
      </c>
      <c r="Q114" s="18"/>
      <c r="R114" s="259">
        <f t="shared" ca="1" si="12"/>
        <v>40458825.797737353</v>
      </c>
    </row>
    <row r="115" spans="1:18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 ca="1">'Monthly Data'!F115</f>
        <v>45944836.893358529</v>
      </c>
      <c r="E115" s="269">
        <f t="shared" ca="1" si="13"/>
        <v>3.2341666666666669</v>
      </c>
      <c r="F115" s="269">
        <f t="shared" ca="1" si="13"/>
        <v>254.51826754405016</v>
      </c>
      <c r="G115" s="269">
        <f>'Monthly Data'!BF115</f>
        <v>2.4583333333333321</v>
      </c>
      <c r="H115" s="269">
        <f>'Monthly Data'!BK115</f>
        <v>264.15416666666664</v>
      </c>
      <c r="I115" s="269">
        <f ca="1">F115*'Monthly Data'!CH115</f>
        <v>63.62956688601254</v>
      </c>
      <c r="J115" s="18">
        <f>'Monthly Data'!DG115</f>
        <v>51.038541666666667</v>
      </c>
      <c r="K115" s="1">
        <f>'Monthly Data'!CC115</f>
        <v>114</v>
      </c>
      <c r="M115" s="18"/>
      <c r="N115" s="18">
        <f ca="1">(E115-G115)*'Res Predicted Monthly'!$T$10</f>
        <v>27793.906790639918</v>
      </c>
      <c r="O115" s="18">
        <f ca="1">(F115-H115)*'Res Predicted Monthly'!$T$11</f>
        <v>-564613.49836034747</v>
      </c>
      <c r="P115" s="18">
        <f ca="1">(I115-J115)*'Res Predicted Monthly'!$T$12</f>
        <v>191341.43967273596</v>
      </c>
      <c r="Q115" s="18"/>
      <c r="R115" s="259">
        <f t="shared" ca="1" si="12"/>
        <v>45408017.301788814</v>
      </c>
    </row>
    <row r="116" spans="1:18" x14ac:dyDescent="0.25">
      <c r="A116" s="3">
        <v>45474</v>
      </c>
      <c r="B116" s="1">
        <f t="shared" ref="B116:B133" si="14">YEAR(A116)</f>
        <v>2024</v>
      </c>
      <c r="C116" s="1">
        <f t="shared" ref="C116:C133" si="15">MONTH(A116)</f>
        <v>7</v>
      </c>
      <c r="D116" s="259">
        <f ca="1">'Monthly Data'!F116</f>
        <v>55643634.584272623</v>
      </c>
      <c r="E116" s="269">
        <f t="shared" ca="1" si="13"/>
        <v>0</v>
      </c>
      <c r="F116" s="269">
        <f t="shared" ca="1" si="13"/>
        <v>359.94737858727854</v>
      </c>
      <c r="G116" s="269">
        <f>'Monthly Data'!BF116</f>
        <v>0</v>
      </c>
      <c r="H116" s="269">
        <f>'Monthly Data'!BK116</f>
        <v>365.14166666666671</v>
      </c>
      <c r="I116" s="269">
        <f ca="1">F116*'Monthly Data'!CH116</f>
        <v>89.986844646819634</v>
      </c>
      <c r="J116" s="18">
        <f>'Monthly Data'!DG116</f>
        <v>75.785416666666663</v>
      </c>
      <c r="K116" s="1">
        <f>'Monthly Data'!CC116</f>
        <v>115</v>
      </c>
      <c r="M116" s="18"/>
      <c r="N116" s="18">
        <f ca="1">(E116-G116)*'Res Predicted Monthly'!$T$10</f>
        <v>0</v>
      </c>
      <c r="O116" s="18">
        <f ca="1">(F116-H116)*'Res Predicted Monthly'!$T$11</f>
        <v>-304358.22611626302</v>
      </c>
      <c r="P116" s="18">
        <f ca="1">(I116-J116)*'Res Predicted Monthly'!$T$12</f>
        <v>215814.17142712339</v>
      </c>
      <c r="Q116" s="18"/>
      <c r="R116" s="259">
        <f t="shared" ca="1" si="12"/>
        <v>55339276.358156361</v>
      </c>
    </row>
    <row r="117" spans="1:18" x14ac:dyDescent="0.25">
      <c r="A117" s="3">
        <v>45505</v>
      </c>
      <c r="B117" s="1">
        <f t="shared" si="14"/>
        <v>2024</v>
      </c>
      <c r="C117" s="1">
        <f t="shared" si="15"/>
        <v>8</v>
      </c>
      <c r="D117" s="259">
        <f ca="1">'Monthly Data'!F117</f>
        <v>55415275.521450698</v>
      </c>
      <c r="E117" s="269">
        <f t="shared" ca="1" si="13"/>
        <v>0</v>
      </c>
      <c r="F117" s="269">
        <f t="shared" ca="1" si="13"/>
        <v>334.96558794466404</v>
      </c>
      <c r="G117" s="269">
        <f>'Monthly Data'!BF117</f>
        <v>0</v>
      </c>
      <c r="H117" s="269">
        <f>'Monthly Data'!BK117</f>
        <v>324.86666666666667</v>
      </c>
      <c r="I117" s="269">
        <f ca="1">F117*'Monthly Data'!CH117</f>
        <v>83.741396986166009</v>
      </c>
      <c r="J117" s="18">
        <f>'Monthly Data'!DG117</f>
        <v>65.716666666666669</v>
      </c>
      <c r="K117" s="1">
        <f>'Monthly Data'!CC117</f>
        <v>116</v>
      </c>
      <c r="M117" s="18"/>
      <c r="N117" s="18">
        <f ca="1">(E117-G117)*'Res Predicted Monthly'!$T$10</f>
        <v>0</v>
      </c>
      <c r="O117" s="18">
        <f ca="1">(F117-H117)*'Res Predicted Monthly'!$T$11</f>
        <v>591744.18493575475</v>
      </c>
      <c r="P117" s="18">
        <f ca="1">(I117-J117)*'Res Predicted Monthly'!$T$12</f>
        <v>273915.56993680564</v>
      </c>
      <c r="Q117" s="18"/>
      <c r="R117" s="259">
        <f t="shared" ca="1" si="12"/>
        <v>56007019.706386454</v>
      </c>
    </row>
    <row r="118" spans="1:18" x14ac:dyDescent="0.25">
      <c r="A118" s="3">
        <v>45536</v>
      </c>
      <c r="B118" s="1">
        <f t="shared" si="14"/>
        <v>2024</v>
      </c>
      <c r="C118" s="1">
        <f t="shared" si="15"/>
        <v>9</v>
      </c>
      <c r="D118" s="259">
        <f ca="1">'Monthly Data'!F118</f>
        <v>47318717.783092171</v>
      </c>
      <c r="E118" s="269">
        <f t="shared" ca="1" si="13"/>
        <v>10.413369565217392</v>
      </c>
      <c r="F118" s="269">
        <f t="shared" ca="1" si="13"/>
        <v>216.57430900621117</v>
      </c>
      <c r="G118" s="269">
        <f>'Monthly Data'!BF118</f>
        <v>2.5625000000000036</v>
      </c>
      <c r="H118" s="269">
        <f>'Monthly Data'!BK118</f>
        <v>231.3</v>
      </c>
      <c r="I118" s="269">
        <f ca="1">F118*'Monthly Data'!CH118</f>
        <v>54.143577251552792</v>
      </c>
      <c r="J118" s="18">
        <f>'Monthly Data'!DG118</f>
        <v>42.824999999999996</v>
      </c>
      <c r="K118" s="1">
        <f>'Monthly Data'!CC118</f>
        <v>117</v>
      </c>
      <c r="M118" s="18"/>
      <c r="N118" s="18">
        <f ca="1">(E118-G118)*'Res Predicted Monthly'!$T$10</f>
        <v>281254.13996278</v>
      </c>
      <c r="O118" s="18">
        <f ca="1">(F118-H118)*'Res Predicted Monthly'!$T$11</f>
        <v>-862848.79096149735</v>
      </c>
      <c r="P118" s="18">
        <f ca="1">(I118-J118)*'Res Predicted Monthly'!$T$12</f>
        <v>172004.48959721037</v>
      </c>
      <c r="Q118" s="18"/>
      <c r="R118" s="259">
        <f t="shared" ca="1" si="12"/>
        <v>46737123.132093452</v>
      </c>
    </row>
    <row r="119" spans="1:18" x14ac:dyDescent="0.25">
      <c r="A119" s="3">
        <v>45566</v>
      </c>
      <c r="B119" s="1">
        <f t="shared" si="14"/>
        <v>2024</v>
      </c>
      <c r="C119" s="1">
        <f t="shared" si="15"/>
        <v>10</v>
      </c>
      <c r="D119" s="259">
        <f ca="1">'Monthly Data'!F119</f>
        <v>39877494.335995674</v>
      </c>
      <c r="E119" s="269">
        <f t="shared" ca="1" si="13"/>
        <v>130.19639492753623</v>
      </c>
      <c r="F119" s="269">
        <f t="shared" ca="1" si="13"/>
        <v>62.266666666666673</v>
      </c>
      <c r="G119" s="269">
        <f>'Monthly Data'!BF119</f>
        <v>122.06250000000001</v>
      </c>
      <c r="H119" s="269">
        <f>'Monthly Data'!BK119</f>
        <v>60.087500000000006</v>
      </c>
      <c r="I119" s="269">
        <f ca="1">F119*'Monthly Data'!CH119</f>
        <v>15.566666666666668</v>
      </c>
      <c r="J119" s="18">
        <f>'Monthly Data'!DG119</f>
        <v>7.7760416666666696</v>
      </c>
      <c r="K119" s="1">
        <f>'Monthly Data'!CC119</f>
        <v>118</v>
      </c>
      <c r="M119" s="18"/>
      <c r="N119" s="18">
        <f ca="1">(E119-G119)*'Res Predicted Monthly'!$T$10</f>
        <v>291393.40596451139</v>
      </c>
      <c r="O119" s="18">
        <f ca="1">(F119-H119)*'Res Predicted Monthly'!$T$11</f>
        <v>127687.81610520137</v>
      </c>
      <c r="P119" s="18">
        <f ca="1">(I119-J119)*'Res Predicted Monthly'!$T$12</f>
        <v>118391.42385006289</v>
      </c>
      <c r="Q119" s="18"/>
      <c r="R119" s="259">
        <f t="shared" ca="1" si="12"/>
        <v>40296575.558065385</v>
      </c>
    </row>
    <row r="120" spans="1:18" x14ac:dyDescent="0.25">
      <c r="A120" s="3">
        <v>45597</v>
      </c>
      <c r="B120" s="1">
        <f t="shared" si="14"/>
        <v>2024</v>
      </c>
      <c r="C120" s="1">
        <f t="shared" si="15"/>
        <v>11</v>
      </c>
      <c r="D120" s="259">
        <f ca="1">'Monthly Data'!F120</f>
        <v>40926997.432523698</v>
      </c>
      <c r="E120" s="269">
        <f t="shared" ca="1" si="13"/>
        <v>307.43824722379077</v>
      </c>
      <c r="F120" s="269">
        <f t="shared" ca="1" si="13"/>
        <v>5.6391666666666662</v>
      </c>
      <c r="G120" s="269">
        <f>'Monthly Data'!BF120</f>
        <v>251.79583333333335</v>
      </c>
      <c r="H120" s="269">
        <f>'Monthly Data'!BK120</f>
        <v>15.029166666666661</v>
      </c>
      <c r="I120" s="269">
        <f ca="1">F120*'Monthly Data'!CH120</f>
        <v>1.4097916666666666</v>
      </c>
      <c r="J120" s="18">
        <f>'Monthly Data'!DG120</f>
        <v>2.3760416666666657</v>
      </c>
      <c r="K120" s="1">
        <f>'Monthly Data'!CC120</f>
        <v>119</v>
      </c>
      <c r="M120" s="18"/>
      <c r="N120" s="18">
        <f ca="1">(E120-G120)*'Res Predicted Monthly'!$T$10</f>
        <v>1993366.3569635814</v>
      </c>
      <c r="O120" s="18">
        <f ca="1">(F120-H120)*'Res Predicted Monthly'!$T$11</f>
        <v>-550205.09058256517</v>
      </c>
      <c r="P120" s="18">
        <f ca="1">(I120-J120)*'Res Predicted Monthly'!$T$12</f>
        <v>-14683.765846144974</v>
      </c>
      <c r="Q120" s="18"/>
      <c r="R120" s="259">
        <f t="shared" ca="1" si="12"/>
        <v>42370158.698904715</v>
      </c>
    </row>
    <row r="121" spans="1:18" x14ac:dyDescent="0.25">
      <c r="A121" s="3">
        <v>45627</v>
      </c>
      <c r="B121" s="1">
        <f t="shared" si="14"/>
        <v>2024</v>
      </c>
      <c r="C121" s="1">
        <f t="shared" si="15"/>
        <v>12</v>
      </c>
      <c r="D121" s="259">
        <f ca="1">'Monthly Data'!F121</f>
        <v>47973236.875220634</v>
      </c>
      <c r="E121" s="269">
        <f t="shared" ca="1" si="13"/>
        <v>453.92800724637681</v>
      </c>
      <c r="F121" s="269">
        <f t="shared" ca="1" si="13"/>
        <v>0.12791666666666668</v>
      </c>
      <c r="G121" s="269">
        <f>'Monthly Data'!BF121</f>
        <v>474.57499999999999</v>
      </c>
      <c r="H121" s="269">
        <f>'Monthly Data'!BK121</f>
        <v>0</v>
      </c>
      <c r="I121" s="269">
        <f ca="1">F121*'Monthly Data'!CH121</f>
        <v>3.197916666666667E-2</v>
      </c>
      <c r="J121" s="18">
        <f>'Monthly Data'!DG121</f>
        <v>0</v>
      </c>
      <c r="K121" s="1">
        <f>'Monthly Data'!CC121</f>
        <v>120</v>
      </c>
      <c r="M121" s="18"/>
      <c r="N121" s="18">
        <f ca="1">(E121-G121)*'Res Predicted Monthly'!$T$10</f>
        <v>-739669.93611327966</v>
      </c>
      <c r="O121" s="18">
        <f ca="1">(F121-H121)*'Res Predicted Monthly'!$T$11</f>
        <v>7495.2503908789322</v>
      </c>
      <c r="P121" s="18">
        <f ca="1">(I121-J121)*'Res Predicted Monthly'!$T$12</f>
        <v>485.97629525296583</v>
      </c>
      <c r="Q121" s="18"/>
      <c r="R121" s="259">
        <f t="shared" ca="1" si="12"/>
        <v>47241062.189498231</v>
      </c>
    </row>
    <row r="122" spans="1:18" x14ac:dyDescent="0.25">
      <c r="A122" s="3">
        <v>45658</v>
      </c>
      <c r="B122" s="1">
        <f t="shared" si="14"/>
        <v>2025</v>
      </c>
      <c r="C122" s="1">
        <f t="shared" si="15"/>
        <v>1</v>
      </c>
      <c r="E122" s="280">
        <f t="shared" ref="E122:F130" ca="1" si="16">E110</f>
        <v>573.33418478260865</v>
      </c>
      <c r="F122" s="280">
        <f t="shared" ca="1" si="16"/>
        <v>0</v>
      </c>
      <c r="G122" s="269"/>
      <c r="H122" s="269"/>
      <c r="I122" s="269">
        <f ca="1">F122*0.25</f>
        <v>0</v>
      </c>
      <c r="K122" s="280">
        <f>K121+1</f>
        <v>121</v>
      </c>
      <c r="M122" s="18">
        <f>'Res Predicted Monthly'!$T$9</f>
        <v>24258233.327859402</v>
      </c>
      <c r="N122" s="18">
        <f ca="1">E122*'Res Predicted Monthly'!$T$10</f>
        <v>20539458.936715774</v>
      </c>
      <c r="O122" s="18">
        <f ca="1">F122*'Res Predicted Monthly'!$T$11</f>
        <v>0</v>
      </c>
      <c r="P122" s="18">
        <f ca="1">I122*'Res Predicted Monthly'!$T$12</f>
        <v>0</v>
      </c>
      <c r="Q122" s="18">
        <f>K122*'Res Predicted Monthly'!$T$13</f>
        <v>7704536.3873141613</v>
      </c>
      <c r="R122" s="259">
        <f t="shared" ref="R122:R145" ca="1" si="17">SUM(M122:Q122)</f>
        <v>52502228.651889339</v>
      </c>
    </row>
    <row r="123" spans="1:18" x14ac:dyDescent="0.25">
      <c r="A123" s="3">
        <v>45689</v>
      </c>
      <c r="B123" s="1">
        <f t="shared" si="14"/>
        <v>2025</v>
      </c>
      <c r="C123" s="1">
        <f t="shared" si="15"/>
        <v>2</v>
      </c>
      <c r="E123" s="280">
        <f t="shared" ca="1" si="16"/>
        <v>511.05501811594206</v>
      </c>
      <c r="F123" s="280">
        <f t="shared" ca="1" si="16"/>
        <v>0</v>
      </c>
      <c r="G123" s="269"/>
      <c r="H123" s="269"/>
      <c r="I123" s="269">
        <f t="shared" ref="I123:I145" ca="1" si="18">F123*0.25</f>
        <v>0</v>
      </c>
      <c r="K123" s="280">
        <f t="shared" ref="K123:K145" si="19">K122+1</f>
        <v>122</v>
      </c>
      <c r="M123" s="18">
        <f>'Res Predicted Monthly'!$T$9</f>
        <v>24258233.327859402</v>
      </c>
      <c r="N123" s="18">
        <f ca="1">E123*'Res Predicted Monthly'!$T$10</f>
        <v>18308333.669263069</v>
      </c>
      <c r="O123" s="18">
        <f ca="1">F123*'Res Predicted Monthly'!$T$11</f>
        <v>0</v>
      </c>
      <c r="P123" s="18">
        <f ca="1">I123*'Res Predicted Monthly'!$T$12</f>
        <v>0</v>
      </c>
      <c r="Q123" s="18">
        <f>K123*'Res Predicted Monthly'!$T$13</f>
        <v>7768210.241754774</v>
      </c>
      <c r="R123" s="259">
        <f t="shared" ca="1" si="17"/>
        <v>50334777.238877237</v>
      </c>
    </row>
    <row r="124" spans="1:18" x14ac:dyDescent="0.25">
      <c r="A124" s="3">
        <v>45717</v>
      </c>
      <c r="B124" s="1">
        <f t="shared" si="14"/>
        <v>2025</v>
      </c>
      <c r="C124" s="1">
        <f t="shared" si="15"/>
        <v>3</v>
      </c>
      <c r="E124" s="280">
        <f t="shared" ca="1" si="16"/>
        <v>422.13298913043479</v>
      </c>
      <c r="F124" s="280">
        <f t="shared" ca="1" si="16"/>
        <v>0.51874999999999927</v>
      </c>
      <c r="G124" s="269"/>
      <c r="H124" s="269"/>
      <c r="I124" s="269">
        <f t="shared" ca="1" si="18"/>
        <v>0.12968749999999982</v>
      </c>
      <c r="K124" s="280">
        <f t="shared" si="19"/>
        <v>123</v>
      </c>
      <c r="M124" s="18">
        <f>'Res Predicted Monthly'!$T$9</f>
        <v>24258233.327859402</v>
      </c>
      <c r="N124" s="18">
        <f ca="1">E124*'Res Predicted Monthly'!$T$10</f>
        <v>15122738.929940492</v>
      </c>
      <c r="O124" s="18">
        <f ca="1">F124*'Res Predicted Monthly'!$T$11</f>
        <v>30396.048002098556</v>
      </c>
      <c r="P124" s="18">
        <f ca="1">I124*'Res Predicted Monthly'!$T$12</f>
        <v>1970.8159204884091</v>
      </c>
      <c r="Q124" s="18">
        <f>K124*'Res Predicted Monthly'!$T$13</f>
        <v>7831884.0961953867</v>
      </c>
      <c r="R124" s="259">
        <f t="shared" ca="1" si="17"/>
        <v>47245223.217917867</v>
      </c>
    </row>
    <row r="125" spans="1:18" x14ac:dyDescent="0.25">
      <c r="A125" s="3">
        <v>45748</v>
      </c>
      <c r="B125" s="1">
        <f t="shared" si="14"/>
        <v>2025</v>
      </c>
      <c r="C125" s="1">
        <f t="shared" si="15"/>
        <v>4</v>
      </c>
      <c r="E125" s="280">
        <f t="shared" ca="1" si="16"/>
        <v>234.57024621212122</v>
      </c>
      <c r="F125" s="280">
        <f t="shared" ca="1" si="16"/>
        <v>12.79125</v>
      </c>
      <c r="G125" s="269"/>
      <c r="H125" s="269"/>
      <c r="I125" s="269">
        <f t="shared" ca="1" si="18"/>
        <v>3.1978124999999999</v>
      </c>
      <c r="K125" s="280">
        <f t="shared" si="19"/>
        <v>124</v>
      </c>
      <c r="M125" s="18">
        <f>'Res Predicted Monthly'!$T$9</f>
        <v>24258233.327859402</v>
      </c>
      <c r="N125" s="18">
        <f ca="1">E125*'Res Predicted Monthly'!$T$10</f>
        <v>8403381.6013883688</v>
      </c>
      <c r="O125" s="18">
        <f ca="1">F125*'Res Predicted Monthly'!$T$11</f>
        <v>749500.62459150597</v>
      </c>
      <c r="P125" s="18">
        <f ca="1">I125*'Res Predicted Monthly'!$T$12</f>
        <v>48596.046540621486</v>
      </c>
      <c r="Q125" s="18">
        <f>K125*'Res Predicted Monthly'!$T$13</f>
        <v>7895557.9506359994</v>
      </c>
      <c r="R125" s="259">
        <f t="shared" ca="1" si="17"/>
        <v>41355269.551015899</v>
      </c>
    </row>
    <row r="126" spans="1:18" x14ac:dyDescent="0.25">
      <c r="A126" s="3">
        <v>45778</v>
      </c>
      <c r="B126" s="1">
        <f t="shared" si="14"/>
        <v>2025</v>
      </c>
      <c r="C126" s="1">
        <f t="shared" si="15"/>
        <v>5</v>
      </c>
      <c r="E126" s="280">
        <f t="shared" ca="1" si="16"/>
        <v>64.294809115179262</v>
      </c>
      <c r="F126" s="280">
        <f t="shared" ca="1" si="16"/>
        <v>130.22445928308915</v>
      </c>
      <c r="G126" s="269"/>
      <c r="H126" s="269"/>
      <c r="I126" s="269">
        <f t="shared" ca="1" si="18"/>
        <v>32.556114820772287</v>
      </c>
      <c r="K126" s="280">
        <f t="shared" si="19"/>
        <v>125</v>
      </c>
      <c r="M126" s="18">
        <f>'Res Predicted Monthly'!$T$9</f>
        <v>24258233.327859402</v>
      </c>
      <c r="N126" s="18">
        <f ca="1">E126*'Res Predicted Monthly'!$T$10</f>
        <v>2303334.8206263483</v>
      </c>
      <c r="O126" s="18">
        <f ca="1">F126*'Res Predicted Monthly'!$T$11</f>
        <v>7630475.0176696144</v>
      </c>
      <c r="P126" s="18">
        <f ca="1">I126*'Res Predicted Monthly'!$T$12</f>
        <v>494743.9760811702</v>
      </c>
      <c r="Q126" s="18">
        <f>K126*'Res Predicted Monthly'!$T$13</f>
        <v>7959231.8050766122</v>
      </c>
      <c r="R126" s="259">
        <f t="shared" ca="1" si="17"/>
        <v>42646018.947313152</v>
      </c>
    </row>
    <row r="127" spans="1:18" x14ac:dyDescent="0.25">
      <c r="A127" s="3">
        <v>45809</v>
      </c>
      <c r="B127" s="1">
        <f t="shared" si="14"/>
        <v>2025</v>
      </c>
      <c r="C127" s="1">
        <f t="shared" si="15"/>
        <v>6</v>
      </c>
      <c r="E127" s="280">
        <f t="shared" ca="1" si="16"/>
        <v>3.2341666666666669</v>
      </c>
      <c r="F127" s="280">
        <f t="shared" ca="1" si="16"/>
        <v>254.51826754405016</v>
      </c>
      <c r="G127" s="269"/>
      <c r="H127" s="269"/>
      <c r="I127" s="269">
        <f t="shared" ca="1" si="18"/>
        <v>63.62956688601254</v>
      </c>
      <c r="K127" s="280">
        <f t="shared" si="19"/>
        <v>126</v>
      </c>
      <c r="M127" s="18">
        <f>'Res Predicted Monthly'!$T$9</f>
        <v>24258233.327859402</v>
      </c>
      <c r="N127" s="18">
        <f ca="1">E127*'Res Predicted Monthly'!$T$10</f>
        <v>115862.67696506267</v>
      </c>
      <c r="O127" s="18">
        <f ca="1">F127*'Res Predicted Monthly'!$T$11</f>
        <v>14913444.776250454</v>
      </c>
      <c r="P127" s="18">
        <f ca="1">I127*'Res Predicted Monthly'!$T$12</f>
        <v>966956.44092711923</v>
      </c>
      <c r="Q127" s="18">
        <f>K127*'Res Predicted Monthly'!$T$13</f>
        <v>8022905.6595172258</v>
      </c>
      <c r="R127" s="259">
        <f t="shared" ca="1" si="17"/>
        <v>48277402.881519265</v>
      </c>
    </row>
    <row r="128" spans="1:18" x14ac:dyDescent="0.25">
      <c r="A128" s="3">
        <v>45839</v>
      </c>
      <c r="B128" s="1">
        <f t="shared" si="14"/>
        <v>2025</v>
      </c>
      <c r="C128" s="1">
        <f t="shared" si="15"/>
        <v>7</v>
      </c>
      <c r="E128" s="280">
        <f t="shared" ca="1" si="16"/>
        <v>0</v>
      </c>
      <c r="F128" s="280">
        <f t="shared" ca="1" si="16"/>
        <v>359.94737858727854</v>
      </c>
      <c r="G128" s="269"/>
      <c r="H128" s="269"/>
      <c r="I128" s="269">
        <f t="shared" ca="1" si="18"/>
        <v>89.986844646819634</v>
      </c>
      <c r="K128" s="280">
        <f t="shared" si="19"/>
        <v>127</v>
      </c>
      <c r="M128" s="18">
        <f>'Res Predicted Monthly'!$T$9</f>
        <v>24258233.327859402</v>
      </c>
      <c r="N128" s="18">
        <f ca="1">E128*'Res Predicted Monthly'!$T$10</f>
        <v>0</v>
      </c>
      <c r="O128" s="18">
        <f ca="1">F128*'Res Predicted Monthly'!$T$11</f>
        <v>21091041.537866943</v>
      </c>
      <c r="P128" s="18">
        <f ca="1">I128*'Res Predicted Monthly'!$T$12</f>
        <v>1367498.8419428978</v>
      </c>
      <c r="Q128" s="18">
        <f>K128*'Res Predicted Monthly'!$T$13</f>
        <v>8086579.5139578385</v>
      </c>
      <c r="R128" s="259">
        <f t="shared" ca="1" si="17"/>
        <v>54803353.221627079</v>
      </c>
    </row>
    <row r="129" spans="1:18" x14ac:dyDescent="0.25">
      <c r="A129" s="3">
        <v>45870</v>
      </c>
      <c r="B129" s="1">
        <f t="shared" si="14"/>
        <v>2025</v>
      </c>
      <c r="C129" s="1">
        <f t="shared" si="15"/>
        <v>8</v>
      </c>
      <c r="E129" s="280">
        <f t="shared" ca="1" si="16"/>
        <v>0</v>
      </c>
      <c r="F129" s="280">
        <f t="shared" ca="1" si="16"/>
        <v>334.96558794466404</v>
      </c>
      <c r="G129" s="269"/>
      <c r="H129" s="269"/>
      <c r="I129" s="269">
        <f t="shared" ca="1" si="18"/>
        <v>83.741396986166009</v>
      </c>
      <c r="K129" s="280">
        <f t="shared" si="19"/>
        <v>128</v>
      </c>
      <c r="M129" s="18">
        <f>'Res Predicted Monthly'!$T$9</f>
        <v>24258233.327859402</v>
      </c>
      <c r="N129" s="18">
        <f ca="1">E129*'Res Predicted Monthly'!$T$10</f>
        <v>0</v>
      </c>
      <c r="O129" s="18">
        <f ca="1">F129*'Res Predicted Monthly'!$T$11</f>
        <v>19627238.728129521</v>
      </c>
      <c r="P129" s="18">
        <f ca="1">I129*'Res Predicted Monthly'!$T$12</f>
        <v>1272588.9417582748</v>
      </c>
      <c r="Q129" s="18">
        <f>K129*'Res Predicted Monthly'!$T$13</f>
        <v>8150253.3683984512</v>
      </c>
      <c r="R129" s="259">
        <f t="shared" ca="1" si="17"/>
        <v>53308314.366145648</v>
      </c>
    </row>
    <row r="130" spans="1:18" x14ac:dyDescent="0.25">
      <c r="A130" s="3">
        <v>45901</v>
      </c>
      <c r="B130" s="1">
        <f t="shared" si="14"/>
        <v>2025</v>
      </c>
      <c r="C130" s="1">
        <f t="shared" si="15"/>
        <v>9</v>
      </c>
      <c r="E130" s="280">
        <f t="shared" ca="1" si="16"/>
        <v>10.413369565217392</v>
      </c>
      <c r="F130" s="280">
        <f t="shared" ca="1" si="16"/>
        <v>216.57430900621117</v>
      </c>
      <c r="G130" s="269"/>
      <c r="H130" s="269"/>
      <c r="I130" s="269">
        <f t="shared" ca="1" si="18"/>
        <v>54.143577251552792</v>
      </c>
      <c r="K130" s="280">
        <f t="shared" si="19"/>
        <v>129</v>
      </c>
      <c r="M130" s="18">
        <f>'Res Predicted Monthly'!$T$9</f>
        <v>24258233.327859402</v>
      </c>
      <c r="N130" s="18">
        <f ca="1">E130*'Res Predicted Monthly'!$T$10</f>
        <v>373054.63768696657</v>
      </c>
      <c r="O130" s="18">
        <f ca="1">F130*'Res Predicted Monthly'!$T$11</f>
        <v>12690126.443516394</v>
      </c>
      <c r="P130" s="18">
        <f ca="1">I130*'Res Predicted Monthly'!$T$12</f>
        <v>822801.14922066079</v>
      </c>
      <c r="Q130" s="18">
        <f>K130*'Res Predicted Monthly'!$T$13</f>
        <v>8213927.222839064</v>
      </c>
      <c r="R130" s="259">
        <f t="shared" ca="1" si="17"/>
        <v>46358142.781122491</v>
      </c>
    </row>
    <row r="131" spans="1:18" x14ac:dyDescent="0.25">
      <c r="A131" s="3">
        <v>45931</v>
      </c>
      <c r="B131" s="1">
        <f t="shared" si="14"/>
        <v>2025</v>
      </c>
      <c r="C131" s="1">
        <f t="shared" si="15"/>
        <v>10</v>
      </c>
      <c r="E131" s="280">
        <f t="shared" ref="E131:F145" ca="1" si="20">E119</f>
        <v>130.19639492753623</v>
      </c>
      <c r="F131" s="280">
        <f t="shared" ca="1" si="20"/>
        <v>62.266666666666673</v>
      </c>
      <c r="G131" s="269"/>
      <c r="H131" s="269"/>
      <c r="I131" s="269">
        <f t="shared" ca="1" si="18"/>
        <v>15.566666666666668</v>
      </c>
      <c r="K131" s="280">
        <f t="shared" si="19"/>
        <v>130</v>
      </c>
      <c r="M131" s="18">
        <f>'Res Predicted Monthly'!$T$9</f>
        <v>24258233.327859402</v>
      </c>
      <c r="N131" s="18">
        <f ca="1">E131*'Res Predicted Monthly'!$T$10</f>
        <v>4664231.7487775888</v>
      </c>
      <c r="O131" s="18">
        <f ca="1">F131*'Res Predicted Monthly'!$T$11</f>
        <v>3648502.3401073213</v>
      </c>
      <c r="P131" s="18">
        <f ca="1">I131*'Res Predicted Monthly'!$T$12</f>
        <v>236561.2298456131</v>
      </c>
      <c r="Q131" s="18">
        <f>K131*'Res Predicted Monthly'!$T$13</f>
        <v>8277601.0772796767</v>
      </c>
      <c r="R131" s="259">
        <f t="shared" ca="1" si="17"/>
        <v>41085129.723869607</v>
      </c>
    </row>
    <row r="132" spans="1:18" x14ac:dyDescent="0.25">
      <c r="A132" s="3">
        <v>45962</v>
      </c>
      <c r="B132" s="1">
        <f t="shared" si="14"/>
        <v>2025</v>
      </c>
      <c r="C132" s="1">
        <f t="shared" si="15"/>
        <v>11</v>
      </c>
      <c r="E132" s="280">
        <f t="shared" ca="1" si="20"/>
        <v>307.43824722379077</v>
      </c>
      <c r="F132" s="280">
        <f t="shared" ca="1" si="20"/>
        <v>5.6391666666666662</v>
      </c>
      <c r="G132" s="269"/>
      <c r="H132" s="269"/>
      <c r="I132" s="269">
        <f t="shared" ca="1" si="18"/>
        <v>1.4097916666666666</v>
      </c>
      <c r="K132" s="280">
        <f t="shared" si="19"/>
        <v>131</v>
      </c>
      <c r="M132" s="18">
        <f>'Res Predicted Monthly'!$T$9</f>
        <v>24258233.327859402</v>
      </c>
      <c r="N132" s="18">
        <f ca="1">E132*'Res Predicted Monthly'!$T$10</f>
        <v>11013847.459354334</v>
      </c>
      <c r="O132" s="18">
        <f ca="1">F132*'Res Predicted Monthly'!$T$11</f>
        <v>330425.7941047409</v>
      </c>
      <c r="P132" s="18">
        <f ca="1">I132*'Res Predicted Monthly'!$T$12</f>
        <v>21424.114592682861</v>
      </c>
      <c r="Q132" s="18">
        <f>K132*'Res Predicted Monthly'!$T$13</f>
        <v>8341274.9317202903</v>
      </c>
      <c r="R132" s="259">
        <f t="shared" ca="1" si="17"/>
        <v>43965205.627631456</v>
      </c>
    </row>
    <row r="133" spans="1:18" x14ac:dyDescent="0.25">
      <c r="A133" s="3">
        <v>45992</v>
      </c>
      <c r="B133" s="1">
        <f t="shared" si="14"/>
        <v>2025</v>
      </c>
      <c r="C133" s="1">
        <f t="shared" si="15"/>
        <v>12</v>
      </c>
      <c r="E133" s="280">
        <f t="shared" ca="1" si="20"/>
        <v>453.92800724637681</v>
      </c>
      <c r="F133" s="280">
        <f t="shared" ca="1" si="20"/>
        <v>0.12791666666666668</v>
      </c>
      <c r="G133" s="269"/>
      <c r="H133" s="269"/>
      <c r="I133" s="269">
        <f t="shared" ca="1" si="18"/>
        <v>3.197916666666667E-2</v>
      </c>
      <c r="K133" s="280">
        <f t="shared" si="19"/>
        <v>132</v>
      </c>
      <c r="M133" s="18">
        <f>'Res Predicted Monthly'!$T$9</f>
        <v>24258233.327859402</v>
      </c>
      <c r="N133" s="18">
        <f ca="1">E133*'Res Predicted Monthly'!$T$10</f>
        <v>16261782.242406053</v>
      </c>
      <c r="O133" s="18">
        <f ca="1">F133*'Res Predicted Monthly'!$T$11</f>
        <v>7495.2503908789322</v>
      </c>
      <c r="P133" s="18">
        <f ca="1">I133*'Res Predicted Monthly'!$T$12</f>
        <v>485.97629525296583</v>
      </c>
      <c r="Q133" s="18">
        <f>K133*'Res Predicted Monthly'!$T$13</f>
        <v>8404948.7861609031</v>
      </c>
      <c r="R133" s="259">
        <f t="shared" ca="1" si="17"/>
        <v>48932945.583112493</v>
      </c>
    </row>
    <row r="134" spans="1:18" x14ac:dyDescent="0.25">
      <c r="A134" s="3">
        <v>46023</v>
      </c>
      <c r="B134" s="1">
        <f t="shared" ref="B134:B145" si="21">YEAR(A134)</f>
        <v>2026</v>
      </c>
      <c r="C134" s="1">
        <f t="shared" ref="C134:C145" si="22">MONTH(A134)</f>
        <v>1</v>
      </c>
      <c r="E134" s="280">
        <f t="shared" ca="1" si="20"/>
        <v>573.33418478260865</v>
      </c>
      <c r="F134" s="280">
        <f t="shared" ca="1" si="20"/>
        <v>0</v>
      </c>
      <c r="G134" s="269"/>
      <c r="H134" s="269"/>
      <c r="I134" s="269">
        <f t="shared" ca="1" si="18"/>
        <v>0</v>
      </c>
      <c r="K134" s="280">
        <f t="shared" si="19"/>
        <v>133</v>
      </c>
      <c r="M134" s="18">
        <f>'Res Predicted Monthly'!$T$9</f>
        <v>24258233.327859402</v>
      </c>
      <c r="N134" s="18">
        <f ca="1">E134*'Res Predicted Monthly'!$T$10</f>
        <v>20539458.936715774</v>
      </c>
      <c r="O134" s="18">
        <f ca="1">F134*'Res Predicted Monthly'!$T$11</f>
        <v>0</v>
      </c>
      <c r="P134" s="18">
        <f ca="1">I134*'Res Predicted Monthly'!$T$12</f>
        <v>0</v>
      </c>
      <c r="Q134" s="18">
        <f>K134*'Res Predicted Monthly'!$T$13</f>
        <v>8468622.6406015158</v>
      </c>
      <c r="R134" s="259">
        <f t="shared" ca="1" si="17"/>
        <v>53266314.905176692</v>
      </c>
    </row>
    <row r="135" spans="1:18" x14ac:dyDescent="0.25">
      <c r="A135" s="3">
        <v>46054</v>
      </c>
      <c r="B135" s="1">
        <f t="shared" si="21"/>
        <v>2026</v>
      </c>
      <c r="C135" s="1">
        <f t="shared" si="22"/>
        <v>2</v>
      </c>
      <c r="E135" s="280">
        <f t="shared" ca="1" si="20"/>
        <v>511.05501811594206</v>
      </c>
      <c r="F135" s="280">
        <f t="shared" ca="1" si="20"/>
        <v>0</v>
      </c>
      <c r="G135" s="269"/>
      <c r="H135" s="269"/>
      <c r="I135" s="269">
        <f t="shared" ca="1" si="18"/>
        <v>0</v>
      </c>
      <c r="K135" s="280">
        <f t="shared" si="19"/>
        <v>134</v>
      </c>
      <c r="M135" s="18">
        <f>'Res Predicted Monthly'!$T$9</f>
        <v>24258233.327859402</v>
      </c>
      <c r="N135" s="18">
        <f ca="1">E135*'Res Predicted Monthly'!$T$10</f>
        <v>18308333.669263069</v>
      </c>
      <c r="O135" s="18">
        <f ca="1">F135*'Res Predicted Monthly'!$T$11</f>
        <v>0</v>
      </c>
      <c r="P135" s="18">
        <f ca="1">I135*'Res Predicted Monthly'!$T$12</f>
        <v>0</v>
      </c>
      <c r="Q135" s="18">
        <f>K135*'Res Predicted Monthly'!$T$13</f>
        <v>8532296.4950421285</v>
      </c>
      <c r="R135" s="259">
        <f t="shared" ca="1" si="17"/>
        <v>51098863.492164597</v>
      </c>
    </row>
    <row r="136" spans="1:18" x14ac:dyDescent="0.25">
      <c r="A136" s="3">
        <v>46082</v>
      </c>
      <c r="B136" s="1">
        <f t="shared" si="21"/>
        <v>2026</v>
      </c>
      <c r="C136" s="1">
        <f t="shared" si="22"/>
        <v>3</v>
      </c>
      <c r="E136" s="280">
        <f t="shared" ca="1" si="20"/>
        <v>422.13298913043479</v>
      </c>
      <c r="F136" s="280">
        <f t="shared" ca="1" si="20"/>
        <v>0.51874999999999927</v>
      </c>
      <c r="G136" s="269"/>
      <c r="H136" s="269"/>
      <c r="I136" s="269">
        <f t="shared" ca="1" si="18"/>
        <v>0.12968749999999982</v>
      </c>
      <c r="K136" s="280">
        <f t="shared" si="19"/>
        <v>135</v>
      </c>
      <c r="M136" s="18">
        <f>'Res Predicted Monthly'!$T$9</f>
        <v>24258233.327859402</v>
      </c>
      <c r="N136" s="18">
        <f ca="1">E136*'Res Predicted Monthly'!$T$10</f>
        <v>15122738.929940492</v>
      </c>
      <c r="O136" s="18">
        <f ca="1">F136*'Res Predicted Monthly'!$T$11</f>
        <v>30396.048002098556</v>
      </c>
      <c r="P136" s="18">
        <f ca="1">I136*'Res Predicted Monthly'!$T$12</f>
        <v>1970.8159204884091</v>
      </c>
      <c r="Q136" s="18">
        <f>K136*'Res Predicted Monthly'!$T$13</f>
        <v>8595970.3494827412</v>
      </c>
      <c r="R136" s="259">
        <f t="shared" ca="1" si="17"/>
        <v>48009309.47120522</v>
      </c>
    </row>
    <row r="137" spans="1:18" x14ac:dyDescent="0.25">
      <c r="A137" s="3">
        <v>46113</v>
      </c>
      <c r="B137" s="1">
        <f t="shared" si="21"/>
        <v>2026</v>
      </c>
      <c r="C137" s="1">
        <f t="shared" si="22"/>
        <v>4</v>
      </c>
      <c r="E137" s="280">
        <f t="shared" ca="1" si="20"/>
        <v>234.57024621212122</v>
      </c>
      <c r="F137" s="280">
        <f t="shared" ca="1" si="20"/>
        <v>12.79125</v>
      </c>
      <c r="G137" s="269"/>
      <c r="H137" s="269"/>
      <c r="I137" s="269">
        <f t="shared" ca="1" si="18"/>
        <v>3.1978124999999999</v>
      </c>
      <c r="K137" s="280">
        <f t="shared" si="19"/>
        <v>136</v>
      </c>
      <c r="M137" s="18">
        <f>'Res Predicted Monthly'!$T$9</f>
        <v>24258233.327859402</v>
      </c>
      <c r="N137" s="18">
        <f ca="1">E137*'Res Predicted Monthly'!$T$10</f>
        <v>8403381.6013883688</v>
      </c>
      <c r="O137" s="18">
        <f ca="1">F137*'Res Predicted Monthly'!$T$11</f>
        <v>749500.62459150597</v>
      </c>
      <c r="P137" s="18">
        <f ca="1">I137*'Res Predicted Monthly'!$T$12</f>
        <v>48596.046540621486</v>
      </c>
      <c r="Q137" s="18">
        <f>K137*'Res Predicted Monthly'!$T$13</f>
        <v>8659644.2039233539</v>
      </c>
      <c r="R137" s="259">
        <f t="shared" ca="1" si="17"/>
        <v>42119355.804303251</v>
      </c>
    </row>
    <row r="138" spans="1:18" x14ac:dyDescent="0.25">
      <c r="A138" s="3">
        <v>46143</v>
      </c>
      <c r="B138" s="1">
        <f t="shared" si="21"/>
        <v>2026</v>
      </c>
      <c r="C138" s="1">
        <f t="shared" si="22"/>
        <v>5</v>
      </c>
      <c r="E138" s="280">
        <f t="shared" ca="1" si="20"/>
        <v>64.294809115179262</v>
      </c>
      <c r="F138" s="280">
        <f t="shared" ca="1" si="20"/>
        <v>130.22445928308915</v>
      </c>
      <c r="G138" s="269"/>
      <c r="H138" s="269"/>
      <c r="I138" s="269">
        <f t="shared" ca="1" si="18"/>
        <v>32.556114820772287</v>
      </c>
      <c r="K138" s="280">
        <f t="shared" si="19"/>
        <v>137</v>
      </c>
      <c r="M138" s="18">
        <f>'Res Predicted Monthly'!$T$9</f>
        <v>24258233.327859402</v>
      </c>
      <c r="N138" s="18">
        <f ca="1">E138*'Res Predicted Monthly'!$T$10</f>
        <v>2303334.8206263483</v>
      </c>
      <c r="O138" s="18">
        <f ca="1">F138*'Res Predicted Monthly'!$T$11</f>
        <v>7630475.0176696144</v>
      </c>
      <c r="P138" s="18">
        <f ca="1">I138*'Res Predicted Monthly'!$T$12</f>
        <v>494743.9760811702</v>
      </c>
      <c r="Q138" s="18">
        <f>K138*'Res Predicted Monthly'!$T$13</f>
        <v>8723318.0583639666</v>
      </c>
      <c r="R138" s="259">
        <f t="shared" ca="1" si="17"/>
        <v>43410105.200600505</v>
      </c>
    </row>
    <row r="139" spans="1:18" x14ac:dyDescent="0.25">
      <c r="A139" s="3">
        <v>46174</v>
      </c>
      <c r="B139" s="1">
        <f t="shared" si="21"/>
        <v>2026</v>
      </c>
      <c r="C139" s="1">
        <f t="shared" si="22"/>
        <v>6</v>
      </c>
      <c r="E139" s="280">
        <f t="shared" ca="1" si="20"/>
        <v>3.2341666666666669</v>
      </c>
      <c r="F139" s="280">
        <f t="shared" ca="1" si="20"/>
        <v>254.51826754405016</v>
      </c>
      <c r="G139" s="269"/>
      <c r="H139" s="269"/>
      <c r="I139" s="269">
        <f t="shared" ca="1" si="18"/>
        <v>63.62956688601254</v>
      </c>
      <c r="K139" s="280">
        <f t="shared" si="19"/>
        <v>138</v>
      </c>
      <c r="M139" s="18">
        <f>'Res Predicted Monthly'!$T$9</f>
        <v>24258233.327859402</v>
      </c>
      <c r="N139" s="18">
        <f ca="1">E139*'Res Predicted Monthly'!$T$10</f>
        <v>115862.67696506267</v>
      </c>
      <c r="O139" s="18">
        <f ca="1">F139*'Res Predicted Monthly'!$T$11</f>
        <v>14913444.776250454</v>
      </c>
      <c r="P139" s="18">
        <f ca="1">I139*'Res Predicted Monthly'!$T$12</f>
        <v>966956.44092711923</v>
      </c>
      <c r="Q139" s="18">
        <f>K139*'Res Predicted Monthly'!$T$13</f>
        <v>8786991.9128045794</v>
      </c>
      <c r="R139" s="259">
        <f t="shared" ca="1" si="17"/>
        <v>49041489.134806618</v>
      </c>
    </row>
    <row r="140" spans="1:18" x14ac:dyDescent="0.25">
      <c r="A140" s="3">
        <v>46204</v>
      </c>
      <c r="B140" s="1">
        <f t="shared" si="21"/>
        <v>2026</v>
      </c>
      <c r="C140" s="1">
        <f t="shared" si="22"/>
        <v>7</v>
      </c>
      <c r="E140" s="280">
        <f t="shared" ca="1" si="20"/>
        <v>0</v>
      </c>
      <c r="F140" s="280">
        <f t="shared" ca="1" si="20"/>
        <v>359.94737858727854</v>
      </c>
      <c r="G140" s="269"/>
      <c r="H140" s="269"/>
      <c r="I140" s="269">
        <f t="shared" ca="1" si="18"/>
        <v>89.986844646819634</v>
      </c>
      <c r="K140" s="280">
        <f t="shared" si="19"/>
        <v>139</v>
      </c>
      <c r="M140" s="18">
        <f>'Res Predicted Monthly'!$T$9</f>
        <v>24258233.327859402</v>
      </c>
      <c r="N140" s="18">
        <f ca="1">E140*'Res Predicted Monthly'!$T$10</f>
        <v>0</v>
      </c>
      <c r="O140" s="18">
        <f ca="1">F140*'Res Predicted Monthly'!$T$11</f>
        <v>21091041.537866943</v>
      </c>
      <c r="P140" s="18">
        <f ca="1">I140*'Res Predicted Monthly'!$T$12</f>
        <v>1367498.8419428978</v>
      </c>
      <c r="Q140" s="18">
        <f>K140*'Res Predicted Monthly'!$T$13</f>
        <v>8850665.7672451939</v>
      </c>
      <c r="R140" s="259">
        <f t="shared" ca="1" si="17"/>
        <v>55567439.474914439</v>
      </c>
    </row>
    <row r="141" spans="1:18" x14ac:dyDescent="0.25">
      <c r="A141" s="3">
        <v>46235</v>
      </c>
      <c r="B141" s="1">
        <f t="shared" si="21"/>
        <v>2026</v>
      </c>
      <c r="C141" s="1">
        <f t="shared" si="22"/>
        <v>8</v>
      </c>
      <c r="E141" s="280">
        <f t="shared" ca="1" si="20"/>
        <v>0</v>
      </c>
      <c r="F141" s="280">
        <f t="shared" ca="1" si="20"/>
        <v>334.96558794466404</v>
      </c>
      <c r="G141" s="269"/>
      <c r="H141" s="269"/>
      <c r="I141" s="269">
        <f t="shared" ca="1" si="18"/>
        <v>83.741396986166009</v>
      </c>
      <c r="K141" s="280">
        <f t="shared" si="19"/>
        <v>140</v>
      </c>
      <c r="M141" s="18">
        <f>'Res Predicted Monthly'!$T$9</f>
        <v>24258233.327859402</v>
      </c>
      <c r="N141" s="18">
        <f ca="1">E141*'Res Predicted Monthly'!$T$10</f>
        <v>0</v>
      </c>
      <c r="O141" s="18">
        <f ca="1">F141*'Res Predicted Monthly'!$T$11</f>
        <v>19627238.728129521</v>
      </c>
      <c r="P141" s="18">
        <f ca="1">I141*'Res Predicted Monthly'!$T$12</f>
        <v>1272588.9417582748</v>
      </c>
      <c r="Q141" s="18">
        <f>K141*'Res Predicted Monthly'!$T$13</f>
        <v>8914339.6216858067</v>
      </c>
      <c r="R141" s="259">
        <f t="shared" ca="1" si="17"/>
        <v>54072400.619433001</v>
      </c>
    </row>
    <row r="142" spans="1:18" x14ac:dyDescent="0.25">
      <c r="A142" s="3">
        <v>46266</v>
      </c>
      <c r="B142" s="1">
        <f t="shared" si="21"/>
        <v>2026</v>
      </c>
      <c r="C142" s="1">
        <f t="shared" si="22"/>
        <v>9</v>
      </c>
      <c r="E142" s="280">
        <f t="shared" ca="1" si="20"/>
        <v>10.413369565217392</v>
      </c>
      <c r="F142" s="280">
        <f t="shared" ca="1" si="20"/>
        <v>216.57430900621117</v>
      </c>
      <c r="G142" s="269"/>
      <c r="H142" s="269"/>
      <c r="I142" s="269">
        <f t="shared" ca="1" si="18"/>
        <v>54.143577251552792</v>
      </c>
      <c r="K142" s="280">
        <f t="shared" si="19"/>
        <v>141</v>
      </c>
      <c r="M142" s="18">
        <f>'Res Predicted Monthly'!$T$9</f>
        <v>24258233.327859402</v>
      </c>
      <c r="N142" s="18">
        <f ca="1">E142*'Res Predicted Monthly'!$T$10</f>
        <v>373054.63768696657</v>
      </c>
      <c r="O142" s="18">
        <f ca="1">F142*'Res Predicted Monthly'!$T$11</f>
        <v>12690126.443516394</v>
      </c>
      <c r="P142" s="18">
        <f ca="1">I142*'Res Predicted Monthly'!$T$12</f>
        <v>822801.14922066079</v>
      </c>
      <c r="Q142" s="18">
        <f>K142*'Res Predicted Monthly'!$T$13</f>
        <v>8978013.4761264194</v>
      </c>
      <c r="R142" s="259">
        <f t="shared" ca="1" si="17"/>
        <v>47122229.034409843</v>
      </c>
    </row>
    <row r="143" spans="1:18" x14ac:dyDescent="0.25">
      <c r="A143" s="3">
        <v>46296</v>
      </c>
      <c r="B143" s="1">
        <f t="shared" si="21"/>
        <v>2026</v>
      </c>
      <c r="C143" s="1">
        <f t="shared" si="22"/>
        <v>10</v>
      </c>
      <c r="E143" s="280">
        <f t="shared" ca="1" si="20"/>
        <v>130.19639492753623</v>
      </c>
      <c r="F143" s="280">
        <f t="shared" ca="1" si="20"/>
        <v>62.266666666666673</v>
      </c>
      <c r="G143" s="269"/>
      <c r="H143" s="269"/>
      <c r="I143" s="269">
        <f t="shared" ca="1" si="18"/>
        <v>15.566666666666668</v>
      </c>
      <c r="K143" s="280">
        <f t="shared" si="19"/>
        <v>142</v>
      </c>
      <c r="M143" s="18">
        <f>'Res Predicted Monthly'!$T$9</f>
        <v>24258233.327859402</v>
      </c>
      <c r="N143" s="18">
        <f ca="1">E143*'Res Predicted Monthly'!$T$10</f>
        <v>4664231.7487775888</v>
      </c>
      <c r="O143" s="18">
        <f ca="1">F143*'Res Predicted Monthly'!$T$11</f>
        <v>3648502.3401073213</v>
      </c>
      <c r="P143" s="18">
        <f ca="1">I143*'Res Predicted Monthly'!$T$12</f>
        <v>236561.2298456131</v>
      </c>
      <c r="Q143" s="18">
        <f>K143*'Res Predicted Monthly'!$T$13</f>
        <v>9041687.3305670321</v>
      </c>
      <c r="R143" s="259">
        <f t="shared" ca="1" si="17"/>
        <v>41849215.977156959</v>
      </c>
    </row>
    <row r="144" spans="1:18" x14ac:dyDescent="0.25">
      <c r="A144" s="3">
        <v>46327</v>
      </c>
      <c r="B144" s="1">
        <f t="shared" si="21"/>
        <v>2026</v>
      </c>
      <c r="C144" s="1">
        <f t="shared" si="22"/>
        <v>11</v>
      </c>
      <c r="E144" s="280">
        <f t="shared" ca="1" si="20"/>
        <v>307.43824722379077</v>
      </c>
      <c r="F144" s="280">
        <f t="shared" ca="1" si="20"/>
        <v>5.6391666666666662</v>
      </c>
      <c r="G144" s="269"/>
      <c r="H144" s="269"/>
      <c r="I144" s="269">
        <f t="shared" ca="1" si="18"/>
        <v>1.4097916666666666</v>
      </c>
      <c r="K144" s="280">
        <f t="shared" si="19"/>
        <v>143</v>
      </c>
      <c r="M144" s="18">
        <f>'Res Predicted Monthly'!$T$9</f>
        <v>24258233.327859402</v>
      </c>
      <c r="N144" s="18">
        <f ca="1">E144*'Res Predicted Monthly'!$T$10</f>
        <v>11013847.459354334</v>
      </c>
      <c r="O144" s="18">
        <f ca="1">F144*'Res Predicted Monthly'!$T$11</f>
        <v>330425.7941047409</v>
      </c>
      <c r="P144" s="18">
        <f ca="1">I144*'Res Predicted Monthly'!$T$12</f>
        <v>21424.114592682861</v>
      </c>
      <c r="Q144" s="18">
        <f>K144*'Res Predicted Monthly'!$T$13</f>
        <v>9105361.1850076448</v>
      </c>
      <c r="R144" s="259">
        <f t="shared" ca="1" si="17"/>
        <v>44729291.880918808</v>
      </c>
    </row>
    <row r="145" spans="1:18" x14ac:dyDescent="0.25">
      <c r="A145" s="3">
        <v>46357</v>
      </c>
      <c r="B145" s="1">
        <f t="shared" si="21"/>
        <v>2026</v>
      </c>
      <c r="C145" s="1">
        <f t="shared" si="22"/>
        <v>12</v>
      </c>
      <c r="E145" s="280">
        <f t="shared" ca="1" si="20"/>
        <v>453.92800724637681</v>
      </c>
      <c r="F145" s="280">
        <f t="shared" ca="1" si="20"/>
        <v>0.12791666666666668</v>
      </c>
      <c r="G145" s="269"/>
      <c r="H145" s="269"/>
      <c r="I145" s="269">
        <f t="shared" ca="1" si="18"/>
        <v>3.197916666666667E-2</v>
      </c>
      <c r="K145" s="280">
        <f t="shared" si="19"/>
        <v>144</v>
      </c>
      <c r="M145" s="18">
        <f>'Res Predicted Monthly'!$T$9</f>
        <v>24258233.327859402</v>
      </c>
      <c r="N145" s="18">
        <f ca="1">E145*'Res Predicted Monthly'!$T$10</f>
        <v>16261782.242406053</v>
      </c>
      <c r="O145" s="18">
        <f ca="1">F145*'Res Predicted Monthly'!$T$11</f>
        <v>7495.2503908789322</v>
      </c>
      <c r="P145" s="18">
        <f ca="1">I145*'Res Predicted Monthly'!$T$12</f>
        <v>485.97629525296583</v>
      </c>
      <c r="Q145" s="18">
        <f>K145*'Res Predicted Monthly'!$T$13</f>
        <v>9169035.0394482575</v>
      </c>
      <c r="R145" s="259">
        <f t="shared" ca="1" si="17"/>
        <v>49697031.836399853</v>
      </c>
    </row>
    <row r="194" spans="1:18" x14ac:dyDescent="0.25">
      <c r="A194" s="3"/>
      <c r="E194" s="269"/>
      <c r="F194" s="269"/>
      <c r="G194" s="269"/>
      <c r="H194" s="269"/>
      <c r="I194" s="269"/>
      <c r="J194" s="18"/>
      <c r="P194" s="274"/>
      <c r="R194" s="259"/>
    </row>
    <row r="196" spans="1:18" x14ac:dyDescent="0.25">
      <c r="J196" s="18"/>
      <c r="N196" s="18"/>
      <c r="O196" s="18"/>
      <c r="P196" s="18"/>
      <c r="Q196" s="18"/>
      <c r="R196" s="18"/>
    </row>
    <row r="197" spans="1:18" x14ac:dyDescent="0.25">
      <c r="J197" s="18"/>
      <c r="N197" s="18"/>
      <c r="O197" s="18"/>
      <c r="P197" s="18"/>
      <c r="Q197" s="18"/>
      <c r="R197" s="18"/>
    </row>
    <row r="198" spans="1:18" x14ac:dyDescent="0.25">
      <c r="J198" s="18"/>
      <c r="N198" s="18"/>
      <c r="O198" s="18"/>
      <c r="P198" s="18"/>
      <c r="Q198" s="18"/>
      <c r="R198" s="18"/>
    </row>
    <row r="199" spans="1:18" x14ac:dyDescent="0.25">
      <c r="J199" s="18"/>
      <c r="N199" s="18"/>
      <c r="O199" s="18"/>
      <c r="P199" s="18"/>
      <c r="Q199" s="18"/>
      <c r="R199" s="18"/>
    </row>
    <row r="200" spans="1:18" x14ac:dyDescent="0.25">
      <c r="J200" s="18"/>
      <c r="N200" s="18"/>
      <c r="O200" s="18"/>
      <c r="P200" s="18"/>
      <c r="Q200" s="18"/>
      <c r="R200" s="18"/>
    </row>
    <row r="201" spans="1:18" x14ac:dyDescent="0.25">
      <c r="J201" s="18"/>
      <c r="N201" s="18"/>
      <c r="O201" s="18"/>
      <c r="P201" s="18"/>
      <c r="Q201" s="18"/>
      <c r="R201" s="18"/>
    </row>
    <row r="202" spans="1:18" x14ac:dyDescent="0.25">
      <c r="J202" s="18"/>
      <c r="N202" s="18"/>
      <c r="O202" s="18"/>
      <c r="P202" s="18"/>
      <c r="Q202" s="18"/>
      <c r="R202" s="18"/>
    </row>
    <row r="203" spans="1:18" x14ac:dyDescent="0.25">
      <c r="J203" s="18"/>
      <c r="N203" s="18"/>
      <c r="O203" s="18"/>
      <c r="P203" s="18"/>
      <c r="Q203" s="18"/>
      <c r="R203" s="18"/>
    </row>
    <row r="205" spans="1:18" x14ac:dyDescent="0.25">
      <c r="M205" s="24"/>
      <c r="N205" s="24"/>
      <c r="O205" s="24"/>
      <c r="P205" s="24"/>
      <c r="Q205" s="24"/>
      <c r="R205" s="24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1">
    <tabColor theme="4" tint="0.79998168889431442"/>
  </sheetPr>
  <dimension ref="A1:W204"/>
  <sheetViews>
    <sheetView workbookViewId="0">
      <selection activeCell="M31" sqref="M31"/>
    </sheetView>
  </sheetViews>
  <sheetFormatPr defaultColWidth="9.33203125" defaultRowHeight="13.2" x14ac:dyDescent="0.25"/>
  <cols>
    <col min="1" max="1" width="11.33203125" style="1" customWidth="1"/>
    <col min="2" max="3" width="9.33203125" style="1"/>
    <col min="4" max="4" width="17.44140625" style="1" customWidth="1"/>
    <col min="5" max="8" width="9.33203125" style="1"/>
    <col min="9" max="9" width="9.33203125" style="18"/>
    <col min="10" max="10" width="10.6640625" style="1" customWidth="1"/>
    <col min="11" max="12" width="9.33203125" style="1"/>
    <col min="13" max="13" width="14.6640625" style="1" bestFit="1" customWidth="1"/>
    <col min="14" max="15" width="12.77734375" style="1" bestFit="1" customWidth="1"/>
    <col min="16" max="16" width="12.44140625" style="1" customWidth="1"/>
    <col min="17" max="17" width="15.44140625" style="1" customWidth="1"/>
    <col min="18" max="18" width="16.109375" style="1" customWidth="1"/>
    <col min="19" max="19" width="14.109375" style="1" bestFit="1" customWidth="1"/>
    <col min="20" max="20" width="9.33203125" style="1"/>
    <col min="21" max="21" width="13.77734375" style="1" bestFit="1" customWidth="1"/>
    <col min="22" max="22" width="14.77734375" style="1" bestFit="1" customWidth="1"/>
    <col min="23" max="16384" width="9.33203125" style="1"/>
  </cols>
  <sheetData>
    <row r="1" spans="1:19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G1&amp;"Norm"</f>
        <v>HDD16Norm</v>
      </c>
      <c r="F1" s="267" t="str">
        <f>H1&amp;"Norm"</f>
        <v>CDD14Norm</v>
      </c>
      <c r="G1" s="267" t="str">
        <f>'Monthly Data'!BD1</f>
        <v>HDD16</v>
      </c>
      <c r="H1" s="267" t="str">
        <f>'Monthly Data'!BG1</f>
        <v>CDD14</v>
      </c>
      <c r="I1" s="268" t="str">
        <f>'Monthly Data'!CG1</f>
        <v>COVID_AM</v>
      </c>
      <c r="J1" s="267" t="str">
        <f>'Monthly Data'!CD1</f>
        <v>Month Days</v>
      </c>
      <c r="K1" s="266" t="str">
        <f>'Monthly Data'!K1</f>
        <v>GS_lt_50_Customers</v>
      </c>
      <c r="M1" s="267" t="s">
        <v>152</v>
      </c>
      <c r="N1" s="267" t="str">
        <f>E1</f>
        <v>HDD16Norm</v>
      </c>
      <c r="O1" s="267" t="str">
        <f>F1</f>
        <v>CDD14Norm</v>
      </c>
      <c r="P1" s="267" t="str">
        <f>I1</f>
        <v>COVID_AM</v>
      </c>
      <c r="Q1" s="267" t="str">
        <f>J1</f>
        <v>Month Days</v>
      </c>
      <c r="R1" s="267" t="str">
        <f>K1</f>
        <v>GS_lt_50_Customers</v>
      </c>
      <c r="S1" s="265" t="s">
        <v>420</v>
      </c>
    </row>
    <row r="2" spans="1:19" x14ac:dyDescent="0.25">
      <c r="A2" s="3">
        <f>'Monthly Data'!A2</f>
        <v>42005</v>
      </c>
      <c r="B2" s="1">
        <f t="shared" ref="B2:B55" si="0">YEAR(A2)</f>
        <v>2015</v>
      </c>
      <c r="C2" s="1">
        <f t="shared" ref="C2:C55" si="1"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269">
        <f>'Monthly Data'!BD2</f>
        <v>735.89184782608675</v>
      </c>
      <c r="H2" s="269">
        <f>'Monthly Data'!BG2</f>
        <v>0</v>
      </c>
      <c r="I2" s="18">
        <f>'Monthly Data'!CG2</f>
        <v>0</v>
      </c>
      <c r="J2" s="4">
        <f>'Monthly Data'!CD2</f>
        <v>31</v>
      </c>
      <c r="K2" s="24">
        <f>'Monthly Data'!K2</f>
        <v>3993</v>
      </c>
      <c r="M2" s="18"/>
      <c r="N2" s="18">
        <f ca="1">(E2-G2)*'GS&lt;50 Predicted Monthly'!$V$9</f>
        <v>-543275.9661822588</v>
      </c>
      <c r="O2" s="18">
        <f ca="1">(F2-H2)*'GS&lt;50 Predicted Monthly'!$V$10</f>
        <v>0</v>
      </c>
      <c r="P2" s="18"/>
      <c r="Q2" s="18"/>
      <c r="R2" s="18"/>
      <c r="S2" s="271">
        <f t="shared" ref="S2:S33" ca="1" si="2">D2+N2+O2</f>
        <v>13279112.830614297</v>
      </c>
    </row>
    <row r="3" spans="1:19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269">
        <f>'Monthly Data'!BD3</f>
        <v>809.85434782608706</v>
      </c>
      <c r="H3" s="269">
        <f>'Monthly Data'!BG3</f>
        <v>0</v>
      </c>
      <c r="I3" s="18">
        <f>'Monthly Data'!CG3</f>
        <v>0</v>
      </c>
      <c r="J3" s="4">
        <f>'Monthly Data'!CD3</f>
        <v>28</v>
      </c>
      <c r="K3" s="24">
        <f>'Monthly Data'!K3</f>
        <v>3993</v>
      </c>
      <c r="M3" s="18"/>
      <c r="N3" s="18">
        <f ca="1">(E3-G3)*'GS&lt;50 Predicted Monthly'!$V$9</f>
        <v>-1308513.6515163735</v>
      </c>
      <c r="O3" s="18">
        <f ca="1">(F3-H3)*'GS&lt;50 Predicted Monthly'!$V$10</f>
        <v>0</v>
      </c>
      <c r="P3" s="18"/>
      <c r="Q3" s="18"/>
      <c r="R3" s="18"/>
      <c r="S3" s="271">
        <f t="shared" ca="1" si="2"/>
        <v>11460395.994298978</v>
      </c>
    </row>
    <row r="4" spans="1:19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269">
        <f>'Monthly Data'!BD4</f>
        <v>575.79999999999995</v>
      </c>
      <c r="H4" s="269">
        <f>'Monthly Data'!BG4</f>
        <v>0</v>
      </c>
      <c r="I4" s="18">
        <f>'Monthly Data'!CG4</f>
        <v>0</v>
      </c>
      <c r="J4" s="4">
        <f>'Monthly Data'!CD4</f>
        <v>31</v>
      </c>
      <c r="K4" s="24">
        <f>'Monthly Data'!K4</f>
        <v>3986</v>
      </c>
      <c r="M4" s="18"/>
      <c r="N4" s="18">
        <f ca="1">(E4-G4)*'GS&lt;50 Predicted Monthly'!$V$9</f>
        <v>-495243.05149842688</v>
      </c>
      <c r="O4" s="18">
        <f ca="1">(F4-H4)*'GS&lt;50 Predicted Monthly'!$V$10</f>
        <v>0</v>
      </c>
      <c r="P4" s="18"/>
      <c r="Q4" s="18"/>
      <c r="R4" s="18"/>
      <c r="S4" s="271">
        <f t="shared" ca="1" si="2"/>
        <v>11833883.072721032</v>
      </c>
    </row>
    <row r="5" spans="1:19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269">
        <f>'Monthly Data'!BD5</f>
        <v>286.75037878787873</v>
      </c>
      <c r="H5" s="269">
        <f>'Monthly Data'!BG5</f>
        <v>0</v>
      </c>
      <c r="I5" s="18">
        <f>'Monthly Data'!CG5</f>
        <v>0</v>
      </c>
      <c r="J5" s="4">
        <f>'Monthly Data'!CD5</f>
        <v>30</v>
      </c>
      <c r="K5" s="24">
        <f>'Monthly Data'!K5</f>
        <v>3993</v>
      </c>
      <c r="M5" s="18"/>
      <c r="N5" s="18">
        <f ca="1">(E5-G5)*'GS&lt;50 Predicted Monthly'!$V$9</f>
        <v>32743.730911784973</v>
      </c>
      <c r="O5" s="18">
        <f ca="1">(F5-H5)*'GS&lt;50 Predicted Monthly'!$V$10</f>
        <v>27654.961846176375</v>
      </c>
      <c r="P5" s="18"/>
      <c r="Q5" s="18"/>
      <c r="R5" s="18"/>
      <c r="S5" s="271">
        <f t="shared" ca="1" si="2"/>
        <v>10684314.863911534</v>
      </c>
    </row>
    <row r="6" spans="1:19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269">
        <f>'Monthly Data'!BD6</f>
        <v>67.211775362318832</v>
      </c>
      <c r="H6" s="269">
        <f>'Monthly Data'!BG6</f>
        <v>62.881547619047637</v>
      </c>
      <c r="I6" s="18">
        <f>'Monthly Data'!CG6</f>
        <v>0</v>
      </c>
      <c r="J6" s="4">
        <f>'Monthly Data'!CD6</f>
        <v>31</v>
      </c>
      <c r="K6" s="24">
        <f>'Monthly Data'!K6</f>
        <v>3998</v>
      </c>
      <c r="M6" s="18"/>
      <c r="N6" s="18">
        <f ca="1">(E6-G6)*'GS&lt;50 Predicted Monthly'!$V$9</f>
        <v>194751.98019073482</v>
      </c>
      <c r="O6" s="18">
        <f ca="1">(F6-H6)*'GS&lt;50 Predicted Monthly'!$V$10</f>
        <v>-131205.22758867065</v>
      </c>
      <c r="P6" s="18"/>
      <c r="Q6" s="18"/>
      <c r="R6" s="18"/>
      <c r="S6" s="271">
        <f t="shared" ca="1" si="2"/>
        <v>10252379.585533068</v>
      </c>
    </row>
    <row r="7" spans="1:19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269">
        <f>'Monthly Data'!BD7</f>
        <v>17.725000000000009</v>
      </c>
      <c r="H7" s="269">
        <f>'Monthly Data'!BG7</f>
        <v>95.599999999999966</v>
      </c>
      <c r="I7" s="18">
        <f>'Monthly Data'!CG7</f>
        <v>0</v>
      </c>
      <c r="J7" s="4">
        <f>'Monthly Data'!CD7</f>
        <v>30</v>
      </c>
      <c r="K7" s="24">
        <f>'Monthly Data'!K7</f>
        <v>4011</v>
      </c>
      <c r="M7" s="18"/>
      <c r="N7" s="18">
        <f ca="1">(E7-G7)*'GS&lt;50 Predicted Monthly'!$V$9</f>
        <v>-31520.578045199338</v>
      </c>
      <c r="O7" s="18">
        <f ca="1">(F7-H7)*'GS&lt;50 Predicted Monthly'!$V$10</f>
        <v>530855.57009055745</v>
      </c>
      <c r="P7" s="18"/>
      <c r="Q7" s="18"/>
      <c r="R7" s="18"/>
      <c r="S7" s="271">
        <f t="shared" ca="1" si="2"/>
        <v>10683952.700379744</v>
      </c>
    </row>
    <row r="8" spans="1:19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269">
        <f>'Monthly Data'!BD8</f>
        <v>0</v>
      </c>
      <c r="H8" s="269">
        <f>'Monthly Data'!BG8</f>
        <v>205.53749999999997</v>
      </c>
      <c r="I8" s="18">
        <f>'Monthly Data'!CG8</f>
        <v>0</v>
      </c>
      <c r="J8" s="4">
        <f>'Monthly Data'!CD8</f>
        <v>31</v>
      </c>
      <c r="K8" s="24">
        <f>'Monthly Data'!K8</f>
        <v>4021</v>
      </c>
      <c r="M8" s="18"/>
      <c r="N8" s="18">
        <f ca="1">(E8-G8)*'GS&lt;50 Predicted Monthly'!$V$9</f>
        <v>402.94624249810443</v>
      </c>
      <c r="O8" s="18">
        <f ca="1">(F8-H8)*'GS&lt;50 Predicted Monthly'!$V$10</f>
        <v>383864.90623569844</v>
      </c>
      <c r="P8" s="18"/>
      <c r="Q8" s="18"/>
      <c r="R8" s="18"/>
      <c r="S8" s="271">
        <f t="shared" ca="1" si="2"/>
        <v>11700221.441629939</v>
      </c>
    </row>
    <row r="9" spans="1:19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269">
        <f>'Monthly Data'!BD9</f>
        <v>0.49166666666666714</v>
      </c>
      <c r="H9" s="269">
        <f>'Monthly Data'!BG9</f>
        <v>167.94166666666666</v>
      </c>
      <c r="I9" s="18">
        <f>'Monthly Data'!CG9</f>
        <v>0</v>
      </c>
      <c r="J9" s="4">
        <f>'Monthly Data'!CD9</f>
        <v>31</v>
      </c>
      <c r="K9" s="24">
        <f>'Monthly Data'!K9</f>
        <v>4021</v>
      </c>
      <c r="M9" s="18"/>
      <c r="N9" s="18">
        <f ca="1">(E9-G9)*'GS&lt;50 Predicted Monthly'!$V$9</f>
        <v>1397.9308189459441</v>
      </c>
      <c r="O9" s="18">
        <f ca="1">(F9-H9)*'GS&lt;50 Predicted Monthly'!$V$10</f>
        <v>543092.38558352797</v>
      </c>
      <c r="P9" s="18"/>
      <c r="Q9" s="18"/>
      <c r="R9" s="18"/>
      <c r="S9" s="271">
        <f t="shared" ca="1" si="2"/>
        <v>11576068.188073432</v>
      </c>
    </row>
    <row r="10" spans="1:19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269">
        <f>'Monthly Data'!BD10</f>
        <v>18.695833333333333</v>
      </c>
      <c r="H10" s="269">
        <f>'Monthly Data'!BG10</f>
        <v>134.9267857142857</v>
      </c>
      <c r="I10" s="18">
        <f>'Monthly Data'!CG10</f>
        <v>0</v>
      </c>
      <c r="J10" s="4">
        <f>'Monthly Data'!CD10</f>
        <v>30</v>
      </c>
      <c r="K10" s="24">
        <f>'Monthly Data'!K10</f>
        <v>4033</v>
      </c>
      <c r="M10" s="18"/>
      <c r="N10" s="18">
        <f ca="1">(E10-G10)*'GS&lt;50 Predicted Monthly'!$V$9</f>
        <v>41312.31553703321</v>
      </c>
      <c r="O10" s="18">
        <f ca="1">(F10-H10)*'GS&lt;50 Predicted Monthly'!$V$10</f>
        <v>-359892.44362450123</v>
      </c>
      <c r="P10" s="18"/>
      <c r="Q10" s="18"/>
      <c r="R10" s="18"/>
      <c r="S10" s="271">
        <f t="shared" ca="1" si="2"/>
        <v>10479768.613487447</v>
      </c>
    </row>
    <row r="11" spans="1:19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269">
        <f>'Monthly Data'!BD11</f>
        <v>215.98749999999998</v>
      </c>
      <c r="H11" s="269">
        <f>'Monthly Data'!BG11</f>
        <v>4.3583333333333325</v>
      </c>
      <c r="I11" s="18">
        <f>'Monthly Data'!CG11</f>
        <v>0</v>
      </c>
      <c r="J11" s="4">
        <f>'Monthly Data'!CD11</f>
        <v>31</v>
      </c>
      <c r="K11" s="24">
        <f>'Monthly Data'!K11</f>
        <v>4052</v>
      </c>
      <c r="M11" s="18"/>
      <c r="N11" s="18">
        <f ca="1">(E11-G11)*'GS&lt;50 Predicted Monthly'!$V$9</f>
        <v>-187060.81957482049</v>
      </c>
      <c r="O11" s="18">
        <f ca="1">(F11-H11)*'GS&lt;50 Predicted Monthly'!$V$10</f>
        <v>172036.16337515836</v>
      </c>
      <c r="P11" s="18"/>
      <c r="Q11" s="18"/>
      <c r="R11" s="18"/>
      <c r="S11" s="271">
        <f t="shared" ca="1" si="2"/>
        <v>9991426.7610954866</v>
      </c>
    </row>
    <row r="12" spans="1:19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269">
        <f>'Monthly Data'!BD12</f>
        <v>311.77083333333331</v>
      </c>
      <c r="H12" s="269">
        <f>'Monthly Data'!BG12</f>
        <v>0.27083333333333393</v>
      </c>
      <c r="I12" s="18">
        <f>'Monthly Data'!CG12</f>
        <v>0</v>
      </c>
      <c r="J12" s="4">
        <f>'Monthly Data'!CD12</f>
        <v>30</v>
      </c>
      <c r="K12" s="24">
        <f>'Monthly Data'!K12</f>
        <v>4065</v>
      </c>
      <c r="M12" s="18"/>
      <c r="N12" s="18">
        <f ca="1">(E12-G12)*'GS&lt;50 Predicted Monthly'!$V$9</f>
        <v>297196.02513568435</v>
      </c>
      <c r="O12" s="18">
        <f ca="1">(F12-H12)*'GS&lt;50 Predicted Monthly'!$V$10</f>
        <v>6784.8803312224109</v>
      </c>
      <c r="P12" s="18"/>
      <c r="Q12" s="18"/>
      <c r="R12" s="18"/>
      <c r="S12" s="271">
        <f t="shared" ca="1" si="2"/>
        <v>10951655.175851282</v>
      </c>
    </row>
    <row r="13" spans="1:19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269">
        <f>'Monthly Data'!BD13</f>
        <v>375.6259057971015</v>
      </c>
      <c r="H13" s="269">
        <f>'Monthly Data'!BG13</f>
        <v>0</v>
      </c>
      <c r="I13" s="18">
        <f>'Monthly Data'!CG13</f>
        <v>0</v>
      </c>
      <c r="J13" s="4">
        <f>'Monthly Data'!CD13</f>
        <v>31</v>
      </c>
      <c r="K13" s="24">
        <f>'Monthly Data'!K13</f>
        <v>4074</v>
      </c>
      <c r="M13" s="18"/>
      <c r="N13" s="18">
        <f ca="1">(E13-G13)*'GS&lt;50 Predicted Monthly'!$V$9</f>
        <v>758000.50851718802</v>
      </c>
      <c r="O13" s="18">
        <f ca="1">(F13-H13)*'GS&lt;50 Predicted Monthly'!$V$10</f>
        <v>0</v>
      </c>
      <c r="P13" s="18"/>
      <c r="Q13" s="18"/>
      <c r="R13" s="18"/>
      <c r="S13" s="271">
        <f t="shared" ca="1" si="2"/>
        <v>11938504.959189724</v>
      </c>
    </row>
    <row r="14" spans="1:19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Data'!J14</f>
        <v>12581251.383190688</v>
      </c>
      <c r="E14" s="269">
        <f t="shared" ref="E14:F25" ca="1" si="3">E2</f>
        <v>635.33418478260876</v>
      </c>
      <c r="F14" s="269">
        <f t="shared" ca="1" si="3"/>
        <v>0</v>
      </c>
      <c r="G14" s="269">
        <f>'Monthly Data'!BD14</f>
        <v>613.87916666666683</v>
      </c>
      <c r="H14" s="269">
        <f>'Monthly Data'!BG14</f>
        <v>0</v>
      </c>
      <c r="I14" s="18">
        <f>'Monthly Data'!CG14</f>
        <v>0</v>
      </c>
      <c r="J14" s="4">
        <f>'Monthly Data'!CD14</f>
        <v>31</v>
      </c>
      <c r="K14" s="24">
        <f>'Monthly Data'!K14</f>
        <v>4082</v>
      </c>
      <c r="M14" s="18"/>
      <c r="N14" s="18">
        <f ca="1">(E14-G14)*'GS&lt;50 Predicted Monthly'!$V$9</f>
        <v>115913.54993359906</v>
      </c>
      <c r="O14" s="18">
        <f ca="1">(F14-H14)*'GS&lt;50 Predicted Monthly'!$V$10</f>
        <v>0</v>
      </c>
      <c r="P14" s="18"/>
      <c r="Q14" s="18"/>
      <c r="R14" s="18"/>
      <c r="S14" s="271">
        <f t="shared" ca="1" si="2"/>
        <v>12697164.933124287</v>
      </c>
    </row>
    <row r="15" spans="1:19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269">
        <f>'Monthly Data'!BD15</f>
        <v>545.70833333333337</v>
      </c>
      <c r="H15" s="269">
        <f>'Monthly Data'!BG15</f>
        <v>0</v>
      </c>
      <c r="I15" s="18">
        <f>'Monthly Data'!CG15</f>
        <v>0</v>
      </c>
      <c r="J15" s="4">
        <f>'Monthly Data'!CD15</f>
        <v>29</v>
      </c>
      <c r="K15" s="24">
        <f>'Monthly Data'!K15</f>
        <v>4129</v>
      </c>
      <c r="M15" s="18"/>
      <c r="N15" s="18">
        <f ca="1">(E15-G15)*'GS&lt;50 Predicted Monthly'!$V$9</f>
        <v>118569.84359922969</v>
      </c>
      <c r="O15" s="18">
        <f ca="1">(F15-H15)*'GS&lt;50 Predicted Monthly'!$V$10</f>
        <v>0</v>
      </c>
      <c r="P15" s="18"/>
      <c r="Q15" s="18"/>
      <c r="R15" s="18"/>
      <c r="S15" s="271">
        <f t="shared" ca="1" si="2"/>
        <v>11708499.115359107</v>
      </c>
    </row>
    <row r="16" spans="1:19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269">
        <f>'Monthly Data'!BD16</f>
        <v>453.07934782608692</v>
      </c>
      <c r="H16" s="269">
        <f>'Monthly Data'!BG16</f>
        <v>0</v>
      </c>
      <c r="I16" s="18">
        <f>'Monthly Data'!CG16</f>
        <v>0</v>
      </c>
      <c r="J16" s="4">
        <f>'Monthly Data'!CD16</f>
        <v>31</v>
      </c>
      <c r="K16" s="24">
        <f>'Monthly Data'!K16</f>
        <v>4147</v>
      </c>
      <c r="M16" s="18"/>
      <c r="N16" s="18">
        <f ca="1">(E16-G16)*'GS&lt;50 Predicted Monthly'!$V$9</f>
        <v>167771.37089793474</v>
      </c>
      <c r="O16" s="18">
        <f ca="1">(F16-H16)*'GS&lt;50 Predicted Monthly'!$V$10</f>
        <v>0</v>
      </c>
      <c r="P16" s="18"/>
      <c r="Q16" s="18"/>
      <c r="R16" s="18"/>
      <c r="S16" s="271">
        <f t="shared" ca="1" si="2"/>
        <v>11847013.913277004</v>
      </c>
    </row>
    <row r="17" spans="1:19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269">
        <f>'Monthly Data'!BD17</f>
        <v>345.98333333333335</v>
      </c>
      <c r="H17" s="269">
        <f>'Monthly Data'!BG17</f>
        <v>0.83333333333333393</v>
      </c>
      <c r="I17" s="18">
        <f>'Monthly Data'!CG17</f>
        <v>0</v>
      </c>
      <c r="J17" s="4">
        <f>'Monthly Data'!CD17</f>
        <v>30</v>
      </c>
      <c r="K17" s="24">
        <f>'Monthly Data'!K17</f>
        <v>4159</v>
      </c>
      <c r="M17" s="18"/>
      <c r="N17" s="18">
        <f ca="1">(E17-G17)*'GS&lt;50 Predicted Monthly'!$V$9</f>
        <v>-287270.07645561692</v>
      </c>
      <c r="O17" s="18">
        <f ca="1">(F17-H17)*'GS&lt;50 Predicted Monthly'!$V$10</f>
        <v>17135.76753420362</v>
      </c>
      <c r="P17" s="18"/>
      <c r="Q17" s="18"/>
      <c r="R17" s="18"/>
      <c r="S17" s="271">
        <f t="shared" ca="1" si="2"/>
        <v>10141286.808663193</v>
      </c>
    </row>
    <row r="18" spans="1:19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269">
        <f>'Monthly Data'!BD18</f>
        <v>111.69444444444443</v>
      </c>
      <c r="H18" s="269">
        <f>'Monthly Data'!BG18</f>
        <v>66.604166666666671</v>
      </c>
      <c r="I18" s="18">
        <f>'Monthly Data'!CG18</f>
        <v>0</v>
      </c>
      <c r="J18" s="4">
        <f>'Monthly Data'!CD18</f>
        <v>31</v>
      </c>
      <c r="K18" s="24">
        <f>'Monthly Data'!K18</f>
        <v>4156</v>
      </c>
      <c r="M18" s="18"/>
      <c r="N18" s="18">
        <f ca="1">(E18-G18)*'GS&lt;50 Predicted Monthly'!$V$9</f>
        <v>-45571.47495468452</v>
      </c>
      <c r="O18" s="18">
        <f ca="1">(F18-H18)*'GS&lt;50 Predicted Monthly'!$V$10</f>
        <v>-178195.97132229732</v>
      </c>
      <c r="P18" s="18"/>
      <c r="Q18" s="18"/>
      <c r="R18" s="18"/>
      <c r="S18" s="271">
        <f t="shared" ca="1" si="2"/>
        <v>10004709.412659733</v>
      </c>
    </row>
    <row r="19" spans="1:19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269">
        <f>'Monthly Data'!BD19</f>
        <v>14.133333333333335</v>
      </c>
      <c r="H19" s="269">
        <f>'Monthly Data'!BG19</f>
        <v>147.17916666666667</v>
      </c>
      <c r="I19" s="18">
        <f>'Monthly Data'!CG19</f>
        <v>0</v>
      </c>
      <c r="J19" s="4">
        <f>'Monthly Data'!CD19</f>
        <v>30</v>
      </c>
      <c r="K19" s="24">
        <f>'Monthly Data'!K19</f>
        <v>4153</v>
      </c>
      <c r="M19" s="18"/>
      <c r="N19" s="18">
        <f ca="1">(E19-G19)*'GS&lt;50 Predicted Monthly'!$V$9</f>
        <v>-12116.127708139658</v>
      </c>
      <c r="O19" s="18">
        <f ca="1">(F19-H19)*'GS&lt;50 Predicted Monthly'!$V$10</f>
        <v>-120229.96184899641</v>
      </c>
      <c r="P19" s="18"/>
      <c r="Q19" s="18"/>
      <c r="R19" s="18"/>
      <c r="S19" s="271">
        <f t="shared" ca="1" si="2"/>
        <v>10332861.684106827</v>
      </c>
    </row>
    <row r="20" spans="1:19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269">
        <f>'Monthly Data'!BD20</f>
        <v>0</v>
      </c>
      <c r="H20" s="269">
        <f>'Monthly Data'!BG20</f>
        <v>251.2291666666666</v>
      </c>
      <c r="I20" s="18">
        <f>'Monthly Data'!CG20</f>
        <v>0</v>
      </c>
      <c r="J20" s="4">
        <f>'Monthly Data'!CD20</f>
        <v>31</v>
      </c>
      <c r="K20" s="24">
        <f>'Monthly Data'!K20</f>
        <v>4177</v>
      </c>
      <c r="M20" s="18"/>
      <c r="N20" s="18">
        <f ca="1">(E20-G20)*'GS&lt;50 Predicted Monthly'!$V$9</f>
        <v>402.94624249810443</v>
      </c>
      <c r="O20" s="18">
        <f ca="1">(F20-H20)*'GS&lt;50 Predicted Monthly'!$V$10</f>
        <v>-192902.51788976701</v>
      </c>
      <c r="P20" s="18"/>
      <c r="Q20" s="18"/>
      <c r="R20" s="18"/>
      <c r="S20" s="271">
        <f t="shared" ca="1" si="2"/>
        <v>11666925.289672472</v>
      </c>
    </row>
    <row r="21" spans="1:19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269">
        <f>'Monthly Data'!BD21</f>
        <v>0</v>
      </c>
      <c r="H21" s="269">
        <f>'Monthly Data'!BG21</f>
        <v>266.02500000000003</v>
      </c>
      <c r="I21" s="18">
        <f>'Monthly Data'!CG21</f>
        <v>0</v>
      </c>
      <c r="J21" s="4">
        <f>'Monthly Data'!CD21</f>
        <v>31</v>
      </c>
      <c r="K21" s="24">
        <f>'Monthly Data'!K21</f>
        <v>4165</v>
      </c>
      <c r="M21" s="18"/>
      <c r="N21" s="18">
        <f ca="1">(E21-G21)*'GS&lt;50 Predicted Monthly'!$V$9</f>
        <v>4054.2244845759205</v>
      </c>
      <c r="O21" s="18">
        <f ca="1">(F21-H21)*'GS&lt;50 Predicted Monthly'!$V$10</f>
        <v>-695016.78493566508</v>
      </c>
      <c r="P21" s="18"/>
      <c r="Q21" s="18"/>
      <c r="R21" s="18"/>
      <c r="S21" s="271">
        <f t="shared" ca="1" si="2"/>
        <v>11615970.112160159</v>
      </c>
    </row>
    <row r="22" spans="1:19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269">
        <f>'Monthly Data'!BD22</f>
        <v>15.7875</v>
      </c>
      <c r="H22" s="269">
        <f>'Monthly Data'!BG22</f>
        <v>120.65416666666664</v>
      </c>
      <c r="I22" s="18">
        <f>'Monthly Data'!CG22</f>
        <v>0</v>
      </c>
      <c r="J22" s="4">
        <f>'Monthly Data'!CD22</f>
        <v>30</v>
      </c>
      <c r="K22" s="24">
        <f>'Monthly Data'!K22</f>
        <v>4177</v>
      </c>
      <c r="M22" s="18"/>
      <c r="N22" s="18">
        <f ca="1">(E22-G22)*'GS&lt;50 Predicted Monthly'!$V$9</f>
        <v>57024.967898132541</v>
      </c>
      <c r="O22" s="18">
        <f ca="1">(F22-H22)*'GS&lt;50 Predicted Monthly'!$V$10</f>
        <v>-179728.69990129926</v>
      </c>
      <c r="P22" s="18"/>
      <c r="Q22" s="18"/>
      <c r="R22" s="18"/>
      <c r="S22" s="271">
        <f t="shared" ca="1" si="2"/>
        <v>10539433.843882754</v>
      </c>
    </row>
    <row r="23" spans="1:19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269">
        <f>'Monthly Data'!BD23</f>
        <v>166.45</v>
      </c>
      <c r="H23" s="269">
        <f>'Monthly Data'!BG23</f>
        <v>24.770833333333336</v>
      </c>
      <c r="I23" s="18">
        <f>'Monthly Data'!CG23</f>
        <v>0</v>
      </c>
      <c r="J23" s="4">
        <f>'Monthly Data'!CD23</f>
        <v>31</v>
      </c>
      <c r="K23" s="24">
        <f>'Monthly Data'!K23</f>
        <v>4154</v>
      </c>
      <c r="M23" s="18"/>
      <c r="N23" s="18">
        <f ca="1">(E23-G23)*'GS&lt;50 Predicted Monthly'!$V$9</f>
        <v>80572.022719033368</v>
      </c>
      <c r="O23" s="18">
        <f ca="1">(F23-H23)*'GS&lt;50 Predicted Monthly'!$V$10</f>
        <v>-85631.50129661418</v>
      </c>
      <c r="P23" s="18"/>
      <c r="Q23" s="18"/>
      <c r="R23" s="18"/>
      <c r="S23" s="271">
        <f t="shared" ca="1" si="2"/>
        <v>10045119.068316862</v>
      </c>
    </row>
    <row r="24" spans="1:19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269">
        <f>'Monthly Data'!BD24</f>
        <v>317.335119047619</v>
      </c>
      <c r="H24" s="269">
        <f>'Monthly Data'!BG24</f>
        <v>0</v>
      </c>
      <c r="I24" s="18">
        <f>'Monthly Data'!CG24</f>
        <v>0</v>
      </c>
      <c r="J24" s="4">
        <f>'Monthly Data'!CD24</f>
        <v>30</v>
      </c>
      <c r="K24" s="24">
        <f>'Monthly Data'!K24</f>
        <v>4148</v>
      </c>
      <c r="M24" s="18"/>
      <c r="N24" s="18">
        <f ca="1">(E24-G24)*'GS&lt;50 Predicted Monthly'!$V$9</f>
        <v>267134.2416171506</v>
      </c>
      <c r="O24" s="18">
        <f ca="1">(F24-H24)*'GS&lt;50 Predicted Monthly'!$V$10</f>
        <v>10203.618482613561</v>
      </c>
      <c r="P24" s="18"/>
      <c r="Q24" s="18"/>
      <c r="R24" s="18"/>
      <c r="S24" s="271">
        <f t="shared" ca="1" si="2"/>
        <v>10744982.453717932</v>
      </c>
    </row>
    <row r="25" spans="1:19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269">
        <f>'Monthly Data'!BD25</f>
        <v>554.67083333333346</v>
      </c>
      <c r="H25" s="269">
        <f>'Monthly Data'!BG25</f>
        <v>0</v>
      </c>
      <c r="I25" s="18">
        <f>'Monthly Data'!CG25</f>
        <v>0</v>
      </c>
      <c r="J25" s="4">
        <f>'Monthly Data'!CD25</f>
        <v>31</v>
      </c>
      <c r="K25" s="24">
        <f>'Monthly Data'!K25</f>
        <v>4150</v>
      </c>
      <c r="M25" s="18"/>
      <c r="N25" s="18">
        <f ca="1">(E25-G25)*'GS&lt;50 Predicted Monthly'!$V$9</f>
        <v>-209313.20038654885</v>
      </c>
      <c r="O25" s="18">
        <f ca="1">(F25-H25)*'GS&lt;50 Predicted Monthly'!$V$10</f>
        <v>0</v>
      </c>
      <c r="P25" s="18"/>
      <c r="Q25" s="18"/>
      <c r="R25" s="18"/>
      <c r="S25" s="271">
        <f t="shared" ca="1" si="2"/>
        <v>11681259.766769012</v>
      </c>
    </row>
    <row r="26" spans="1:19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Data'!J26</f>
        <v>12355535.106722897</v>
      </c>
      <c r="E26" s="269">
        <f t="shared" ref="E26:F33" ca="1" si="4">E14</f>
        <v>635.33418478260876</v>
      </c>
      <c r="F26" s="269">
        <f t="shared" ca="1" si="4"/>
        <v>0</v>
      </c>
      <c r="G26" s="269">
        <f>'Monthly Data'!BD26</f>
        <v>558.21666666666658</v>
      </c>
      <c r="H26" s="269">
        <f>'Monthly Data'!BG26</f>
        <v>0</v>
      </c>
      <c r="I26" s="18">
        <f>'Monthly Data'!CG26</f>
        <v>0</v>
      </c>
      <c r="J26" s="4">
        <f>'Monthly Data'!CD26</f>
        <v>31</v>
      </c>
      <c r="K26" s="24">
        <f>'Monthly Data'!K26</f>
        <v>4150</v>
      </c>
      <c r="M26" s="18"/>
      <c r="N26" s="18">
        <f ca="1">(E26-G26)*'GS&lt;50 Predicted Monthly'!$V$9</f>
        <v>416637.5082314887</v>
      </c>
      <c r="O26" s="18">
        <f ca="1">(F26-H26)*'GS&lt;50 Predicted Monthly'!$V$10</f>
        <v>0</v>
      </c>
      <c r="P26" s="18"/>
      <c r="Q26" s="18"/>
      <c r="R26" s="18"/>
      <c r="S26" s="271">
        <f t="shared" ca="1" si="2"/>
        <v>12772172.614954386</v>
      </c>
    </row>
    <row r="27" spans="1:19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Data'!J27</f>
        <v>11059039.500129096</v>
      </c>
      <c r="E27" s="269">
        <f t="shared" ca="1" si="4"/>
        <v>567.65501811594208</v>
      </c>
      <c r="F27" s="269">
        <f t="shared" ca="1" si="4"/>
        <v>0</v>
      </c>
      <c r="G27" s="269">
        <f>'Monthly Data'!BD27</f>
        <v>474.08333333333337</v>
      </c>
      <c r="H27" s="269">
        <f>'Monthly Data'!BG27</f>
        <v>0</v>
      </c>
      <c r="I27" s="18">
        <f>'Monthly Data'!CG27</f>
        <v>0</v>
      </c>
      <c r="J27" s="4">
        <f>'Monthly Data'!CD27</f>
        <v>28</v>
      </c>
      <c r="K27" s="24">
        <f>'Monthly Data'!K27</f>
        <v>4144</v>
      </c>
      <c r="M27" s="18"/>
      <c r="N27" s="18">
        <f ca="1">(E27-G27)*'GS&lt;50 Predicted Monthly'!$V$9</f>
        <v>505533.30217701994</v>
      </c>
      <c r="O27" s="18">
        <f ca="1">(F27-H27)*'GS&lt;50 Predicted Monthly'!$V$10</f>
        <v>0</v>
      </c>
      <c r="P27" s="18"/>
      <c r="Q27" s="18"/>
      <c r="R27" s="18"/>
      <c r="S27" s="271">
        <f t="shared" ca="1" si="2"/>
        <v>11564572.802306116</v>
      </c>
    </row>
    <row r="28" spans="1:19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Data'!J28</f>
        <v>12183406.064573791</v>
      </c>
      <c r="E28" s="269">
        <f t="shared" ca="1" si="4"/>
        <v>484.13298913043479</v>
      </c>
      <c r="F28" s="269">
        <f t="shared" ca="1" si="4"/>
        <v>0</v>
      </c>
      <c r="G28" s="269">
        <f>'Monthly Data'!BD28</f>
        <v>537.67916666666656</v>
      </c>
      <c r="H28" s="269">
        <f>'Monthly Data'!BG28</f>
        <v>0</v>
      </c>
      <c r="I28" s="18">
        <f>'Monthly Data'!CG28</f>
        <v>0</v>
      </c>
      <c r="J28" s="4">
        <f>'Monthly Data'!CD28</f>
        <v>31</v>
      </c>
      <c r="K28" s="24">
        <f>'Monthly Data'!K28</f>
        <v>4150</v>
      </c>
      <c r="M28" s="18"/>
      <c r="N28" s="18">
        <f ca="1">(E28-G28)*'GS&lt;50 Predicted Monthly'!$V$9</f>
        <v>-289290.2485590314</v>
      </c>
      <c r="O28" s="18">
        <f ca="1">(F28-H28)*'GS&lt;50 Predicted Monthly'!$V$10</f>
        <v>0</v>
      </c>
      <c r="P28" s="18"/>
      <c r="Q28" s="18"/>
      <c r="R28" s="18"/>
      <c r="S28" s="271">
        <f t="shared" ca="1" si="2"/>
        <v>11894115.816014759</v>
      </c>
    </row>
    <row r="29" spans="1:19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Data'!J29</f>
        <v>10307837.783077231</v>
      </c>
      <c r="E29" s="269">
        <f t="shared" ca="1" si="4"/>
        <v>292.81107954545462</v>
      </c>
      <c r="F29" s="269">
        <f t="shared" ca="1" si="4"/>
        <v>2.1908333333333347</v>
      </c>
      <c r="G29" s="269">
        <f>'Monthly Data'!BD29</f>
        <v>230.73333333333338</v>
      </c>
      <c r="H29" s="269">
        <f>'Monthly Data'!BG29</f>
        <v>5.6500000000000057</v>
      </c>
      <c r="I29" s="18">
        <f>'Monthly Data'!CG29</f>
        <v>0</v>
      </c>
      <c r="J29" s="4">
        <f>'Monthly Data'!CD29</f>
        <v>30</v>
      </c>
      <c r="K29" s="24">
        <f>'Monthly Data'!K29</f>
        <v>4151</v>
      </c>
      <c r="M29" s="18"/>
      <c r="N29" s="18">
        <f ca="1">(E29-G29)*'GS&lt;50 Predicted Monthly'!$V$9</f>
        <v>335383.1675386632</v>
      </c>
      <c r="O29" s="18">
        <f ca="1">(F29-H29)*'GS&lt;50 Predicted Monthly'!$V$10</f>
        <v>-43665.175588998936</v>
      </c>
      <c r="P29" s="18"/>
      <c r="Q29" s="18"/>
      <c r="R29" s="18"/>
      <c r="S29" s="271">
        <f t="shared" ca="1" si="2"/>
        <v>10599555.775026895</v>
      </c>
    </row>
    <row r="30" spans="1:19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Data'!J30</f>
        <v>10255191.139574682</v>
      </c>
      <c r="E30" s="269">
        <f t="shared" ca="1" si="4"/>
        <v>103.25939244851259</v>
      </c>
      <c r="F30" s="269">
        <f t="shared" ca="1" si="4"/>
        <v>52.487435064935063</v>
      </c>
      <c r="G30" s="269">
        <f>'Monthly Data'!BD30</f>
        <v>134.83333333333331</v>
      </c>
      <c r="H30" s="269">
        <f>'Monthly Data'!BG30</f>
        <v>28.370833333333344</v>
      </c>
      <c r="I30" s="18">
        <f>'Monthly Data'!CG30</f>
        <v>0</v>
      </c>
      <c r="J30" s="4">
        <f>'Monthly Data'!CD30</f>
        <v>31</v>
      </c>
      <c r="K30" s="24">
        <f>'Monthly Data'!K30</f>
        <v>4160</v>
      </c>
      <c r="M30" s="18"/>
      <c r="N30" s="18">
        <f ca="1">(E30-G30)*'GS&lt;50 Predicted Monthly'!$V$9</f>
        <v>-170582.35763659232</v>
      </c>
      <c r="O30" s="18">
        <f ca="1">(F30-H30)*'GS&lt;50 Predicted Monthly'!$V$10</f>
        <v>304424.66371101234</v>
      </c>
      <c r="P30" s="18"/>
      <c r="Q30" s="18"/>
      <c r="R30" s="18"/>
      <c r="S30" s="271">
        <f t="shared" ca="1" si="2"/>
        <v>10389033.445649102</v>
      </c>
    </row>
    <row r="31" spans="1:19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Data'!J31</f>
        <v>10271714.846599523</v>
      </c>
      <c r="E31" s="269">
        <f t="shared" ca="1" si="4"/>
        <v>11.89069871794872</v>
      </c>
      <c r="F31" s="269">
        <f t="shared" ca="1" si="4"/>
        <v>137.65451754405018</v>
      </c>
      <c r="G31" s="269">
        <f>'Monthly Data'!BD31</f>
        <v>20.287499999999987</v>
      </c>
      <c r="H31" s="269">
        <f>'Monthly Data'!BG31</f>
        <v>112.71333333333334</v>
      </c>
      <c r="I31" s="18">
        <f>'Monthly Data'!CG31</f>
        <v>0</v>
      </c>
      <c r="J31" s="4">
        <f>'Monthly Data'!CD31</f>
        <v>30</v>
      </c>
      <c r="K31" s="24">
        <f>'Monthly Data'!K31</f>
        <v>4154</v>
      </c>
      <c r="M31" s="18"/>
      <c r="N31" s="18">
        <f ca="1">(E31-G31)*'GS&lt;50 Predicted Monthly'!$V$9</f>
        <v>-45364.820455050358</v>
      </c>
      <c r="O31" s="18">
        <f ca="1">(F31-H31)*'GS&lt;50 Predicted Monthly'!$V$10</f>
        <v>314833.39569988457</v>
      </c>
      <c r="P31" s="18"/>
      <c r="Q31" s="18"/>
      <c r="R31" s="18"/>
      <c r="S31" s="271">
        <f t="shared" ca="1" si="2"/>
        <v>10541183.421844358</v>
      </c>
    </row>
    <row r="32" spans="1:19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Data'!J32</f>
        <v>11368071.321868924</v>
      </c>
      <c r="E32" s="269">
        <f t="shared" ca="1" si="4"/>
        <v>7.4583333333333002E-2</v>
      </c>
      <c r="F32" s="269">
        <f t="shared" ca="1" si="4"/>
        <v>235.94737858727848</v>
      </c>
      <c r="G32" s="269">
        <f>'Monthly Data'!BD32</f>
        <v>0</v>
      </c>
      <c r="H32" s="269">
        <f>'Monthly Data'!BG32</f>
        <v>198.16666666666666</v>
      </c>
      <c r="I32" s="18">
        <f>'Monthly Data'!CG32</f>
        <v>0</v>
      </c>
      <c r="J32" s="4">
        <f>'Monthly Data'!CD32</f>
        <v>31</v>
      </c>
      <c r="K32" s="24">
        <f>'Monthly Data'!K32</f>
        <v>4158</v>
      </c>
      <c r="M32" s="18"/>
      <c r="N32" s="18">
        <f ca="1">(E32-G32)*'GS&lt;50 Predicted Monthly'!$V$9</f>
        <v>402.94624249810443</v>
      </c>
      <c r="O32" s="18">
        <f ca="1">(F32-H32)*'GS&lt;50 Predicted Monthly'!$V$10</f>
        <v>476907.17992509709</v>
      </c>
      <c r="P32" s="18"/>
      <c r="Q32" s="18"/>
      <c r="R32" s="18"/>
      <c r="S32" s="271">
        <f t="shared" ca="1" si="2"/>
        <v>11845381.44803652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Data'!J33</f>
        <v>11009225.659270091</v>
      </c>
      <c r="E33" s="269">
        <f t="shared" ca="1" si="4"/>
        <v>0.75041666666666718</v>
      </c>
      <c r="F33" s="269">
        <f t="shared" ca="1" si="4"/>
        <v>210.96558794466404</v>
      </c>
      <c r="G33" s="269">
        <f>'Monthly Data'!BD33</f>
        <v>3.6416666666666693</v>
      </c>
      <c r="H33" s="269">
        <f>'Monthly Data'!BG33</f>
        <v>155.42409420289857</v>
      </c>
      <c r="I33" s="18">
        <f>'Monthly Data'!CG33</f>
        <v>0</v>
      </c>
      <c r="J33" s="4">
        <f>'Monthly Data'!CD33</f>
        <v>31</v>
      </c>
      <c r="K33" s="24">
        <f>'Monthly Data'!K33</f>
        <v>4157</v>
      </c>
      <c r="M33" s="18"/>
      <c r="N33" s="18">
        <f ca="1">(E33-G33)*'GS&lt;50 Predicted Monthly'!$V$9</f>
        <v>-15620.357411700341</v>
      </c>
      <c r="O33" s="18">
        <f ca="1">(F33-H33)*'GS&lt;50 Predicted Monthly'!$V$10</f>
        <v>701102.11805621919</v>
      </c>
      <c r="P33" s="18"/>
      <c r="Q33" s="18"/>
      <c r="R33" s="18"/>
      <c r="S33" s="271">
        <f t="shared" ca="1" si="2"/>
        <v>11694707.419914609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Data'!J34</f>
        <v>10614412.668142477</v>
      </c>
      <c r="E34" s="269">
        <f t="shared" ref="E34:F49" ca="1" si="5">E22</f>
        <v>26.342536231884061</v>
      </c>
      <c r="F34" s="269">
        <f t="shared" ca="1" si="5"/>
        <v>106.4160119047619</v>
      </c>
      <c r="G34" s="269">
        <f>'Monthly Data'!BD34</f>
        <v>37.391666666666666</v>
      </c>
      <c r="H34" s="269">
        <f>'Monthly Data'!BG34</f>
        <v>112.67916666666666</v>
      </c>
      <c r="I34" s="18">
        <f>'Monthly Data'!CG34</f>
        <v>0</v>
      </c>
      <c r="J34" s="4">
        <f>'Monthly Data'!CD34</f>
        <v>30</v>
      </c>
      <c r="K34" s="24">
        <f>'Monthly Data'!K34</f>
        <v>4169</v>
      </c>
      <c r="M34" s="18"/>
      <c r="N34" s="18">
        <f ca="1">(E34-G34)*'GS&lt;50 Predicted Monthly'!$V$9</f>
        <v>-59694.376646709949</v>
      </c>
      <c r="O34" s="18">
        <f ca="1">(F34-H34)*'GS&lt;50 Predicted Monthly'!$V$10</f>
        <v>-79060.01033572029</v>
      </c>
      <c r="P34" s="18"/>
      <c r="Q34" s="18"/>
      <c r="R34" s="18"/>
      <c r="S34" s="271">
        <f t="shared" ref="S34:S65" ca="1" si="6">D34+N34+O34</f>
        <v>10475658.281160045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Data'!J35</f>
        <v>10086644.014943147</v>
      </c>
      <c r="E35" s="269">
        <f t="shared" ca="1" si="5"/>
        <v>181.36347826086953</v>
      </c>
      <c r="F35" s="269">
        <f t="shared" ca="1" si="5"/>
        <v>17.987083333333334</v>
      </c>
      <c r="G35" s="269">
        <f>'Monthly Data'!BD35</f>
        <v>124.7625</v>
      </c>
      <c r="H35" s="269">
        <f>'Monthly Data'!BG35</f>
        <v>29.654166666666669</v>
      </c>
      <c r="I35" s="18">
        <f>'Monthly Data'!CG35</f>
        <v>0</v>
      </c>
      <c r="J35" s="4">
        <f>'Monthly Data'!CD35</f>
        <v>31</v>
      </c>
      <c r="K35" s="24">
        <f>'Monthly Data'!K35</f>
        <v>4175</v>
      </c>
      <c r="M35" s="18"/>
      <c r="N35" s="18">
        <f ca="1">(E35-G35)*'GS&lt;50 Predicted Monthly'!$V$9</f>
        <v>305794.21021587978</v>
      </c>
      <c r="O35" s="18">
        <f ca="1">(F35-H35)*'GS&lt;50 Predicted Monthly'!$V$10</f>
        <v>-147273.97996477448</v>
      </c>
      <c r="P35" s="18"/>
      <c r="Q35" s="18"/>
      <c r="R35" s="18"/>
      <c r="S35" s="271">
        <f t="shared" ca="1" si="6"/>
        <v>10245164.245194253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Data'!J36</f>
        <v>11102990.29685051</v>
      </c>
      <c r="E36" s="269">
        <f t="shared" ca="1" si="5"/>
        <v>366.78033055712399</v>
      </c>
      <c r="F36" s="269">
        <f t="shared" ca="1" si="5"/>
        <v>0.8083333333333329</v>
      </c>
      <c r="G36" s="269">
        <f>'Monthly Data'!BD36</f>
        <v>382.61174242424244</v>
      </c>
      <c r="H36" s="269">
        <f>'Monthly Data'!BG36</f>
        <v>0</v>
      </c>
      <c r="I36" s="18">
        <f>'Monthly Data'!CG36</f>
        <v>0</v>
      </c>
      <c r="J36" s="4">
        <f>'Monthly Data'!CD36</f>
        <v>30</v>
      </c>
      <c r="K36" s="24">
        <f>'Monthly Data'!K36</f>
        <v>4189</v>
      </c>
      <c r="M36" s="18"/>
      <c r="N36" s="18">
        <f ca="1">(E36-G36)*'GS&lt;50 Predicted Monthly'!$V$9</f>
        <v>-85531.279445300199</v>
      </c>
      <c r="O36" s="18">
        <f ca="1">(F36-H36)*'GS&lt;50 Predicted Monthly'!$V$10</f>
        <v>10203.618482613561</v>
      </c>
      <c r="P36" s="18"/>
      <c r="Q36" s="18"/>
      <c r="R36" s="18"/>
      <c r="S36" s="271">
        <f t="shared" ca="1" si="6"/>
        <v>11027662.635887824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Data'!J37</f>
        <v>12738018.510544082</v>
      </c>
      <c r="E37" s="269">
        <f t="shared" ca="1" si="5"/>
        <v>515.92800724637686</v>
      </c>
      <c r="F37" s="269">
        <f t="shared" ca="1" si="5"/>
        <v>0</v>
      </c>
      <c r="G37" s="269">
        <f>'Monthly Data'!BD37</f>
        <v>674.31250000000011</v>
      </c>
      <c r="H37" s="269">
        <f>'Monthly Data'!BG37</f>
        <v>0</v>
      </c>
      <c r="I37" s="18">
        <f>'Monthly Data'!CG37</f>
        <v>0</v>
      </c>
      <c r="J37" s="4">
        <f>'Monthly Data'!CD37</f>
        <v>31</v>
      </c>
      <c r="K37" s="24">
        <f>'Monthly Data'!K37</f>
        <v>4186</v>
      </c>
      <c r="M37" s="18"/>
      <c r="N37" s="18">
        <f ca="1">(E37-G37)*'GS&lt;50 Predicted Monthly'!$V$9</f>
        <v>-855692.99966535438</v>
      </c>
      <c r="O37" s="18">
        <f ca="1">(F37-H37)*'GS&lt;50 Predicted Monthly'!$V$10</f>
        <v>0</v>
      </c>
      <c r="P37" s="18"/>
      <c r="Q37" s="18"/>
      <c r="R37" s="18"/>
      <c r="S37" s="271">
        <f t="shared" ca="1" si="6"/>
        <v>11882325.510878727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Data'!J38</f>
        <v>13743847.236236988</v>
      </c>
      <c r="E38" s="269">
        <f t="shared" ca="1" si="5"/>
        <v>635.33418478260876</v>
      </c>
      <c r="F38" s="269">
        <f t="shared" ca="1" si="5"/>
        <v>0</v>
      </c>
      <c r="G38" s="269">
        <f>'Monthly Data'!BD38</f>
        <v>688.53749999999991</v>
      </c>
      <c r="H38" s="269">
        <f>'Monthly Data'!BG38</f>
        <v>0</v>
      </c>
      <c r="I38" s="18">
        <f>'Monthly Data'!CG38</f>
        <v>0</v>
      </c>
      <c r="J38" s="4">
        <f>'Monthly Data'!CD38</f>
        <v>31</v>
      </c>
      <c r="K38" s="24">
        <f>'Monthly Data'!K38</f>
        <v>4200</v>
      </c>
      <c r="M38" s="18"/>
      <c r="N38" s="18">
        <f ca="1">(E38-G38)*'GS&lt;50 Predicted Monthly'!$V$9</f>
        <v>-287437.88990333065</v>
      </c>
      <c r="O38" s="18">
        <f ca="1">(F38-H38)*'GS&lt;50 Predicted Monthly'!$V$10</f>
        <v>0</v>
      </c>
      <c r="P38" s="18"/>
      <c r="Q38" s="18"/>
      <c r="R38" s="18"/>
      <c r="S38" s="271">
        <f t="shared" ca="1" si="6"/>
        <v>13456409.346333656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Data'!J39</f>
        <v>11791318.027232353</v>
      </c>
      <c r="E39" s="269">
        <f t="shared" ca="1" si="5"/>
        <v>567.65501811594208</v>
      </c>
      <c r="F39" s="269">
        <f t="shared" ca="1" si="5"/>
        <v>0</v>
      </c>
      <c r="G39" s="269">
        <f>'Monthly Data'!BD39</f>
        <v>520.49583333333328</v>
      </c>
      <c r="H39" s="269">
        <f>'Monthly Data'!BG39</f>
        <v>0</v>
      </c>
      <c r="I39" s="18">
        <f>'Monthly Data'!CG39</f>
        <v>0</v>
      </c>
      <c r="J39" s="4">
        <f>'Monthly Data'!CD39</f>
        <v>28</v>
      </c>
      <c r="K39" s="24">
        <f>'Monthly Data'!K39</f>
        <v>4210</v>
      </c>
      <c r="M39" s="18"/>
      <c r="N39" s="18">
        <f ca="1">(E39-G39)*'GS&lt;50 Predicted Monthly'!$V$9</f>
        <v>254783.68233420452</v>
      </c>
      <c r="O39" s="18">
        <f ca="1">(F39-H39)*'GS&lt;50 Predicted Monthly'!$V$10</f>
        <v>0</v>
      </c>
      <c r="P39" s="18"/>
      <c r="Q39" s="18"/>
      <c r="R39" s="18"/>
      <c r="S39" s="271">
        <f t="shared" ca="1" si="6"/>
        <v>12046101.709566558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Data'!J40</f>
        <v>12122391.504287651</v>
      </c>
      <c r="E40" s="269">
        <f t="shared" ca="1" si="5"/>
        <v>484.13298913043479</v>
      </c>
      <c r="F40" s="269">
        <f t="shared" ca="1" si="5"/>
        <v>0</v>
      </c>
      <c r="G40" s="269">
        <f>'Monthly Data'!BD40</f>
        <v>505.2791666666667</v>
      </c>
      <c r="H40" s="269">
        <f>'Monthly Data'!BG40</f>
        <v>0</v>
      </c>
      <c r="I40" s="18">
        <f>'Monthly Data'!CG40</f>
        <v>0</v>
      </c>
      <c r="J40" s="4">
        <f>'Monthly Data'!CD40</f>
        <v>31</v>
      </c>
      <c r="K40" s="24">
        <f>'Monthly Data'!K40</f>
        <v>4215</v>
      </c>
      <c r="M40" s="18"/>
      <c r="N40" s="18">
        <f ca="1">(E40-G40)*'GS&lt;50 Predicted Monthly'!$V$9</f>
        <v>-114244.99818667048</v>
      </c>
      <c r="O40" s="18">
        <f ca="1">(F40-H40)*'GS&lt;50 Predicted Monthly'!$V$10</f>
        <v>0</v>
      </c>
      <c r="P40" s="18"/>
      <c r="Q40" s="18"/>
      <c r="R40" s="18"/>
      <c r="S40" s="271">
        <f t="shared" ca="1" si="6"/>
        <v>12008146.506100981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Data'!J41</f>
        <v>11217887.058367977</v>
      </c>
      <c r="E41" s="269">
        <f t="shared" ca="1" si="5"/>
        <v>292.81107954545462</v>
      </c>
      <c r="F41" s="269">
        <f t="shared" ca="1" si="5"/>
        <v>2.1908333333333347</v>
      </c>
      <c r="G41" s="269">
        <f>'Monthly Data'!BD41</f>
        <v>392.51666666666677</v>
      </c>
      <c r="H41" s="269">
        <f>'Monthly Data'!BG41</f>
        <v>0</v>
      </c>
      <c r="I41" s="18">
        <f>'Monthly Data'!CG41</f>
        <v>0</v>
      </c>
      <c r="J41" s="4">
        <f>'Monthly Data'!CD41</f>
        <v>30</v>
      </c>
      <c r="K41" s="24">
        <f>'Monthly Data'!K41</f>
        <v>4218</v>
      </c>
      <c r="M41" s="18"/>
      <c r="N41" s="18">
        <f ca="1">(E41-G41)*'GS&lt;50 Predicted Monthly'!$V$9</f>
        <v>-538672.51423320675</v>
      </c>
      <c r="O41" s="18">
        <f ca="1">(F41-H41)*'GS&lt;50 Predicted Monthly'!$V$10</f>
        <v>27654.961846176375</v>
      </c>
      <c r="P41" s="18"/>
      <c r="Q41" s="18"/>
      <c r="R41" s="18"/>
      <c r="S41" s="271">
        <f t="shared" ca="1" si="6"/>
        <v>10706869.505980946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Data'!J42</f>
        <v>10536315.185701128</v>
      </c>
      <c r="E42" s="269">
        <f t="shared" ca="1" si="5"/>
        <v>103.25939244851259</v>
      </c>
      <c r="F42" s="269">
        <f t="shared" ca="1" si="5"/>
        <v>52.487435064935063</v>
      </c>
      <c r="G42" s="269">
        <f>'Monthly Data'!BD42</f>
        <v>53.462500000000013</v>
      </c>
      <c r="H42" s="269">
        <f>'Monthly Data'!BG42</f>
        <v>80.600541125541127</v>
      </c>
      <c r="I42" s="18">
        <f>'Monthly Data'!CG42</f>
        <v>0</v>
      </c>
      <c r="J42" s="4">
        <f>'Monthly Data'!CD42</f>
        <v>31</v>
      </c>
      <c r="K42" s="24">
        <f>'Monthly Data'!K42</f>
        <v>4162</v>
      </c>
      <c r="M42" s="18"/>
      <c r="N42" s="18">
        <f ca="1">(E42-G42)*'GS&lt;50 Predicted Monthly'!$V$9</f>
        <v>269034.24402516818</v>
      </c>
      <c r="O42" s="18">
        <f ca="1">(F42-H42)*'GS&lt;50 Predicted Monthly'!$V$10</f>
        <v>-354872.67043753673</v>
      </c>
      <c r="P42" s="18"/>
      <c r="Q42" s="18"/>
      <c r="R42" s="18"/>
      <c r="S42" s="271">
        <f t="shared" ca="1" si="6"/>
        <v>10450476.75928876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Data'!J43</f>
        <v>10734643.372216791</v>
      </c>
      <c r="E43" s="269">
        <f t="shared" ca="1" si="5"/>
        <v>11.89069871794872</v>
      </c>
      <c r="F43" s="269">
        <f t="shared" ca="1" si="5"/>
        <v>137.65451754405018</v>
      </c>
      <c r="G43" s="269">
        <f>'Monthly Data'!BD43</f>
        <v>7.645833333333325</v>
      </c>
      <c r="H43" s="269">
        <f>'Monthly Data'!BG43</f>
        <v>141.51477272727271</v>
      </c>
      <c r="I43" s="18">
        <f>'Monthly Data'!CG43</f>
        <v>0</v>
      </c>
      <c r="J43" s="4">
        <f>'Monthly Data'!CD43</f>
        <v>30</v>
      </c>
      <c r="K43" s="24">
        <f>'Monthly Data'!K43</f>
        <v>4160</v>
      </c>
      <c r="M43" s="18"/>
      <c r="N43" s="18">
        <f ca="1">(E43-G43)*'GS&lt;50 Predicted Monthly'!$V$9</f>
        <v>22933.442100215216</v>
      </c>
      <c r="O43" s="18">
        <f ca="1">(F43-H43)*'GS&lt;50 Predicted Monthly'!$V$10</f>
        <v>-48728.129239341368</v>
      </c>
      <c r="P43" s="18"/>
      <c r="Q43" s="18"/>
      <c r="R43" s="18"/>
      <c r="S43" s="271">
        <f t="shared" ca="1" si="6"/>
        <v>10708848.685077665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Data'!J44</f>
        <v>12267261.026286196</v>
      </c>
      <c r="E44" s="269">
        <f t="shared" ca="1" si="5"/>
        <v>7.4583333333333002E-2</v>
      </c>
      <c r="F44" s="269">
        <f t="shared" ca="1" si="5"/>
        <v>235.94737858727848</v>
      </c>
      <c r="G44" s="269">
        <f>'Monthly Data'!BD44</f>
        <v>0</v>
      </c>
      <c r="H44" s="269">
        <f>'Monthly Data'!BG44</f>
        <v>256.39861424807077</v>
      </c>
      <c r="I44" s="18">
        <f>'Monthly Data'!CG44</f>
        <v>0</v>
      </c>
      <c r="J44" s="4">
        <f>'Monthly Data'!CD44</f>
        <v>31</v>
      </c>
      <c r="K44" s="24">
        <f>'Monthly Data'!K44</f>
        <v>4168</v>
      </c>
      <c r="M44" s="18"/>
      <c r="N44" s="18">
        <f ca="1">(E44-G44)*'GS&lt;50 Predicted Monthly'!$V$9</f>
        <v>402.94624249810443</v>
      </c>
      <c r="O44" s="18">
        <f ca="1">(F44-H44)*'GS&lt;50 Predicted Monthly'!$V$10</f>
        <v>-258156.62620298465</v>
      </c>
      <c r="P44" s="18"/>
      <c r="Q44" s="18"/>
      <c r="R44" s="18"/>
      <c r="S44" s="271">
        <f t="shared" ca="1" si="6"/>
        <v>12009507.34632571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Data'!J45</f>
        <v>12704659.584958429</v>
      </c>
      <c r="E45" s="269">
        <f t="shared" ca="1" si="5"/>
        <v>0.75041666666666718</v>
      </c>
      <c r="F45" s="269">
        <f t="shared" ca="1" si="5"/>
        <v>210.96558794466404</v>
      </c>
      <c r="G45" s="269">
        <f>'Monthly Data'!BD45</f>
        <v>0</v>
      </c>
      <c r="H45" s="269">
        <f>'Monthly Data'!BG45</f>
        <v>252.24583333333339</v>
      </c>
      <c r="I45" s="18">
        <f>'Monthly Data'!CG45</f>
        <v>0</v>
      </c>
      <c r="J45" s="4">
        <f>'Monthly Data'!CD45</f>
        <v>31</v>
      </c>
      <c r="K45" s="24">
        <f>'Monthly Data'!K45</f>
        <v>4184</v>
      </c>
      <c r="M45" s="18"/>
      <c r="N45" s="18">
        <f ca="1">(E45-G45)*'GS&lt;50 Predicted Monthly'!$V$9</f>
        <v>4054.2244845759205</v>
      </c>
      <c r="O45" s="18">
        <f ca="1">(F45-H45)*'GS&lt;50 Predicted Monthly'!$V$10</f>
        <v>-521081.90698719601</v>
      </c>
      <c r="P45" s="18"/>
      <c r="Q45" s="18"/>
      <c r="R45" s="18"/>
      <c r="S45" s="271">
        <f t="shared" ca="1" si="6"/>
        <v>12187631.902455809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Data'!J46</f>
        <v>11179301.159690389</v>
      </c>
      <c r="E46" s="269">
        <f t="shared" ca="1" si="5"/>
        <v>26.342536231884061</v>
      </c>
      <c r="F46" s="269">
        <f t="shared" ca="1" si="5"/>
        <v>106.4160119047619</v>
      </c>
      <c r="G46" s="269">
        <f>'Monthly Data'!BD46</f>
        <v>33.279166666666669</v>
      </c>
      <c r="H46" s="269">
        <f>'Monthly Data'!BG46</f>
        <v>135.06250000000003</v>
      </c>
      <c r="I46" s="18">
        <f>'Monthly Data'!CG46</f>
        <v>0</v>
      </c>
      <c r="J46" s="4">
        <f>'Monthly Data'!CD46</f>
        <v>30</v>
      </c>
      <c r="K46" s="24">
        <f>'Monthly Data'!K46</f>
        <v>4221</v>
      </c>
      <c r="M46" s="18"/>
      <c r="N46" s="18">
        <f ca="1">(E46-G46)*'GS&lt;50 Predicted Monthly'!$V$9</f>
        <v>-37476.055901143998</v>
      </c>
      <c r="O46" s="18">
        <f ca="1">(F46-H46)*'GS&lt;50 Predicted Monthly'!$V$10</f>
        <v>-361605.56955530879</v>
      </c>
      <c r="P46" s="18"/>
      <c r="Q46" s="18"/>
      <c r="R46" s="18"/>
      <c r="S46" s="271">
        <f t="shared" ca="1" si="6"/>
        <v>10780219.534233937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Data'!J47</f>
        <v>11018001.264524272</v>
      </c>
      <c r="E47" s="269">
        <f t="shared" ca="1" si="5"/>
        <v>181.36347826086953</v>
      </c>
      <c r="F47" s="269">
        <f t="shared" ca="1" si="5"/>
        <v>17.987083333333334</v>
      </c>
      <c r="G47" s="269">
        <f>'Monthly Data'!BD47</f>
        <v>248.88749999999993</v>
      </c>
      <c r="H47" s="269">
        <f>'Monthly Data'!BG47</f>
        <v>15.387500000000001</v>
      </c>
      <c r="I47" s="18">
        <f>'Monthly Data'!CG47</f>
        <v>0</v>
      </c>
      <c r="J47" s="4">
        <f>'Monthly Data'!CD47</f>
        <v>31</v>
      </c>
      <c r="K47" s="24">
        <f>'Monthly Data'!K47</f>
        <v>4238</v>
      </c>
      <c r="M47" s="18"/>
      <c r="N47" s="18">
        <f ca="1">(E47-G47)*'GS&lt;50 Predicted Monthly'!$V$9</f>
        <v>-364807.38553934795</v>
      </c>
      <c r="O47" s="18">
        <f ca="1">(F47-H47)*'GS&lt;50 Predicted Monthly'!$V$10</f>
        <v>32814.626656198991</v>
      </c>
      <c r="P47" s="18"/>
      <c r="Q47" s="18"/>
      <c r="R47" s="18"/>
      <c r="S47" s="271">
        <f t="shared" ca="1" si="6"/>
        <v>10686008.505641123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Data'!J48</f>
        <v>11411106.129039779</v>
      </c>
      <c r="E48" s="269">
        <f t="shared" ca="1" si="5"/>
        <v>366.78033055712399</v>
      </c>
      <c r="F48" s="269">
        <f t="shared" ca="1" si="5"/>
        <v>0.8083333333333329</v>
      </c>
      <c r="G48" s="269">
        <f>'Monthly Data'!BD48</f>
        <v>443.52500000000003</v>
      </c>
      <c r="H48" s="269">
        <f>'Monthly Data'!BG48</f>
        <v>0</v>
      </c>
      <c r="I48" s="18">
        <f>'Monthly Data'!CG48</f>
        <v>0</v>
      </c>
      <c r="J48" s="4">
        <f>'Monthly Data'!CD48</f>
        <v>30</v>
      </c>
      <c r="K48" s="24">
        <f>'Monthly Data'!K48</f>
        <v>4206</v>
      </c>
      <c r="M48" s="18"/>
      <c r="N48" s="18">
        <f ca="1">(E48-G48)*'GS&lt;50 Predicted Monthly'!$V$9</f>
        <v>-414623.14436334476</v>
      </c>
      <c r="O48" s="18">
        <f ca="1">(F48-H48)*'GS&lt;50 Predicted Monthly'!$V$10</f>
        <v>10203.618482613561</v>
      </c>
      <c r="P48" s="18"/>
      <c r="Q48" s="18"/>
      <c r="R48" s="18"/>
      <c r="S48" s="271">
        <f t="shared" ca="1" si="6"/>
        <v>11006686.603159048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Data'!J49</f>
        <v>11879583.682943571</v>
      </c>
      <c r="E49" s="269">
        <f t="shared" ca="1" si="5"/>
        <v>515.92800724637686</v>
      </c>
      <c r="F49" s="269">
        <f t="shared" ca="1" si="5"/>
        <v>0</v>
      </c>
      <c r="G49" s="269">
        <f>'Monthly Data'!BD49</f>
        <v>522.91666666666663</v>
      </c>
      <c r="H49" s="269">
        <f>'Monthly Data'!BG49</f>
        <v>0</v>
      </c>
      <c r="I49" s="18">
        <f>'Monthly Data'!CG49</f>
        <v>0</v>
      </c>
      <c r="J49" s="4">
        <f>'Monthly Data'!CD49</f>
        <v>31</v>
      </c>
      <c r="K49" s="24">
        <f>'Monthly Data'!K49</f>
        <v>4210</v>
      </c>
      <c r="M49" s="18"/>
      <c r="N49" s="18">
        <f ca="1">(E49-G49)*'GS&lt;50 Predicted Monthly'!$V$9</f>
        <v>-37757.149320734126</v>
      </c>
      <c r="O49" s="18">
        <f ca="1">(F49-H49)*'GS&lt;50 Predicted Monthly'!$V$10</f>
        <v>0</v>
      </c>
      <c r="P49" s="18"/>
      <c r="Q49" s="18"/>
      <c r="R49" s="18"/>
      <c r="S49" s="271">
        <f t="shared" ca="1" si="6"/>
        <v>11841826.533622837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Data'!J50</f>
        <v>12427019.357755447</v>
      </c>
      <c r="E50" s="269">
        <f t="shared" ref="E50:F65" ca="1" si="7">E38</f>
        <v>635.33418478260876</v>
      </c>
      <c r="F50" s="269">
        <f t="shared" ca="1" si="7"/>
        <v>0</v>
      </c>
      <c r="G50" s="269">
        <f>'Monthly Data'!BD50</f>
        <v>717.93333333333339</v>
      </c>
      <c r="H50" s="269">
        <f>'Monthly Data'!BG50</f>
        <v>0</v>
      </c>
      <c r="I50" s="18">
        <f>'Monthly Data'!CG50</f>
        <v>0</v>
      </c>
      <c r="J50" s="4">
        <f>'Monthly Data'!CD50</f>
        <v>31</v>
      </c>
      <c r="K50" s="24">
        <f>'Monthly Data'!K50</f>
        <v>4216</v>
      </c>
      <c r="M50" s="18"/>
      <c r="N50" s="18">
        <f ca="1">(E50-G50)*'GS&lt;50 Predicted Monthly'!$V$9</f>
        <v>-446252.73575942864</v>
      </c>
      <c r="O50" s="18">
        <f ca="1">(F50-H50)*'GS&lt;50 Predicted Monthly'!$V$10</f>
        <v>0</v>
      </c>
      <c r="P50" s="18"/>
      <c r="Q50" s="18"/>
      <c r="R50" s="18"/>
      <c r="S50" s="271">
        <f t="shared" ca="1" si="6"/>
        <v>11980766.621996019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Data'!J51</f>
        <v>10817934.01399897</v>
      </c>
      <c r="E51" s="269">
        <f t="shared" ca="1" si="7"/>
        <v>567.65501811594208</v>
      </c>
      <c r="F51" s="269">
        <f t="shared" ca="1" si="7"/>
        <v>0</v>
      </c>
      <c r="G51" s="269">
        <f>'Monthly Data'!BD51</f>
        <v>583.30416666666656</v>
      </c>
      <c r="H51" s="269">
        <f>'Monthly Data'!BG51</f>
        <v>0</v>
      </c>
      <c r="I51" s="18">
        <f>'Monthly Data'!CG51</f>
        <v>0</v>
      </c>
      <c r="J51" s="4">
        <f>'Monthly Data'!CD51</f>
        <v>28</v>
      </c>
      <c r="K51" s="24">
        <f>'Monthly Data'!K51</f>
        <v>4209</v>
      </c>
      <c r="M51" s="18"/>
      <c r="N51" s="18">
        <f ca="1">(E51-G51)*'GS&lt;50 Predicted Monthly'!$V$9</f>
        <v>-84546.577968390324</v>
      </c>
      <c r="O51" s="18">
        <f ca="1">(F51-H51)*'GS&lt;50 Predicted Monthly'!$V$10</f>
        <v>0</v>
      </c>
      <c r="P51" s="18"/>
      <c r="Q51" s="18"/>
      <c r="R51" s="18"/>
      <c r="S51" s="271">
        <f t="shared" ca="1" si="6"/>
        <v>10733387.43603058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Data'!J52</f>
        <v>11178126.224762458</v>
      </c>
      <c r="E52" s="269">
        <f t="shared" ca="1" si="7"/>
        <v>484.13298913043479</v>
      </c>
      <c r="F52" s="269">
        <f t="shared" ca="1" si="7"/>
        <v>0</v>
      </c>
      <c r="G52" s="269">
        <f>'Monthly Data'!BD52</f>
        <v>549.45833333333326</v>
      </c>
      <c r="H52" s="269">
        <f>'Monthly Data'!BG52</f>
        <v>0</v>
      </c>
      <c r="I52" s="18">
        <f>'Monthly Data'!CG52</f>
        <v>0</v>
      </c>
      <c r="J52" s="4">
        <f>'Monthly Data'!CD52</f>
        <v>31</v>
      </c>
      <c r="K52" s="24">
        <f>'Monthly Data'!K52</f>
        <v>4202</v>
      </c>
      <c r="M52" s="18"/>
      <c r="N52" s="18">
        <f ca="1">(E52-G52)*'GS&lt;50 Predicted Monthly'!$V$9</f>
        <v>-352928.74171781068</v>
      </c>
      <c r="O52" s="18">
        <f ca="1">(F52-H52)*'GS&lt;50 Predicted Monthly'!$V$10</f>
        <v>0</v>
      </c>
      <c r="P52" s="18"/>
      <c r="Q52" s="18"/>
      <c r="R52" s="18"/>
      <c r="S52" s="271">
        <f t="shared" ca="1" si="6"/>
        <v>10825197.483044649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Data'!J53</f>
        <v>9605223.0161340497</v>
      </c>
      <c r="E53" s="269">
        <f t="shared" ca="1" si="7"/>
        <v>292.81107954545462</v>
      </c>
      <c r="F53" s="269">
        <f t="shared" ca="1" si="7"/>
        <v>2.1908333333333347</v>
      </c>
      <c r="G53" s="269">
        <f>'Monthly Data'!BD53</f>
        <v>306.65416666666664</v>
      </c>
      <c r="H53" s="269">
        <f>'Monthly Data'!BG53</f>
        <v>0</v>
      </c>
      <c r="I53" s="18">
        <f>'Monthly Data'!CG53</f>
        <v>0</v>
      </c>
      <c r="J53" s="4">
        <f>'Monthly Data'!CD53</f>
        <v>30</v>
      </c>
      <c r="K53" s="24">
        <f>'Monthly Data'!K53</f>
        <v>4202</v>
      </c>
      <c r="M53" s="18"/>
      <c r="N53" s="18">
        <f ca="1">(E53-G53)*'GS&lt;50 Predicted Monthly'!$V$9</f>
        <v>-74789.094168486845</v>
      </c>
      <c r="O53" s="18">
        <f ca="1">(F53-H53)*'GS&lt;50 Predicted Monthly'!$V$10</f>
        <v>27654.961846176375</v>
      </c>
      <c r="P53" s="18"/>
      <c r="Q53" s="18"/>
      <c r="R53" s="18"/>
      <c r="S53" s="271">
        <f t="shared" ca="1" si="6"/>
        <v>9558088.8838117402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Data'!J54</f>
        <v>9221277.1523471624</v>
      </c>
      <c r="E54" s="269">
        <f t="shared" ca="1" si="7"/>
        <v>103.25939244851259</v>
      </c>
      <c r="F54" s="269">
        <f t="shared" ca="1" si="7"/>
        <v>52.487435064935063</v>
      </c>
      <c r="G54" s="269">
        <f>'Monthly Data'!BD54</f>
        <v>145.93881578947367</v>
      </c>
      <c r="H54" s="269">
        <f>'Monthly Data'!BG54</f>
        <v>11.208333333333332</v>
      </c>
      <c r="I54" s="18">
        <f>'Monthly Data'!CG54</f>
        <v>0</v>
      </c>
      <c r="J54" s="4">
        <f>'Monthly Data'!CD54</f>
        <v>31</v>
      </c>
      <c r="K54" s="24">
        <f>'Monthly Data'!K54</f>
        <v>4196</v>
      </c>
      <c r="M54" s="18"/>
      <c r="N54" s="18">
        <f ca="1">(E54-G54)*'GS&lt;50 Predicted Monthly'!$V$9</f>
        <v>-230581.18347118975</v>
      </c>
      <c r="O54" s="18">
        <f ca="1">(F54-H54)*'GS&lt;50 Predicted Monthly'!$V$10</f>
        <v>521067.47056609124</v>
      </c>
      <c r="P54" s="18"/>
      <c r="Q54" s="18"/>
      <c r="R54" s="18"/>
      <c r="S54" s="271">
        <f t="shared" ca="1" si="6"/>
        <v>9511763.4394420646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Data'!J55</f>
        <v>9417230.9671708588</v>
      </c>
      <c r="E55" s="269">
        <f t="shared" ca="1" si="7"/>
        <v>11.89069871794872</v>
      </c>
      <c r="F55" s="269">
        <f t="shared" ca="1" si="7"/>
        <v>137.65451754405018</v>
      </c>
      <c r="G55" s="269">
        <f>'Monthly Data'!BD55</f>
        <v>21.925000000000018</v>
      </c>
      <c r="H55" s="269">
        <f>'Monthly Data'!BG55</f>
        <v>118.81666666666663</v>
      </c>
      <c r="I55" s="18">
        <f>'Monthly Data'!CG55</f>
        <v>0</v>
      </c>
      <c r="J55" s="4">
        <f>'Monthly Data'!CD55</f>
        <v>30</v>
      </c>
      <c r="K55" s="24">
        <f>'Monthly Data'!K55</f>
        <v>4194</v>
      </c>
      <c r="M55" s="18"/>
      <c r="N55" s="18">
        <f ca="1">(E55-G55)*'GS&lt;50 Predicted Monthly'!$V$9</f>
        <v>-54211.629019394422</v>
      </c>
      <c r="O55" s="18">
        <f ca="1">(F55-H55)*'GS&lt;50 Predicted Monthly'!$V$10</f>
        <v>237790.81655899662</v>
      </c>
      <c r="P55" s="18"/>
      <c r="Q55" s="18"/>
      <c r="R55" s="18"/>
      <c r="S55" s="271">
        <f t="shared" ca="1" si="6"/>
        <v>9600810.1547104605</v>
      </c>
    </row>
    <row r="56" spans="1:19" x14ac:dyDescent="0.25">
      <c r="A56" s="3">
        <f>'Monthly Data'!A56</f>
        <v>43647</v>
      </c>
      <c r="B56" s="1">
        <f t="shared" ref="B56:B115" si="8">YEAR(A56)</f>
        <v>2019</v>
      </c>
      <c r="C56" s="1">
        <f t="shared" ref="C56:C115" si="9">MONTH(A56)</f>
        <v>7</v>
      </c>
      <c r="D56" s="259">
        <f>'Monthly Data'!J56</f>
        <v>11222943.646553386</v>
      </c>
      <c r="E56" s="269">
        <f t="shared" ca="1" si="7"/>
        <v>7.4583333333333002E-2</v>
      </c>
      <c r="F56" s="269">
        <f t="shared" ca="1" si="7"/>
        <v>235.94737858727848</v>
      </c>
      <c r="G56" s="269">
        <f>'Monthly Data'!BD56</f>
        <v>0</v>
      </c>
      <c r="H56" s="269">
        <f>'Monthly Data'!BG56</f>
        <v>259.60000000000008</v>
      </c>
      <c r="I56" s="18">
        <f>'Monthly Data'!CG56</f>
        <v>0</v>
      </c>
      <c r="J56" s="4">
        <f>'Monthly Data'!CD56</f>
        <v>31</v>
      </c>
      <c r="K56" s="24">
        <f>'Monthly Data'!K56</f>
        <v>4188</v>
      </c>
      <c r="M56" s="18"/>
      <c r="N56" s="18">
        <f ca="1">(E56-G56)*'GS&lt;50 Predicted Monthly'!$V$9</f>
        <v>402.94624249810443</v>
      </c>
      <c r="O56" s="18">
        <f ca="1">(F56-H56)*'GS&lt;50 Predicted Monthly'!$V$10</f>
        <v>-298567.8247535351</v>
      </c>
      <c r="P56" s="18"/>
      <c r="Q56" s="18"/>
      <c r="R56" s="18"/>
      <c r="S56" s="271">
        <f t="shared" ca="1" si="6"/>
        <v>10924778.768042348</v>
      </c>
    </row>
    <row r="57" spans="1:19" x14ac:dyDescent="0.25">
      <c r="A57" s="3">
        <f>'Monthly Data'!A57</f>
        <v>43678</v>
      </c>
      <c r="B57" s="1">
        <f t="shared" si="8"/>
        <v>2019</v>
      </c>
      <c r="C57" s="1">
        <f t="shared" si="9"/>
        <v>8</v>
      </c>
      <c r="D57" s="259">
        <f>'Monthly Data'!J57</f>
        <v>10444170.994703799</v>
      </c>
      <c r="E57" s="269">
        <f t="shared" ca="1" si="7"/>
        <v>0.75041666666666718</v>
      </c>
      <c r="F57" s="269">
        <f t="shared" ca="1" si="7"/>
        <v>210.96558794466404</v>
      </c>
      <c r="G57" s="269">
        <f>'Monthly Data'!BD57</f>
        <v>0</v>
      </c>
      <c r="H57" s="269">
        <f>'Monthly Data'!BG57</f>
        <v>190.07083333333335</v>
      </c>
      <c r="I57" s="18">
        <f>'Monthly Data'!CG57</f>
        <v>0</v>
      </c>
      <c r="J57" s="4">
        <f>'Monthly Data'!CD57</f>
        <v>31</v>
      </c>
      <c r="K57" s="24">
        <f>'Monthly Data'!K57</f>
        <v>4187</v>
      </c>
      <c r="M57" s="18"/>
      <c r="N57" s="18">
        <f ca="1">(E57-G57)*'GS&lt;50 Predicted Monthly'!$V$9</f>
        <v>4054.2244845759205</v>
      </c>
      <c r="O57" s="18">
        <f ca="1">(F57-H57)*'GS&lt;50 Predicted Monthly'!$V$10</f>
        <v>263755.18062909134</v>
      </c>
      <c r="P57" s="18"/>
      <c r="Q57" s="18"/>
      <c r="R57" s="18"/>
      <c r="S57" s="271">
        <f t="shared" ca="1" si="6"/>
        <v>10711980.399817467</v>
      </c>
    </row>
    <row r="58" spans="1:19" x14ac:dyDescent="0.25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59">
        <f>'Monthly Data'!J58</f>
        <v>9115439.8190174215</v>
      </c>
      <c r="E58" s="269">
        <f t="shared" ca="1" si="7"/>
        <v>26.342536231884061</v>
      </c>
      <c r="F58" s="269">
        <f t="shared" ca="1" si="7"/>
        <v>106.4160119047619</v>
      </c>
      <c r="G58" s="269">
        <f>'Monthly Data'!BD58</f>
        <v>21.004166666666656</v>
      </c>
      <c r="H58" s="269">
        <f>'Monthly Data'!BG58</f>
        <v>76.5</v>
      </c>
      <c r="I58" s="18">
        <f>'Monthly Data'!CG58</f>
        <v>0</v>
      </c>
      <c r="J58" s="4">
        <f>'Monthly Data'!CD58</f>
        <v>30</v>
      </c>
      <c r="K58" s="24">
        <f>'Monthly Data'!K58</f>
        <v>4186</v>
      </c>
      <c r="M58" s="18"/>
      <c r="N58" s="18">
        <f ca="1">(E58-G58)*'GS&lt;50 Predicted Monthly'!$V$9</f>
        <v>28841.241886533215</v>
      </c>
      <c r="O58" s="18">
        <f ca="1">(F58-H58)*'GS&lt;50 Predicted Monthly'!$V$10</f>
        <v>377630.81071857654</v>
      </c>
      <c r="P58" s="18"/>
      <c r="Q58" s="18"/>
      <c r="R58" s="18"/>
      <c r="S58" s="271">
        <f t="shared" ca="1" si="6"/>
        <v>9521911.8716225326</v>
      </c>
    </row>
    <row r="59" spans="1:19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Data'!J59</f>
        <v>9056576.7105109673</v>
      </c>
      <c r="E59" s="269">
        <f t="shared" ca="1" si="7"/>
        <v>181.36347826086953</v>
      </c>
      <c r="F59" s="269">
        <f t="shared" ca="1" si="7"/>
        <v>17.987083333333334</v>
      </c>
      <c r="G59" s="269">
        <f>'Monthly Data'!BD59</f>
        <v>183.7791666666667</v>
      </c>
      <c r="H59" s="269">
        <f>'Monthly Data'!BG59</f>
        <v>7.3333333333333357</v>
      </c>
      <c r="I59" s="18">
        <f>'Monthly Data'!CG59</f>
        <v>0</v>
      </c>
      <c r="J59" s="4">
        <f>'Monthly Data'!CD59</f>
        <v>31</v>
      </c>
      <c r="K59" s="24">
        <f>'Monthly Data'!K59</f>
        <v>4187</v>
      </c>
      <c r="M59" s="18"/>
      <c r="N59" s="18">
        <f ca="1">(E59-G59)*'GS&lt;50 Predicted Monthly'!$V$9</f>
        <v>-13051.073512789406</v>
      </c>
      <c r="O59" s="18">
        <f ca="1">(F59-H59)*'GS&lt;50 Predicted Monthly'!$V$10</f>
        <v>134482.6396814156</v>
      </c>
      <c r="P59" s="18"/>
      <c r="Q59" s="18"/>
      <c r="R59" s="18"/>
      <c r="S59" s="271">
        <f t="shared" ca="1" si="6"/>
        <v>9178008.2766795941</v>
      </c>
    </row>
    <row r="60" spans="1:19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Data'!J60</f>
        <v>10350429.699744491</v>
      </c>
      <c r="E60" s="269">
        <f t="shared" ca="1" si="7"/>
        <v>366.78033055712399</v>
      </c>
      <c r="F60" s="269">
        <f t="shared" ca="1" si="7"/>
        <v>0.8083333333333329</v>
      </c>
      <c r="G60" s="269">
        <f>'Monthly Data'!BD60</f>
        <v>469.72499999999997</v>
      </c>
      <c r="H60" s="269">
        <f>'Monthly Data'!BG60</f>
        <v>0</v>
      </c>
      <c r="I60" s="18">
        <f>'Monthly Data'!CG60</f>
        <v>0</v>
      </c>
      <c r="J60" s="4">
        <f>'Monthly Data'!CD60</f>
        <v>30</v>
      </c>
      <c r="K60" s="24">
        <f>'Monthly Data'!K60</f>
        <v>4184</v>
      </c>
      <c r="M60" s="18"/>
      <c r="N60" s="18">
        <f ca="1">(E60-G60)*'GS&lt;50 Predicted Monthly'!$V$9</f>
        <v>-556172.08139284677</v>
      </c>
      <c r="O60" s="18">
        <f ca="1">(F60-H60)*'GS&lt;50 Predicted Monthly'!$V$10</f>
        <v>10203.618482613561</v>
      </c>
      <c r="P60" s="18"/>
      <c r="Q60" s="18"/>
      <c r="R60" s="18"/>
      <c r="S60" s="271">
        <f t="shared" ca="1" si="6"/>
        <v>9804461.2368342578</v>
      </c>
    </row>
    <row r="61" spans="1:19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Data'!J61</f>
        <v>11008452.135093993</v>
      </c>
      <c r="E61" s="269">
        <f t="shared" ca="1" si="7"/>
        <v>515.92800724637686</v>
      </c>
      <c r="F61" s="269">
        <f t="shared" ca="1" si="7"/>
        <v>0</v>
      </c>
      <c r="G61" s="269">
        <f>'Monthly Data'!BD61</f>
        <v>552.42916666666667</v>
      </c>
      <c r="H61" s="269">
        <f>'Monthly Data'!BG61</f>
        <v>0</v>
      </c>
      <c r="I61" s="18">
        <f>'Monthly Data'!CG61</f>
        <v>0</v>
      </c>
      <c r="J61" s="4">
        <f>'Monthly Data'!CD61</f>
        <v>31</v>
      </c>
      <c r="K61" s="24">
        <f>'Monthly Data'!K61</f>
        <v>4187</v>
      </c>
      <c r="M61" s="18"/>
      <c r="N61" s="18">
        <f ca="1">(E61-G61)*'GS&lt;50 Predicted Monthly'!$V$9</f>
        <v>-197202.30214833695</v>
      </c>
      <c r="O61" s="18">
        <f ca="1">(F61-H61)*'GS&lt;50 Predicted Monthly'!$V$10</f>
        <v>0</v>
      </c>
      <c r="P61" s="18"/>
      <c r="Q61" s="18"/>
      <c r="R61" s="18"/>
      <c r="S61" s="271">
        <f t="shared" ca="1" si="6"/>
        <v>10811249.832945656</v>
      </c>
    </row>
    <row r="62" spans="1:19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Data'!J62</f>
        <v>12171705.298896791</v>
      </c>
      <c r="E62" s="269">
        <f t="shared" ca="1" si="7"/>
        <v>635.33418478260876</v>
      </c>
      <c r="F62" s="269">
        <f t="shared" ca="1" si="7"/>
        <v>0</v>
      </c>
      <c r="G62" s="269">
        <f>'Monthly Data'!BD62</f>
        <v>566.82083333333333</v>
      </c>
      <c r="H62" s="269">
        <f>'Monthly Data'!BG62</f>
        <v>0</v>
      </c>
      <c r="I62" s="18">
        <f>'Monthly Data'!CG62</f>
        <v>0</v>
      </c>
      <c r="J62" s="4">
        <f>'Monthly Data'!CD62</f>
        <v>31</v>
      </c>
      <c r="K62" s="24">
        <f>'Monthly Data'!K62</f>
        <v>4193</v>
      </c>
      <c r="M62" s="18"/>
      <c r="N62" s="18">
        <f ca="1">(E62-G62)*'GS&lt;50 Predicted Monthly'!$V$9</f>
        <v>370152.36908296373</v>
      </c>
      <c r="O62" s="18">
        <f ca="1">(F62-H62)*'GS&lt;50 Predicted Monthly'!$V$10</f>
        <v>0</v>
      </c>
      <c r="P62" s="18"/>
      <c r="Q62" s="18"/>
      <c r="R62" s="18"/>
      <c r="S62" s="271">
        <f t="shared" ca="1" si="6"/>
        <v>12541857.667979755</v>
      </c>
    </row>
    <row r="63" spans="1:19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Data'!J63</f>
        <v>11320017.388098987</v>
      </c>
      <c r="E63" s="269">
        <f t="shared" ca="1" si="7"/>
        <v>567.65501811594208</v>
      </c>
      <c r="F63" s="269">
        <f t="shared" ca="1" si="7"/>
        <v>0</v>
      </c>
      <c r="G63" s="269">
        <f>'Monthly Data'!BD63</f>
        <v>562.4</v>
      </c>
      <c r="H63" s="269">
        <f>'Monthly Data'!BG63</f>
        <v>0</v>
      </c>
      <c r="I63" s="18">
        <f>'Monthly Data'!CG63</f>
        <v>0</v>
      </c>
      <c r="J63" s="4">
        <f>'Monthly Data'!CD63</f>
        <v>29</v>
      </c>
      <c r="K63" s="24">
        <f>'Monthly Data'!K63</f>
        <v>4199</v>
      </c>
      <c r="M63" s="18"/>
      <c r="N63" s="18">
        <f ca="1">(E63-G63)*'GS&lt;50 Predicted Monthly'!$V$9</f>
        <v>28390.924747419209</v>
      </c>
      <c r="O63" s="18">
        <f ca="1">(F63-H63)*'GS&lt;50 Predicted Monthly'!$V$10</f>
        <v>0</v>
      </c>
      <c r="P63" s="18"/>
      <c r="Q63" s="18"/>
      <c r="R63" s="18"/>
      <c r="S63" s="271">
        <f t="shared" ca="1" si="6"/>
        <v>11348408.312846405</v>
      </c>
    </row>
    <row r="64" spans="1:19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Data'!J64</f>
        <v>10567020.275292698</v>
      </c>
      <c r="E64" s="269">
        <f t="shared" ca="1" si="7"/>
        <v>484.13298913043479</v>
      </c>
      <c r="F64" s="269">
        <f t="shared" ca="1" si="7"/>
        <v>0</v>
      </c>
      <c r="G64" s="269">
        <f>'Monthly Data'!BD64</f>
        <v>419.57083333333344</v>
      </c>
      <c r="H64" s="269">
        <f>'Monthly Data'!BG64</f>
        <v>0</v>
      </c>
      <c r="I64" s="18">
        <f>'Monthly Data'!CG64</f>
        <v>0.5</v>
      </c>
      <c r="J64" s="4">
        <f>'Monthly Data'!CD64</f>
        <v>31</v>
      </c>
      <c r="K64" s="24">
        <f>'Monthly Data'!K64</f>
        <v>4202</v>
      </c>
      <c r="M64" s="18"/>
      <c r="N64" s="18">
        <f ca="1">(E64-G64)*'GS&lt;50 Predicted Monthly'!$V$9</f>
        <v>348805.51623713051</v>
      </c>
      <c r="O64" s="18">
        <f ca="1">(F64-H64)*'GS&lt;50 Predicted Monthly'!$V$10</f>
        <v>0</v>
      </c>
      <c r="P64" s="18"/>
      <c r="Q64" s="18"/>
      <c r="R64" s="18"/>
      <c r="S64" s="271">
        <f t="shared" ca="1" si="6"/>
        <v>10915825.791529829</v>
      </c>
    </row>
    <row r="65" spans="1:19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Data'!J65</f>
        <v>8512616.9184663724</v>
      </c>
      <c r="E65" s="269">
        <f t="shared" ca="1" si="7"/>
        <v>292.81107954545462</v>
      </c>
      <c r="F65" s="269">
        <f t="shared" ca="1" si="7"/>
        <v>2.1908333333333347</v>
      </c>
      <c r="G65" s="269">
        <f>'Monthly Data'!BD65</f>
        <v>319.67500000000007</v>
      </c>
      <c r="H65" s="269">
        <f>'Monthly Data'!BG65</f>
        <v>0</v>
      </c>
      <c r="I65" s="18">
        <f>'Monthly Data'!CG65</f>
        <v>1</v>
      </c>
      <c r="J65" s="4">
        <f>'Monthly Data'!CD65</f>
        <v>30</v>
      </c>
      <c r="K65" s="24">
        <f>'Monthly Data'!K65</f>
        <v>4201</v>
      </c>
      <c r="M65" s="18"/>
      <c r="N65" s="18">
        <f ca="1">(E65-G65)*'GS&lt;50 Predicted Monthly'!$V$9</f>
        <v>-145135.85438114556</v>
      </c>
      <c r="O65" s="18">
        <f ca="1">(F65-H65)*'GS&lt;50 Predicted Monthly'!$V$10</f>
        <v>27654.961846176375</v>
      </c>
      <c r="P65" s="18"/>
      <c r="Q65" s="18"/>
      <c r="R65" s="18"/>
      <c r="S65" s="271">
        <f t="shared" ca="1" si="6"/>
        <v>8395136.025931403</v>
      </c>
    </row>
    <row r="66" spans="1:19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Data'!J66</f>
        <v>8422331.1027372573</v>
      </c>
      <c r="E66" s="269">
        <f t="shared" ref="E66:F81" ca="1" si="10">E54</f>
        <v>103.25939244851259</v>
      </c>
      <c r="F66" s="269">
        <f t="shared" ca="1" si="10"/>
        <v>52.487435064935063</v>
      </c>
      <c r="G66" s="269">
        <f>'Monthly Data'!BD66</f>
        <v>164.60000000000005</v>
      </c>
      <c r="H66" s="269">
        <f>'Monthly Data'!BG66</f>
        <v>50.900595238095221</v>
      </c>
      <c r="I66" s="18">
        <f>'Monthly Data'!CG66</f>
        <v>1</v>
      </c>
      <c r="J66" s="4">
        <f>'Monthly Data'!CD66</f>
        <v>31</v>
      </c>
      <c r="K66" s="24">
        <f>'Monthly Data'!K66</f>
        <v>4201</v>
      </c>
      <c r="M66" s="18"/>
      <c r="N66" s="18">
        <f ca="1">(E66-G66)*'GS&lt;50 Predicted Monthly'!$V$9</f>
        <v>-331400.67922354635</v>
      </c>
      <c r="O66" s="18">
        <f ca="1">(F66-H66)*'GS&lt;50 Predicted Monthly'!$V$10</f>
        <v>20030.73177660659</v>
      </c>
      <c r="P66" s="18"/>
      <c r="Q66" s="18"/>
      <c r="R66" s="18"/>
      <c r="S66" s="271">
        <f t="shared" ref="S66:S97" ca="1" si="11">D66+N66+O66</f>
        <v>8110961.1552903168</v>
      </c>
    </row>
    <row r="67" spans="1:19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Data'!J67</f>
        <v>9420600.9622815214</v>
      </c>
      <c r="E67" s="269">
        <f t="shared" ca="1" si="10"/>
        <v>11.89069871794872</v>
      </c>
      <c r="F67" s="269">
        <f t="shared" ca="1" si="10"/>
        <v>137.65451754405018</v>
      </c>
      <c r="G67" s="269">
        <f>'Monthly Data'!BD67</f>
        <v>13.145833333333346</v>
      </c>
      <c r="H67" s="269">
        <f>'Monthly Data'!BG67</f>
        <v>165.96956521739128</v>
      </c>
      <c r="I67" s="18">
        <f>'Monthly Data'!CG67</f>
        <v>0.5</v>
      </c>
      <c r="J67" s="4">
        <f>'Monthly Data'!CD67</f>
        <v>30</v>
      </c>
      <c r="K67" s="24">
        <f>'Monthly Data'!K67</f>
        <v>4205</v>
      </c>
      <c r="M67" s="18"/>
      <c r="N67" s="18">
        <f ca="1">(E67-G67)*'GS&lt;50 Predicted Monthly'!$V$9</f>
        <v>-6781.0294136117236</v>
      </c>
      <c r="O67" s="18">
        <f ca="1">(F67-H67)*'GS&lt;50 Predicted Monthly'!$V$10</f>
        <v>-357421.78611437633</v>
      </c>
      <c r="P67" s="18"/>
      <c r="Q67" s="18"/>
      <c r="R67" s="18"/>
      <c r="S67" s="271">
        <f t="shared" ca="1" si="11"/>
        <v>9056398.1467535328</v>
      </c>
    </row>
    <row r="68" spans="1:19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Data'!J68</f>
        <v>11675848.915550508</v>
      </c>
      <c r="E68" s="269">
        <f t="shared" ca="1" si="10"/>
        <v>7.4583333333333002E-2</v>
      </c>
      <c r="F68" s="269">
        <f t="shared" ca="1" si="10"/>
        <v>235.94737858727848</v>
      </c>
      <c r="G68" s="269">
        <f>'Monthly Data'!BD68</f>
        <v>0</v>
      </c>
      <c r="H68" s="269">
        <f>'Monthly Data'!BG68</f>
        <v>308.88750000000005</v>
      </c>
      <c r="I68" s="18">
        <f>'Monthly Data'!CG68</f>
        <v>0.5</v>
      </c>
      <c r="J68" s="4">
        <f>'Monthly Data'!CD68</f>
        <v>31</v>
      </c>
      <c r="K68" s="24">
        <f>'Monthly Data'!K68</f>
        <v>4208</v>
      </c>
      <c r="M68" s="18"/>
      <c r="N68" s="18">
        <f ca="1">(E68-G68)*'GS&lt;50 Predicted Monthly'!$V$9</f>
        <v>402.94624249810443</v>
      </c>
      <c r="O68" s="18">
        <f ca="1">(F68-H68)*'GS&lt;50 Predicted Monthly'!$V$10</f>
        <v>-920725.57233516301</v>
      </c>
      <c r="P68" s="18"/>
      <c r="Q68" s="18"/>
      <c r="R68" s="18"/>
      <c r="S68" s="271">
        <f t="shared" ca="1" si="11"/>
        <v>10755526.289457843</v>
      </c>
    </row>
    <row r="69" spans="1:19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Data'!J69</f>
        <v>10788969.833497668</v>
      </c>
      <c r="E69" s="269">
        <f t="shared" ca="1" si="10"/>
        <v>0.75041666666666718</v>
      </c>
      <c r="F69" s="269">
        <f t="shared" ca="1" si="10"/>
        <v>210.96558794466404</v>
      </c>
      <c r="G69" s="269">
        <f>'Monthly Data'!BD69</f>
        <v>0</v>
      </c>
      <c r="H69" s="269">
        <f>'Monthly Data'!BG69</f>
        <v>216.93106060606064</v>
      </c>
      <c r="I69" s="18">
        <f>'Monthly Data'!CG69</f>
        <v>0.5</v>
      </c>
      <c r="J69" s="4">
        <f>'Monthly Data'!CD69</f>
        <v>31</v>
      </c>
      <c r="K69" s="24">
        <f>'Monthly Data'!K69</f>
        <v>4205</v>
      </c>
      <c r="M69" s="18"/>
      <c r="N69" s="18">
        <f ca="1">(E69-G69)*'GS&lt;50 Predicted Monthly'!$V$9</f>
        <v>4054.2244845759205</v>
      </c>
      <c r="O69" s="18">
        <f ca="1">(F69-H69)*'GS&lt;50 Predicted Monthly'!$V$10</f>
        <v>-75302.359305590508</v>
      </c>
      <c r="P69" s="18"/>
      <c r="Q69" s="18"/>
      <c r="R69" s="18"/>
      <c r="S69" s="271">
        <f t="shared" ca="1" si="11"/>
        <v>10717721.698676653</v>
      </c>
    </row>
    <row r="70" spans="1:19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Data'!J70</f>
        <v>9145054.428370472</v>
      </c>
      <c r="E70" s="269">
        <f t="shared" ca="1" si="10"/>
        <v>26.342536231884061</v>
      </c>
      <c r="F70" s="269">
        <f t="shared" ca="1" si="10"/>
        <v>106.4160119047619</v>
      </c>
      <c r="G70" s="269">
        <f>'Monthly Data'!BD70</f>
        <v>46.033695652173925</v>
      </c>
      <c r="H70" s="269">
        <f>'Monthly Data'!BG70</f>
        <v>75.812499999999972</v>
      </c>
      <c r="I70" s="18">
        <f>'Monthly Data'!CG70</f>
        <v>0.5</v>
      </c>
      <c r="J70" s="4">
        <f>'Monthly Data'!CD70</f>
        <v>30</v>
      </c>
      <c r="K70" s="24">
        <f>'Monthly Data'!K70</f>
        <v>4229</v>
      </c>
      <c r="M70" s="18"/>
      <c r="N70" s="18">
        <f ca="1">(E70-G70)*'GS&lt;50 Predicted Monthly'!$V$9</f>
        <v>-106384.0719397138</v>
      </c>
      <c r="O70" s="18">
        <f ca="1">(F70-H70)*'GS&lt;50 Predicted Monthly'!$V$10</f>
        <v>386309.14602595445</v>
      </c>
      <c r="P70" s="18"/>
      <c r="Q70" s="18"/>
      <c r="R70" s="18"/>
      <c r="S70" s="271">
        <f t="shared" ca="1" si="11"/>
        <v>9424979.5024567116</v>
      </c>
    </row>
    <row r="71" spans="1:19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10"/>
        <v>181.36347826086953</v>
      </c>
      <c r="F71" s="269">
        <f t="shared" ca="1" si="10"/>
        <v>17.987083333333334</v>
      </c>
      <c r="G71" s="269">
        <f>'Monthly Data'!BD71</f>
        <v>226.0625</v>
      </c>
      <c r="H71" s="269">
        <f>'Monthly Data'!BG71</f>
        <v>3.9291666666666654</v>
      </c>
      <c r="I71" s="18">
        <f>'Monthly Data'!CG71</f>
        <v>0.5</v>
      </c>
      <c r="J71" s="4">
        <f>'Monthly Data'!CD71</f>
        <v>31</v>
      </c>
      <c r="K71" s="24">
        <f>'Monthly Data'!K71</f>
        <v>4208</v>
      </c>
      <c r="M71" s="18"/>
      <c r="N71" s="18">
        <f ca="1">(E71-G71)*'GS&lt;50 Predicted Monthly'!$V$9</f>
        <v>-241492.32875696698</v>
      </c>
      <c r="O71" s="18">
        <f ca="1">(F71-H71)*'GS&lt;50 Predicted Monthly'!$V$10</f>
        <v>177453.54844582433</v>
      </c>
      <c r="P71" s="18"/>
      <c r="Q71" s="18"/>
      <c r="R71" s="18"/>
      <c r="S71" s="271">
        <f t="shared" ca="1" si="11"/>
        <v>9053113.2047320772</v>
      </c>
    </row>
    <row r="72" spans="1:19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10"/>
        <v>366.78033055712399</v>
      </c>
      <c r="F72" s="269">
        <f t="shared" ca="1" si="10"/>
        <v>0.8083333333333329</v>
      </c>
      <c r="G72" s="269">
        <f>'Monthly Data'!BD72</f>
        <v>306.30072463768124</v>
      </c>
      <c r="H72" s="269">
        <f>'Monthly Data'!BG72</f>
        <v>0</v>
      </c>
      <c r="I72" s="18">
        <f>'Monthly Data'!CG72</f>
        <v>0.5</v>
      </c>
      <c r="J72" s="4">
        <f>'Monthly Data'!CD72</f>
        <v>30</v>
      </c>
      <c r="K72" s="24">
        <f>'Monthly Data'!K72</f>
        <v>4241</v>
      </c>
      <c r="M72" s="18"/>
      <c r="N72" s="18">
        <f ca="1">(E72-G72)*'GS&lt;50 Predicted Monthly'!$V$9</f>
        <v>326749.00495650066</v>
      </c>
      <c r="O72" s="18">
        <f ca="1">(F72-H72)*'GS&lt;50 Predicted Monthly'!$V$10</f>
        <v>10203.618482613561</v>
      </c>
      <c r="P72" s="18"/>
      <c r="Q72" s="18"/>
      <c r="R72" s="18"/>
      <c r="S72" s="271">
        <f t="shared" ca="1" si="11"/>
        <v>9946273.3471522052</v>
      </c>
    </row>
    <row r="73" spans="1:19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10"/>
        <v>515.92800724637686</v>
      </c>
      <c r="F73" s="269">
        <f t="shared" ca="1" si="10"/>
        <v>0</v>
      </c>
      <c r="G73" s="269">
        <f>'Monthly Data'!BD73</f>
        <v>520.90416666666681</v>
      </c>
      <c r="H73" s="269">
        <f>'Monthly Data'!BG73</f>
        <v>0</v>
      </c>
      <c r="I73" s="18">
        <f>'Monthly Data'!CG73</f>
        <v>0.5</v>
      </c>
      <c r="J73" s="4">
        <f>'Monthly Data'!CD73</f>
        <v>31</v>
      </c>
      <c r="K73" s="24">
        <f>'Monthly Data'!K73</f>
        <v>4248</v>
      </c>
      <c r="M73" s="18"/>
      <c r="N73" s="18">
        <f ca="1">(E73-G73)*'GS&lt;50 Predicted Monthly'!$V$9</f>
        <v>-26884.354062266655</v>
      </c>
      <c r="O73" s="18">
        <f ca="1">(F73-H73)*'GS&lt;50 Predicted Monthly'!$V$10</f>
        <v>0</v>
      </c>
      <c r="P73" s="18"/>
      <c r="Q73" s="18"/>
      <c r="R73" s="18"/>
      <c r="S73" s="271">
        <f t="shared" ca="1" si="11"/>
        <v>10862886.32128562</v>
      </c>
    </row>
    <row r="74" spans="1:19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 ca="1">'Monthly Data'!J74</f>
        <v>10763346.682415618</v>
      </c>
      <c r="E74" s="269">
        <f t="shared" ca="1" si="10"/>
        <v>635.33418478260876</v>
      </c>
      <c r="F74" s="269">
        <f t="shared" ca="1" si="10"/>
        <v>0</v>
      </c>
      <c r="G74" s="269">
        <f>'Monthly Data'!BD74</f>
        <v>591.50416666666661</v>
      </c>
      <c r="H74" s="269">
        <f>'Monthly Data'!BG74</f>
        <v>0</v>
      </c>
      <c r="I74" s="18">
        <f>'Monthly Data'!CG74</f>
        <v>0.5</v>
      </c>
      <c r="J74" s="4">
        <f>'Monthly Data'!CD74</f>
        <v>31</v>
      </c>
      <c r="K74" s="24">
        <f>'Monthly Data'!K74</f>
        <v>4251</v>
      </c>
      <c r="M74" s="18"/>
      <c r="N74" s="18">
        <f ca="1">(E74-G74)*'GS&lt;50 Predicted Monthly'!$V$9</f>
        <v>236797.42268303214</v>
      </c>
      <c r="O74" s="18">
        <f ca="1">(F74-H74)*'GS&lt;50 Predicted Monthly'!$V$10</f>
        <v>0</v>
      </c>
      <c r="P74" s="18"/>
      <c r="Q74" s="18"/>
      <c r="R74" s="18"/>
      <c r="S74" s="271">
        <f t="shared" ca="1" si="11"/>
        <v>11000144.10509865</v>
      </c>
    </row>
    <row r="75" spans="1:19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 ca="1"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269">
        <f>'Monthly Data'!BD75</f>
        <v>597.45416666666665</v>
      </c>
      <c r="H75" s="269">
        <f>'Monthly Data'!BG75</f>
        <v>0</v>
      </c>
      <c r="I75" s="18">
        <f>'Monthly Data'!CG75</f>
        <v>0.5</v>
      </c>
      <c r="J75" s="4">
        <f>'Monthly Data'!CD75</f>
        <v>28</v>
      </c>
      <c r="K75" s="24">
        <f>'Monthly Data'!K75</f>
        <v>4260</v>
      </c>
      <c r="M75" s="18"/>
      <c r="N75" s="18">
        <f ca="1">(E75-G75)*'GS&lt;50 Predicted Monthly'!$V$9</f>
        <v>-160993.80922669073</v>
      </c>
      <c r="O75" s="18">
        <f ca="1">(F75-H75)*'GS&lt;50 Predicted Monthly'!$V$10</f>
        <v>0</v>
      </c>
      <c r="P75" s="18"/>
      <c r="Q75" s="18"/>
      <c r="R75" s="18"/>
      <c r="S75" s="271">
        <f t="shared" ca="1" si="11"/>
        <v>9971172.7855352536</v>
      </c>
    </row>
    <row r="76" spans="1:19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 ca="1"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269">
        <f>'Monthly Data'!BD76</f>
        <v>430.59637681159427</v>
      </c>
      <c r="H76" s="269">
        <f>'Monthly Data'!BG76</f>
        <v>0</v>
      </c>
      <c r="I76" s="18">
        <f>'Monthly Data'!CG76</f>
        <v>0.5</v>
      </c>
      <c r="J76" s="4">
        <f>'Monthly Data'!CD76</f>
        <v>31</v>
      </c>
      <c r="K76" s="24">
        <f>'Monthly Data'!K76</f>
        <v>4267</v>
      </c>
      <c r="M76" s="18"/>
      <c r="N76" s="18">
        <f ca="1">(E76-G76)*'GS&lt;50 Predicted Monthly'!$V$9</f>
        <v>289238.57121726859</v>
      </c>
      <c r="O76" s="18">
        <f ca="1">(F76-H76)*'GS&lt;50 Predicted Monthly'!$V$10</f>
        <v>0</v>
      </c>
      <c r="P76" s="18"/>
      <c r="Q76" s="18"/>
      <c r="R76" s="18"/>
      <c r="S76" s="271">
        <f t="shared" ca="1" si="11"/>
        <v>11982058.10444049</v>
      </c>
    </row>
    <row r="77" spans="1:19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 ca="1"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269">
        <f>'Monthly Data'!BD77</f>
        <v>260.00833333333338</v>
      </c>
      <c r="H77" s="269">
        <f>'Monthly Data'!BG77</f>
        <v>3.7083333333333339</v>
      </c>
      <c r="I77" s="18">
        <f>'Monthly Data'!CG77</f>
        <v>0.5</v>
      </c>
      <c r="J77" s="4">
        <f>'Monthly Data'!CD77</f>
        <v>30</v>
      </c>
      <c r="K77" s="24">
        <f>'Monthly Data'!K77</f>
        <v>4264</v>
      </c>
      <c r="M77" s="18"/>
      <c r="N77" s="18">
        <f ca="1">(E77-G77)*'GS&lt;50 Predicted Monthly'!$V$9</f>
        <v>177221.1396173395</v>
      </c>
      <c r="O77" s="18">
        <f ca="1">(F77-H77)*'GS&lt;50 Predicted Monthly'!$V$10</f>
        <v>-19155.452842102368</v>
      </c>
      <c r="P77" s="18"/>
      <c r="Q77" s="18"/>
      <c r="R77" s="18"/>
      <c r="S77" s="271">
        <f t="shared" ca="1" si="11"/>
        <v>9485018.8263103496</v>
      </c>
    </row>
    <row r="78" spans="1:19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 ca="1"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269">
        <f>'Monthly Data'!BD78</f>
        <v>127.04305555555555</v>
      </c>
      <c r="H78" s="269">
        <f>'Monthly Data'!BG78</f>
        <v>53.908333333333317</v>
      </c>
      <c r="I78" s="18">
        <f>'Monthly Data'!CG78</f>
        <v>0.5</v>
      </c>
      <c r="J78" s="4">
        <f>'Monthly Data'!CD78</f>
        <v>31</v>
      </c>
      <c r="K78" s="24">
        <f>'Monthly Data'!K78</f>
        <v>4268</v>
      </c>
      <c r="M78" s="18"/>
      <c r="N78" s="18">
        <f ca="1">(E78-G78)*'GS&lt;50 Predicted Monthly'!$V$9</f>
        <v>-128494.35997976043</v>
      </c>
      <c r="O78" s="18">
        <f ca="1">(F78-H78)*'GS&lt;50 Predicted Monthly'!$V$10</f>
        <v>-17936.045979392213</v>
      </c>
      <c r="P78" s="18"/>
      <c r="Q78" s="18"/>
      <c r="R78" s="18"/>
      <c r="S78" s="271">
        <f t="shared" ca="1" si="11"/>
        <v>8866068.0934437979</v>
      </c>
    </row>
    <row r="79" spans="1:19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 ca="1"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269">
        <f>'Monthly Data'!BD79</f>
        <v>3.2708333333333357</v>
      </c>
      <c r="H79" s="269">
        <f>'Monthly Data'!BG79</f>
        <v>181.67499999999995</v>
      </c>
      <c r="I79" s="18">
        <f>'Monthly Data'!CG79</f>
        <v>0.5</v>
      </c>
      <c r="J79" s="4">
        <f>'Monthly Data'!CD79</f>
        <v>30</v>
      </c>
      <c r="K79" s="24">
        <f>'Monthly Data'!K79</f>
        <v>4270</v>
      </c>
      <c r="M79" s="18"/>
      <c r="N79" s="18">
        <f ca="1">(E79-G79)*'GS&lt;50 Predicted Monthly'!$V$9</f>
        <v>46569.953531668318</v>
      </c>
      <c r="O79" s="18">
        <f ca="1">(F79-H79)*'GS&lt;50 Predicted Monthly'!$V$10</f>
        <v>-555672.01039310766</v>
      </c>
      <c r="P79" s="18"/>
      <c r="Q79" s="18"/>
      <c r="R79" s="18"/>
      <c r="S79" s="271">
        <f t="shared" ca="1" si="11"/>
        <v>9650337.5372860096</v>
      </c>
    </row>
    <row r="80" spans="1:19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 ca="1"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269">
        <f>'Monthly Data'!BD80</f>
        <v>0.74583333333333002</v>
      </c>
      <c r="H80" s="269">
        <f>'Monthly Data'!BG80</f>
        <v>192.87499999999994</v>
      </c>
      <c r="I80" s="18">
        <f>'Monthly Data'!CG80</f>
        <v>0.5</v>
      </c>
      <c r="J80" s="4">
        <f>'Monthly Data'!CD80</f>
        <v>31</v>
      </c>
      <c r="K80" s="24">
        <f>'Monthly Data'!K80</f>
        <v>4273</v>
      </c>
      <c r="M80" s="18"/>
      <c r="N80" s="18">
        <f ca="1">(E80-G80)*'GS&lt;50 Predicted Monthly'!$V$9</f>
        <v>-3626.5161824829397</v>
      </c>
      <c r="O80" s="18">
        <f ca="1">(F80-H80)*'GS&lt;50 Predicted Monthly'!$V$10</f>
        <v>543704.06380612473</v>
      </c>
      <c r="P80" s="18"/>
      <c r="Q80" s="18"/>
      <c r="R80" s="18"/>
      <c r="S80" s="271">
        <f t="shared" ca="1" si="11"/>
        <v>11471694.701338217</v>
      </c>
    </row>
    <row r="81" spans="1:19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 ca="1"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269">
        <f>'Monthly Data'!BD81</f>
        <v>0</v>
      </c>
      <c r="H81" s="269">
        <f>'Monthly Data'!BG81</f>
        <v>266.0625</v>
      </c>
      <c r="I81" s="18">
        <f>'Monthly Data'!CG81</f>
        <v>0.5</v>
      </c>
      <c r="J81" s="4">
        <f>'Monthly Data'!CD81</f>
        <v>31</v>
      </c>
      <c r="K81" s="24">
        <f>'Monthly Data'!K81</f>
        <v>4277</v>
      </c>
      <c r="M81" s="18"/>
      <c r="N81" s="18">
        <f ca="1">(E81-G81)*'GS&lt;50 Predicted Monthly'!$V$9</f>
        <v>4054.2244845759205</v>
      </c>
      <c r="O81" s="18">
        <f ca="1">(F81-H81)*'GS&lt;50 Predicted Monthly'!$V$10</f>
        <v>-695490.14867970347</v>
      </c>
      <c r="P81" s="18"/>
      <c r="Q81" s="18"/>
      <c r="R81" s="18"/>
      <c r="S81" s="271">
        <f t="shared" ca="1" si="11"/>
        <v>11414508.905982949</v>
      </c>
    </row>
    <row r="82" spans="1:19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 ca="1">'Monthly Data'!J82</f>
        <v>9946552.9282091726</v>
      </c>
      <c r="E82" s="269">
        <f t="shared" ref="E82:F97" ca="1" si="12">E70</f>
        <v>26.342536231884061</v>
      </c>
      <c r="F82" s="269">
        <f t="shared" ca="1" si="12"/>
        <v>106.4160119047619</v>
      </c>
      <c r="G82" s="269">
        <f>'Monthly Data'!BD82</f>
        <v>20.066666666666677</v>
      </c>
      <c r="H82" s="269">
        <f>'Monthly Data'!BG82</f>
        <v>95.25833333333334</v>
      </c>
      <c r="I82" s="18">
        <f>'Monthly Data'!CG82</f>
        <v>0.5</v>
      </c>
      <c r="J82" s="4">
        <f>'Monthly Data'!CD82</f>
        <v>30</v>
      </c>
      <c r="K82" s="24">
        <f>'Monthly Data'!K82</f>
        <v>4283</v>
      </c>
      <c r="M82" s="18"/>
      <c r="N82" s="18">
        <f ca="1">(E82-G82)*'GS&lt;50 Predicted Monthly'!$V$9</f>
        <v>33906.208621844489</v>
      </c>
      <c r="O82" s="18">
        <f ca="1">(F82-H82)*'GS&lt;50 Predicted Monthly'!$V$10</f>
        <v>140843.74675606989</v>
      </c>
      <c r="P82" s="18"/>
      <c r="Q82" s="18"/>
      <c r="R82" s="18"/>
      <c r="S82" s="271">
        <f t="shared" ca="1" si="11"/>
        <v>10121302.883587087</v>
      </c>
    </row>
    <row r="83" spans="1:19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 ca="1">'Monthly Data'!J83</f>
        <v>9633925.5435520504</v>
      </c>
      <c r="E83" s="269">
        <f t="shared" ca="1" si="12"/>
        <v>181.36347826086953</v>
      </c>
      <c r="F83" s="269">
        <f t="shared" ca="1" si="12"/>
        <v>17.987083333333334</v>
      </c>
      <c r="G83" s="269">
        <f>'Monthly Data'!BD83</f>
        <v>108.43333333333334</v>
      </c>
      <c r="H83" s="269">
        <f>'Monthly Data'!BG83</f>
        <v>44.562500000000028</v>
      </c>
      <c r="I83" s="18">
        <f>'Monthly Data'!CG83</f>
        <v>0.5</v>
      </c>
      <c r="J83" s="4">
        <f>'Monthly Data'!CD83</f>
        <v>31</v>
      </c>
      <c r="K83" s="24">
        <f>'Monthly Data'!K83</f>
        <v>4282</v>
      </c>
      <c r="M83" s="18"/>
      <c r="N83" s="18">
        <f ca="1">(E83-G83)*'GS&lt;50 Predicted Monthly'!$V$9</f>
        <v>394014.67526337021</v>
      </c>
      <c r="O83" s="18">
        <f ca="1">(F83-H83)*'GS&lt;50 Predicted Monthly'!$V$10</f>
        <v>-335462.36620596732</v>
      </c>
      <c r="P83" s="18"/>
      <c r="Q83" s="18"/>
      <c r="R83" s="18"/>
      <c r="S83" s="271">
        <f t="shared" ca="1" si="11"/>
        <v>9692477.8526094519</v>
      </c>
    </row>
    <row r="84" spans="1:19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 ca="1">'Monthly Data'!J84</f>
        <v>10325575.805831861</v>
      </c>
      <c r="E84" s="269">
        <f t="shared" ca="1" si="12"/>
        <v>366.78033055712399</v>
      </c>
      <c r="F84" s="269">
        <f t="shared" ca="1" si="12"/>
        <v>0.8083333333333329</v>
      </c>
      <c r="G84" s="269">
        <f>'Monthly Data'!BD84</f>
        <v>386.3126035196687</v>
      </c>
      <c r="H84" s="269">
        <f>'Monthly Data'!BG84</f>
        <v>0</v>
      </c>
      <c r="I84" s="18">
        <f>'Monthly Data'!CG84</f>
        <v>0.5</v>
      </c>
      <c r="J84" s="4">
        <f>'Monthly Data'!CD84</f>
        <v>30</v>
      </c>
      <c r="K84" s="24">
        <f>'Monthly Data'!K84</f>
        <v>4281</v>
      </c>
      <c r="M84" s="18"/>
      <c r="N84" s="18">
        <f ca="1">(E84-G84)*'GS&lt;50 Predicted Monthly'!$V$9</f>
        <v>-105525.66700833176</v>
      </c>
      <c r="O84" s="18">
        <f ca="1">(F84-H84)*'GS&lt;50 Predicted Monthly'!$V$10</f>
        <v>10203.618482613561</v>
      </c>
      <c r="P84" s="18"/>
      <c r="Q84" s="18"/>
      <c r="R84" s="18"/>
      <c r="S84" s="271">
        <f t="shared" ca="1" si="11"/>
        <v>10230253.757306144</v>
      </c>
    </row>
    <row r="85" spans="1:19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 ca="1">'Monthly Data'!J85</f>
        <v>12083532.655526424</v>
      </c>
      <c r="E85" s="269">
        <f t="shared" ca="1" si="12"/>
        <v>515.92800724637686</v>
      </c>
      <c r="F85" s="269">
        <f t="shared" ca="1" si="12"/>
        <v>0</v>
      </c>
      <c r="G85" s="269">
        <f>'Monthly Data'!BD85</f>
        <v>471.04583333333335</v>
      </c>
      <c r="H85" s="269">
        <f>'Monthly Data'!BG85</f>
        <v>0</v>
      </c>
      <c r="I85" s="18">
        <f>'Monthly Data'!CG85</f>
        <v>0.5</v>
      </c>
      <c r="J85" s="4">
        <f>'Monthly Data'!CD85</f>
        <v>31</v>
      </c>
      <c r="K85" s="24">
        <f>'Monthly Data'!K85</f>
        <v>4277</v>
      </c>
      <c r="M85" s="18"/>
      <c r="N85" s="18">
        <f ca="1">(E85-G85)*'GS&lt;50 Predicted Monthly'!$V$9</f>
        <v>242481.83240322783</v>
      </c>
      <c r="O85" s="18">
        <f ca="1">(F85-H85)*'GS&lt;50 Predicted Monthly'!$V$10</f>
        <v>0</v>
      </c>
      <c r="P85" s="18"/>
      <c r="Q85" s="18"/>
      <c r="R85" s="18"/>
      <c r="S85" s="271">
        <f t="shared" ca="1" si="11"/>
        <v>12326014.487929652</v>
      </c>
    </row>
    <row r="86" spans="1:19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 ca="1">'Monthly Data'!J86</f>
        <v>12661457.120738978</v>
      </c>
      <c r="E86" s="269">
        <f t="shared" ca="1" si="12"/>
        <v>635.33418478260876</v>
      </c>
      <c r="F86" s="269">
        <f t="shared" ca="1" si="12"/>
        <v>0</v>
      </c>
      <c r="G86" s="269">
        <f>'Monthly Data'!BD86</f>
        <v>763.49166666666656</v>
      </c>
      <c r="H86" s="269">
        <f>'Monthly Data'!BG86</f>
        <v>0</v>
      </c>
      <c r="I86" s="18">
        <f>'Monthly Data'!CG86</f>
        <v>0.25</v>
      </c>
      <c r="J86" s="4">
        <f>'Monthly Data'!CD86</f>
        <v>31</v>
      </c>
      <c r="K86" s="24">
        <f>'Monthly Data'!K86</f>
        <v>4288</v>
      </c>
      <c r="M86" s="18"/>
      <c r="N86" s="18">
        <f ca="1">(E86-G86)*'GS&lt;50 Predicted Monthly'!$V$9</f>
        <v>-692387.60813229322</v>
      </c>
      <c r="O86" s="18">
        <f ca="1">(F86-H86)*'GS&lt;50 Predicted Monthly'!$V$10</f>
        <v>0</v>
      </c>
      <c r="P86" s="18"/>
      <c r="Q86" s="18"/>
      <c r="R86" s="18"/>
      <c r="S86" s="271">
        <f t="shared" ca="1" si="11"/>
        <v>11969069.512606684</v>
      </c>
    </row>
    <row r="87" spans="1:19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 ca="1">'Monthly Data'!J87</f>
        <v>11636323.473382473</v>
      </c>
      <c r="E87" s="269">
        <f t="shared" ca="1" si="12"/>
        <v>567.65501811594208</v>
      </c>
      <c r="F87" s="269">
        <f t="shared" ca="1" si="12"/>
        <v>0</v>
      </c>
      <c r="G87" s="269">
        <f>'Monthly Data'!BD87</f>
        <v>580.84999999999991</v>
      </c>
      <c r="H87" s="269">
        <f>'Monthly Data'!BG87</f>
        <v>0</v>
      </c>
      <c r="I87" s="18">
        <f>'Monthly Data'!CG87</f>
        <v>0.25</v>
      </c>
      <c r="J87" s="4">
        <f>'Monthly Data'!CD87</f>
        <v>28</v>
      </c>
      <c r="K87" s="24">
        <f>'Monthly Data'!K87</f>
        <v>4294</v>
      </c>
      <c r="M87" s="18"/>
      <c r="N87" s="18">
        <f ca="1">(E87-G87)*'GS&lt;50 Predicted Monthly'!$V$9</f>
        <v>-71287.620603508592</v>
      </c>
      <c r="O87" s="18">
        <f ca="1">(F87-H87)*'GS&lt;50 Predicted Monthly'!$V$10</f>
        <v>0</v>
      </c>
      <c r="P87" s="18"/>
      <c r="Q87" s="18"/>
      <c r="R87" s="18"/>
      <c r="S87" s="271">
        <f t="shared" ca="1" si="11"/>
        <v>11565035.852778964</v>
      </c>
    </row>
    <row r="88" spans="1:19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 ca="1">'Monthly Data'!J88</f>
        <v>11910788.05307324</v>
      </c>
      <c r="E88" s="269">
        <f t="shared" ca="1" si="12"/>
        <v>484.13298913043479</v>
      </c>
      <c r="F88" s="269">
        <f t="shared" ca="1" si="12"/>
        <v>0</v>
      </c>
      <c r="G88" s="269">
        <f>'Monthly Data'!BD88</f>
        <v>482.72083333333353</v>
      </c>
      <c r="H88" s="269">
        <f>'Monthly Data'!BG88</f>
        <v>0</v>
      </c>
      <c r="I88" s="18">
        <f>'Monthly Data'!CG88</f>
        <v>0.25</v>
      </c>
      <c r="J88" s="4">
        <f>'Monthly Data'!CD88</f>
        <v>31</v>
      </c>
      <c r="K88" s="24">
        <f>'Monthly Data'!K88</f>
        <v>4283</v>
      </c>
      <c r="M88" s="18"/>
      <c r="N88" s="18">
        <f ca="1">(E88-G88)*'GS&lt;50 Predicted Monthly'!$V$9</f>
        <v>7629.3569465547107</v>
      </c>
      <c r="O88" s="18">
        <f ca="1">(F88-H88)*'GS&lt;50 Predicted Monthly'!$V$10</f>
        <v>0</v>
      </c>
      <c r="P88" s="18"/>
      <c r="Q88" s="18"/>
      <c r="R88" s="18"/>
      <c r="S88" s="271">
        <f t="shared" ca="1" si="11"/>
        <v>11918417.410019794</v>
      </c>
    </row>
    <row r="89" spans="1:19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 ca="1">'Monthly Data'!J89</f>
        <v>10242680.969626591</v>
      </c>
      <c r="E89" s="269">
        <f t="shared" ca="1" si="12"/>
        <v>292.81107954545462</v>
      </c>
      <c r="F89" s="269">
        <f t="shared" ca="1" si="12"/>
        <v>2.1908333333333347</v>
      </c>
      <c r="G89" s="269">
        <f>'Monthly Data'!BD89</f>
        <v>294.33333333333337</v>
      </c>
      <c r="H89" s="269">
        <f>'Monthly Data'!BG89</f>
        <v>0</v>
      </c>
      <c r="I89" s="18">
        <f>'Monthly Data'!CG89</f>
        <v>0.25</v>
      </c>
      <c r="J89" s="4">
        <f>'Monthly Data'!CD89</f>
        <v>30</v>
      </c>
      <c r="K89" s="24">
        <f>'Monthly Data'!K89</f>
        <v>4284</v>
      </c>
      <c r="M89" s="18"/>
      <c r="N89" s="18">
        <f ca="1">(E89-G89)*'GS&lt;50 Predicted Monthly'!$V$9</f>
        <v>-8224.1757848614907</v>
      </c>
      <c r="O89" s="18">
        <f ca="1">(F89-H89)*'GS&lt;50 Predicted Monthly'!$V$10</f>
        <v>27654.961846176375</v>
      </c>
      <c r="P89" s="18"/>
      <c r="Q89" s="18"/>
      <c r="R89" s="18"/>
      <c r="S89" s="271">
        <f t="shared" ca="1" si="11"/>
        <v>10262111.755687905</v>
      </c>
    </row>
    <row r="90" spans="1:19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 ca="1">'Monthly Data'!J90</f>
        <v>10163818.692467652</v>
      </c>
      <c r="E90" s="269">
        <f t="shared" ca="1" si="12"/>
        <v>103.25939244851259</v>
      </c>
      <c r="F90" s="269">
        <f t="shared" ca="1" si="12"/>
        <v>52.487435064935063</v>
      </c>
      <c r="G90" s="269">
        <f>'Monthly Data'!BD90</f>
        <v>70.650000000000006</v>
      </c>
      <c r="H90" s="269">
        <f>'Monthly Data'!BG90</f>
        <v>72.362499999999997</v>
      </c>
      <c r="I90" s="18">
        <f>'Monthly Data'!CG90</f>
        <v>0.25</v>
      </c>
      <c r="J90" s="4">
        <f>'Monthly Data'!CD90</f>
        <v>31</v>
      </c>
      <c r="K90" s="24">
        <f>'Monthly Data'!K90</f>
        <v>4290</v>
      </c>
      <c r="M90" s="18"/>
      <c r="N90" s="18">
        <f ca="1">(E90-G90)*'GS&lt;50 Predicted Monthly'!$V$9</f>
        <v>176176.52054445937</v>
      </c>
      <c r="O90" s="18">
        <f ca="1">(F90-H90)*'GS&lt;50 Predicted Monthly'!$V$10</f>
        <v>-250883.60401802891</v>
      </c>
      <c r="P90" s="18"/>
      <c r="Q90" s="18"/>
      <c r="R90" s="18"/>
      <c r="S90" s="271">
        <f t="shared" ca="1" si="11"/>
        <v>10089111.608994083</v>
      </c>
    </row>
    <row r="91" spans="1:19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 ca="1">'Monthly Data'!J91</f>
        <v>10484665.203940179</v>
      </c>
      <c r="E91" s="269">
        <f t="shared" ca="1" si="12"/>
        <v>11.89069871794872</v>
      </c>
      <c r="F91" s="269">
        <f t="shared" ca="1" si="12"/>
        <v>137.65451754405018</v>
      </c>
      <c r="G91" s="269">
        <f>'Monthly Data'!BD91</f>
        <v>6.1903205128205077</v>
      </c>
      <c r="H91" s="269">
        <f>'Monthly Data'!BG91</f>
        <v>120.92250416250417</v>
      </c>
      <c r="I91" s="18">
        <f>'Monthly Data'!CG91</f>
        <v>0.25</v>
      </c>
      <c r="J91" s="4">
        <f>'Monthly Data'!CD91</f>
        <v>30</v>
      </c>
      <c r="K91" s="24">
        <f>'Monthly Data'!K91</f>
        <v>4306</v>
      </c>
      <c r="M91" s="18"/>
      <c r="N91" s="18">
        <f ca="1">(E91-G91)*'GS&lt;50 Predicted Monthly'!$V$9</f>
        <v>30797.041053513007</v>
      </c>
      <c r="O91" s="18">
        <f ca="1">(F91-H91)*'GS&lt;50 Predicted Monthly'!$V$10</f>
        <v>211208.75998921288</v>
      </c>
      <c r="P91" s="18"/>
      <c r="Q91" s="18"/>
      <c r="R91" s="18"/>
      <c r="S91" s="271">
        <f t="shared" ca="1" si="11"/>
        <v>10726671.004982905</v>
      </c>
    </row>
    <row r="92" spans="1:19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 ca="1">'Monthly Data'!J92</f>
        <v>11721265.66598122</v>
      </c>
      <c r="E92" s="269">
        <f t="shared" ca="1" si="12"/>
        <v>7.4583333333333002E-2</v>
      </c>
      <c r="F92" s="269">
        <f t="shared" ca="1" si="12"/>
        <v>235.94737858727848</v>
      </c>
      <c r="G92" s="269">
        <f>'Monthly Data'!BD92</f>
        <v>0</v>
      </c>
      <c r="H92" s="269">
        <f>'Monthly Data'!BG92</f>
        <v>221.8543382913806</v>
      </c>
      <c r="I92" s="18">
        <f>'Monthly Data'!CG92</f>
        <v>0.25</v>
      </c>
      <c r="J92" s="4">
        <f>'Monthly Data'!CD92</f>
        <v>31</v>
      </c>
      <c r="K92" s="24">
        <f>'Monthly Data'!K92</f>
        <v>4310</v>
      </c>
      <c r="M92" s="18"/>
      <c r="N92" s="18">
        <f ca="1">(E92-G92)*'GS&lt;50 Predicted Monthly'!$V$9</f>
        <v>402.94624249810443</v>
      </c>
      <c r="O92" s="18">
        <f ca="1">(F92-H92)*'GS&lt;50 Predicted Monthly'!$V$10</f>
        <v>177896.91518281406</v>
      </c>
      <c r="P92" s="18"/>
      <c r="Q92" s="18"/>
      <c r="R92" s="18"/>
      <c r="S92" s="271">
        <f t="shared" ca="1" si="11"/>
        <v>11899565.527406532</v>
      </c>
    </row>
    <row r="93" spans="1:19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 ca="1">'Monthly Data'!J93</f>
        <v>12184861.329755293</v>
      </c>
      <c r="E93" s="269">
        <f t="shared" ca="1" si="12"/>
        <v>0.75041666666666718</v>
      </c>
      <c r="F93" s="269">
        <f t="shared" ca="1" si="12"/>
        <v>210.96558794466404</v>
      </c>
      <c r="G93" s="269">
        <f>'Monthly Data'!BD93</f>
        <v>0</v>
      </c>
      <c r="H93" s="269">
        <f>'Monthly Data'!BG93</f>
        <v>228.28333333333333</v>
      </c>
      <c r="I93" s="18">
        <f>'Monthly Data'!CG93</f>
        <v>0.25</v>
      </c>
      <c r="J93" s="4">
        <f>'Monthly Data'!CD93</f>
        <v>31</v>
      </c>
      <c r="K93" s="24">
        <f>'Monthly Data'!K93</f>
        <v>4310</v>
      </c>
      <c r="M93" s="18"/>
      <c r="N93" s="18">
        <f ca="1">(E93-G93)*'GS&lt;50 Predicted Monthly'!$V$9</f>
        <v>4054.2244845759205</v>
      </c>
      <c r="O93" s="18">
        <f ca="1">(F93-H93)*'GS&lt;50 Predicted Monthly'!$V$10</f>
        <v>-218602.47454641882</v>
      </c>
      <c r="P93" s="18"/>
      <c r="Q93" s="18"/>
      <c r="R93" s="18"/>
      <c r="S93" s="271">
        <f t="shared" ca="1" si="11"/>
        <v>11970313.07969345</v>
      </c>
    </row>
    <row r="94" spans="1:19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 ca="1">'Monthly Data'!J94</f>
        <v>10446268.078779444</v>
      </c>
      <c r="E94" s="269">
        <f t="shared" ca="1" si="12"/>
        <v>26.342536231884061</v>
      </c>
      <c r="F94" s="269">
        <f t="shared" ca="1" si="12"/>
        <v>106.4160119047619</v>
      </c>
      <c r="G94" s="269">
        <f>'Monthly Data'!BD94</f>
        <v>45.029166666666661</v>
      </c>
      <c r="H94" s="269">
        <f>'Monthly Data'!BG94</f>
        <v>94.054166666666674</v>
      </c>
      <c r="I94" s="18">
        <f>'Monthly Data'!CG94</f>
        <v>0.25</v>
      </c>
      <c r="J94" s="4">
        <f>'Monthly Data'!CD94</f>
        <v>30</v>
      </c>
      <c r="K94" s="24">
        <f>'Monthly Data'!K94</f>
        <v>4317</v>
      </c>
      <c r="M94" s="18"/>
      <c r="N94" s="18">
        <f ca="1">(E94-G94)*'GS&lt;50 Predicted Monthly'!$V$9</f>
        <v>-100956.97231704672</v>
      </c>
      <c r="O94" s="18">
        <f ca="1">(F94-H94)*'GS&lt;50 Predicted Monthly'!$V$10</f>
        <v>156043.98253687049</v>
      </c>
      <c r="P94" s="18"/>
      <c r="Q94" s="18"/>
      <c r="R94" s="18"/>
      <c r="S94" s="271">
        <f t="shared" ca="1" si="11"/>
        <v>10501355.088999268</v>
      </c>
    </row>
    <row r="95" spans="1:19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 ca="1">'Monthly Data'!J95</f>
        <v>9864109.8868810162</v>
      </c>
      <c r="E95" s="269">
        <f t="shared" ca="1" si="12"/>
        <v>181.36347826086953</v>
      </c>
      <c r="F95" s="269">
        <f t="shared" ca="1" si="12"/>
        <v>17.987083333333334</v>
      </c>
      <c r="G95" s="269">
        <f>'Monthly Data'!BD95</f>
        <v>206.85561594202895</v>
      </c>
      <c r="H95" s="269">
        <f>'Monthly Data'!BG95</f>
        <v>2.4208333333333307</v>
      </c>
      <c r="I95" s="18">
        <f>'Monthly Data'!CG95</f>
        <v>0.25</v>
      </c>
      <c r="J95" s="4">
        <f>'Monthly Data'!CD95</f>
        <v>31</v>
      </c>
      <c r="K95" s="24">
        <f>'Monthly Data'!K95</f>
        <v>4318</v>
      </c>
      <c r="M95" s="18"/>
      <c r="N95" s="18">
        <f ca="1">(E95-G95)*'GS&lt;50 Predicted Monthly'!$V$9</f>
        <v>-137724.61799152056</v>
      </c>
      <c r="O95" s="18">
        <f ca="1">(F95-H95)*'GS&lt;50 Predicted Monthly'!$V$10</f>
        <v>196493.29015049501</v>
      </c>
      <c r="P95" s="18"/>
      <c r="Q95" s="18"/>
      <c r="R95" s="18"/>
      <c r="S95" s="271">
        <f t="shared" ca="1" si="11"/>
        <v>9922878.5590399913</v>
      </c>
    </row>
    <row r="96" spans="1:19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 ca="1">'Monthly Data'!J96</f>
        <v>10711710.156730885</v>
      </c>
      <c r="E96" s="269">
        <f t="shared" ca="1" si="12"/>
        <v>366.78033055712399</v>
      </c>
      <c r="F96" s="269">
        <f t="shared" ca="1" si="12"/>
        <v>0.8083333333333329</v>
      </c>
      <c r="G96" s="269">
        <f>'Monthly Data'!BD96</f>
        <v>351.83333333333343</v>
      </c>
      <c r="H96" s="269">
        <f>'Monthly Data'!BG96</f>
        <v>2.3083333333333318</v>
      </c>
      <c r="I96" s="18">
        <f>'Monthly Data'!CG96</f>
        <v>0.25</v>
      </c>
      <c r="J96" s="4">
        <f>'Monthly Data'!CD96</f>
        <v>30</v>
      </c>
      <c r="K96" s="24">
        <f>'Monthly Data'!K96</f>
        <v>4330</v>
      </c>
      <c r="M96" s="18"/>
      <c r="N96" s="18">
        <f ca="1">(E96-G96)*'GS&lt;50 Predicted Monthly'!$V$9</f>
        <v>80753.113313376962</v>
      </c>
      <c r="O96" s="18">
        <f ca="1">(F96-H96)*'GS&lt;50 Predicted Monthly'!$V$10</f>
        <v>-18934.549761550934</v>
      </c>
      <c r="P96" s="18"/>
      <c r="Q96" s="18"/>
      <c r="R96" s="18"/>
      <c r="S96" s="271">
        <f t="shared" ca="1" si="11"/>
        <v>10773528.720282711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 ca="1">'Monthly Data'!J97</f>
        <v>12176416.001356015</v>
      </c>
      <c r="E97" s="269">
        <f t="shared" ca="1" si="12"/>
        <v>515.92800724637686</v>
      </c>
      <c r="F97" s="269">
        <f t="shared" ca="1" si="12"/>
        <v>0</v>
      </c>
      <c r="G97" s="269">
        <f>'Monthly Data'!BD97</f>
        <v>523.12083333333328</v>
      </c>
      <c r="H97" s="269">
        <f>'Monthly Data'!BG97</f>
        <v>0</v>
      </c>
      <c r="I97" s="18">
        <f>'Monthly Data'!CG97</f>
        <v>0.25</v>
      </c>
      <c r="J97" s="4">
        <f>'Monthly Data'!CD97</f>
        <v>31</v>
      </c>
      <c r="K97" s="24">
        <f>'Monthly Data'!K97</f>
        <v>4328</v>
      </c>
      <c r="M97" s="18"/>
      <c r="N97" s="18">
        <f ca="1">(E97-G97)*'GS&lt;50 Predicted Monthly'!$V$9</f>
        <v>-38860.186520868527</v>
      </c>
      <c r="O97" s="18">
        <f ca="1">(F97-H97)*'GS&lt;50 Predicted Monthly'!$V$10</f>
        <v>0</v>
      </c>
      <c r="P97" s="18"/>
      <c r="Q97" s="18"/>
      <c r="R97" s="18"/>
      <c r="S97" s="271">
        <f t="shared" ca="1" si="11"/>
        <v>12137555.814835146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 ca="1">'Monthly Data'!J98</f>
        <v>11917827.94576852</v>
      </c>
      <c r="E98" s="269">
        <f t="shared" ref="E98:F109" ca="1" si="13">E86</f>
        <v>635.33418478260876</v>
      </c>
      <c r="F98" s="269">
        <f t="shared" ca="1" si="13"/>
        <v>0</v>
      </c>
      <c r="G98" s="269">
        <f>'Monthly Data'!BD98</f>
        <v>542.07083333333333</v>
      </c>
      <c r="H98" s="269">
        <f>'Monthly Data'!BG98</f>
        <v>0</v>
      </c>
      <c r="I98" s="18">
        <f>'Monthly Data'!CG98</f>
        <v>0</v>
      </c>
      <c r="J98" s="4">
        <f>'Monthly Data'!CD98</f>
        <v>31</v>
      </c>
      <c r="K98" s="24">
        <f>'Monthly Data'!K98</f>
        <v>4326</v>
      </c>
      <c r="M98" s="18"/>
      <c r="N98" s="18">
        <f ca="1">(E98-G98)*'GS&lt;50 Predicted Monthly'!$V$9</f>
        <v>503867.49089518446</v>
      </c>
      <c r="O98" s="18">
        <f ca="1">(F98-H98)*'GS&lt;50 Predicted Monthly'!$V$10</f>
        <v>0</v>
      </c>
      <c r="P98" s="18"/>
      <c r="Q98" s="18"/>
      <c r="R98" s="18"/>
      <c r="S98" s="271">
        <f t="shared" ref="S98:S121" ca="1" si="14">D98+N98+O98</f>
        <v>12421695.436663704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 ca="1"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269">
        <f>'Monthly Data'!BD99</f>
        <v>517.43333333333328</v>
      </c>
      <c r="H99" s="269">
        <f>'Monthly Data'!BG99</f>
        <v>0</v>
      </c>
      <c r="I99" s="18">
        <f>'Monthly Data'!CG99</f>
        <v>0</v>
      </c>
      <c r="J99" s="4">
        <f>'Monthly Data'!CD99</f>
        <v>28</v>
      </c>
      <c r="K99" s="24">
        <f>'Monthly Data'!K99</f>
        <v>4326</v>
      </c>
      <c r="M99" s="18"/>
      <c r="N99" s="18">
        <f ca="1">(E99-G99)*'GS&lt;50 Predicted Monthly'!$V$9</f>
        <v>271329.2403362217</v>
      </c>
      <c r="O99" s="18">
        <f ca="1">(F99-H99)*'GS&lt;50 Predicted Monthly'!$V$10</f>
        <v>0</v>
      </c>
      <c r="P99" s="18"/>
      <c r="Q99" s="18"/>
      <c r="R99" s="18"/>
      <c r="S99" s="271">
        <f t="shared" ca="1" si="14"/>
        <v>11554748.474654585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 ca="1"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269">
        <f>'Monthly Data'!BD100</f>
        <v>489.03333333333336</v>
      </c>
      <c r="H100" s="269">
        <f>'Monthly Data'!BG100</f>
        <v>0</v>
      </c>
      <c r="I100" s="18">
        <f>'Monthly Data'!CG100</f>
        <v>0</v>
      </c>
      <c r="J100" s="4">
        <f>'Monthly Data'!CD100</f>
        <v>31</v>
      </c>
      <c r="K100" s="24">
        <f>'Monthly Data'!K100</f>
        <v>4323</v>
      </c>
      <c r="M100" s="18"/>
      <c r="N100" s="18">
        <f ca="1">(E100-G100)*'GS&lt;50 Predicted Monthly'!$V$9</f>
        <v>-26474.752404541065</v>
      </c>
      <c r="O100" s="18">
        <f ca="1">(F100-H100)*'GS&lt;50 Predicted Monthly'!$V$10</f>
        <v>0</v>
      </c>
      <c r="P100" s="18"/>
      <c r="Q100" s="18"/>
      <c r="R100" s="18"/>
      <c r="S100" s="271">
        <f t="shared" ca="1" si="14"/>
        <v>11803448.797817372</v>
      </c>
      <c r="V100" s="18"/>
      <c r="W100" s="276"/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 ca="1"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269">
        <f>'Monthly Data'!BD101</f>
        <v>243.15833333333336</v>
      </c>
      <c r="H101" s="269">
        <f>'Monthly Data'!BG101</f>
        <v>11.71666666666667</v>
      </c>
      <c r="I101" s="18">
        <f>'Monthly Data'!CG101</f>
        <v>0</v>
      </c>
      <c r="J101" s="4">
        <f>'Monthly Data'!CD101</f>
        <v>30</v>
      </c>
      <c r="K101" s="24">
        <f>'Monthly Data'!K101</f>
        <v>4324</v>
      </c>
      <c r="M101" s="18"/>
      <c r="N101" s="18">
        <f ca="1">(E101-G101)*'GS&lt;50 Predicted Monthly'!$V$9</f>
        <v>268255.47507333633</v>
      </c>
      <c r="O101" s="18">
        <f ca="1">(F101-H101)*'GS&lt;50 Predicted Monthly'!$V$10</f>
        <v>-120244.91018016051</v>
      </c>
      <c r="P101" s="18"/>
      <c r="Q101" s="18"/>
      <c r="R101" s="18"/>
      <c r="S101" s="271">
        <f t="shared" ca="1" si="14"/>
        <v>10157875.701851988</v>
      </c>
      <c r="V101" s="18"/>
      <c r="W101" s="276"/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 ca="1"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269">
        <f>'Monthly Data'!BD102</f>
        <v>113.00166666666665</v>
      </c>
      <c r="H102" s="269">
        <f>'Monthly Data'!BG102</f>
        <v>37.345833333333331</v>
      </c>
      <c r="I102" s="18">
        <f>'Monthly Data'!CG102</f>
        <v>0</v>
      </c>
      <c r="J102" s="4">
        <f>'Monthly Data'!CD102</f>
        <v>31</v>
      </c>
      <c r="K102" s="24">
        <f>'Monthly Data'!K102</f>
        <v>4331</v>
      </c>
      <c r="M102" s="18"/>
      <c r="N102" s="18">
        <f ca="1">(E102-G102)*'GS&lt;50 Predicted Monthly'!$V$9</f>
        <v>-52633.914497314268</v>
      </c>
      <c r="O102" s="18">
        <f ca="1">(F102-H102)*'GS&lt;50 Predicted Monthly'!$V$10</f>
        <v>191132.94097106601</v>
      </c>
      <c r="P102" s="18"/>
      <c r="Q102" s="18"/>
      <c r="R102" s="18"/>
      <c r="S102" s="271">
        <f t="shared" ca="1" si="14"/>
        <v>10515999.434539944</v>
      </c>
      <c r="V102" s="18"/>
      <c r="W102" s="276"/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 ca="1"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269">
        <f>'Monthly Data'!BD103</f>
        <v>4.2708333333333268</v>
      </c>
      <c r="H103" s="269">
        <f>'Monthly Data'!BG103</f>
        <v>145.54166666666666</v>
      </c>
      <c r="I103" s="18">
        <f>'Monthly Data'!CG103</f>
        <v>0</v>
      </c>
      <c r="J103" s="4">
        <f>'Monthly Data'!CD103</f>
        <v>30</v>
      </c>
      <c r="K103" s="24">
        <f>'Monthly Data'!K103</f>
        <v>4427</v>
      </c>
      <c r="M103" s="18"/>
      <c r="N103" s="18">
        <f ca="1">(E103-G103)*'GS&lt;50 Predicted Monthly'!$V$9</f>
        <v>41167.322347336216</v>
      </c>
      <c r="O103" s="18">
        <f ca="1">(F103-H103)*'GS&lt;50 Predicted Monthly'!$V$10</f>
        <v>-99559.745025969736</v>
      </c>
      <c r="P103" s="18"/>
      <c r="Q103" s="18"/>
      <c r="R103" s="18"/>
      <c r="S103" s="271">
        <f t="shared" ca="1" si="14"/>
        <v>11070565.100767994</v>
      </c>
      <c r="V103" s="18"/>
      <c r="W103" s="276"/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 ca="1"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269">
        <f>'Monthly Data'!BD104</f>
        <v>0</v>
      </c>
      <c r="H104" s="269">
        <f>'Monthly Data'!BG104</f>
        <v>223.78333333333336</v>
      </c>
      <c r="I104" s="18">
        <f>'Monthly Data'!CG104</f>
        <v>0</v>
      </c>
      <c r="J104" s="4">
        <f>'Monthly Data'!CD104</f>
        <v>31</v>
      </c>
      <c r="K104" s="24">
        <f>'Monthly Data'!K104</f>
        <v>4428</v>
      </c>
      <c r="M104" s="18"/>
      <c r="N104" s="18">
        <f ca="1">(E104-G104)*'GS&lt;50 Predicted Monthly'!$V$9</f>
        <v>402.94624249810443</v>
      </c>
      <c r="O104" s="18">
        <f ca="1">(F104-H104)*'GS&lt;50 Predicted Monthly'!$V$10</f>
        <v>153547.14677505434</v>
      </c>
      <c r="P104" s="18"/>
      <c r="Q104" s="18"/>
      <c r="R104" s="18"/>
      <c r="S104" s="271">
        <f t="shared" ca="1" si="14"/>
        <v>12702684.462765956</v>
      </c>
      <c r="V104" s="18"/>
      <c r="W104" s="276"/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 ca="1"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269">
        <f>'Monthly Data'!BD105</f>
        <v>1.6125000000000007</v>
      </c>
      <c r="H105" s="269">
        <f>'Monthly Data'!BG105</f>
        <v>165.80489130434788</v>
      </c>
      <c r="I105" s="18">
        <f>'Monthly Data'!CG105</f>
        <v>0</v>
      </c>
      <c r="J105" s="4">
        <f>'Monthly Data'!CD105</f>
        <v>31</v>
      </c>
      <c r="K105" s="24">
        <f>'Monthly Data'!K105</f>
        <v>4431</v>
      </c>
      <c r="M105" s="18"/>
      <c r="N105" s="18">
        <f ca="1">(E105-G105)*'GS&lt;50 Predicted Monthly'!$V$9</f>
        <v>-4657.5183001596752</v>
      </c>
      <c r="O105" s="18">
        <f ca="1">(F105-H105)*'GS&lt;50 Predicted Monthly'!$V$10</f>
        <v>570064.97186824877</v>
      </c>
      <c r="P105" s="18"/>
      <c r="Q105" s="18"/>
      <c r="R105" s="18"/>
      <c r="S105" s="271">
        <f t="shared" ca="1" si="14"/>
        <v>12307772.802185241</v>
      </c>
      <c r="V105" s="18"/>
      <c r="W105" s="276"/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 ca="1"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269">
        <f>'Monthly Data'!BD106</f>
        <v>15.216666666666669</v>
      </c>
      <c r="H106" s="269">
        <f>'Monthly Data'!BG106</f>
        <v>105.35</v>
      </c>
      <c r="I106" s="18">
        <f>'Monthly Data'!CG106</f>
        <v>0</v>
      </c>
      <c r="J106" s="4">
        <f>'Monthly Data'!CD106</f>
        <v>30</v>
      </c>
      <c r="K106" s="24">
        <f>'Monthly Data'!K106</f>
        <v>4430</v>
      </c>
      <c r="M106" s="18"/>
      <c r="N106" s="18">
        <f ca="1">(E106-G106)*'GS&lt;50 Predicted Monthly'!$V$9</f>
        <v>60108.969865855463</v>
      </c>
      <c r="O106" s="18">
        <f ca="1">(F106-H106)*'GS&lt;50 Predicted Monthly'!$V$10</f>
        <v>13456.303638080035</v>
      </c>
      <c r="P106" s="18"/>
      <c r="Q106" s="18"/>
      <c r="R106" s="18"/>
      <c r="S106" s="271">
        <f t="shared" ca="1" si="14"/>
        <v>10946455.678284155</v>
      </c>
      <c r="V106" s="18"/>
      <c r="W106" s="276"/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 ca="1"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269">
        <f>'Monthly Data'!BD107</f>
        <v>157.42916666666665</v>
      </c>
      <c r="H107" s="269">
        <f>'Monthly Data'!BG107</f>
        <v>35.333333333333343</v>
      </c>
      <c r="I107" s="18">
        <f>'Monthly Data'!CG107</f>
        <v>0</v>
      </c>
      <c r="J107" s="4">
        <f>'Monthly Data'!CD107</f>
        <v>31</v>
      </c>
      <c r="K107" s="24">
        <f>'Monthly Data'!K107</f>
        <v>4441</v>
      </c>
      <c r="M107" s="18"/>
      <c r="N107" s="18">
        <f ca="1">(E107-G107)*'GS&lt;50 Predicted Monthly'!$V$9</f>
        <v>129308.25819436302</v>
      </c>
      <c r="O107" s="18">
        <f ca="1">(F107-H107)*'GS&lt;50 Predicted Monthly'!$V$10</f>
        <v>-218962.28920086887</v>
      </c>
      <c r="P107" s="18"/>
      <c r="Q107" s="18"/>
      <c r="R107" s="18"/>
      <c r="S107" s="271">
        <f t="shared" ca="1" si="14"/>
        <v>10500501.206350325</v>
      </c>
      <c r="V107" s="18"/>
      <c r="W107" s="276"/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 ca="1"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269">
        <f>'Monthly Data'!BD108</f>
        <v>390.59311594202899</v>
      </c>
      <c r="H108" s="269">
        <f>'Monthly Data'!BG108</f>
        <v>0</v>
      </c>
      <c r="I108" s="18">
        <f>'Monthly Data'!CG108</f>
        <v>0</v>
      </c>
      <c r="J108" s="4">
        <f>'Monthly Data'!CD108</f>
        <v>30</v>
      </c>
      <c r="K108" s="24">
        <f>'Monthly Data'!K108</f>
        <v>4460</v>
      </c>
      <c r="M108" s="18"/>
      <c r="N108" s="18">
        <f ca="1">(E108-G108)*'GS&lt;50 Predicted Monthly'!$V$9</f>
        <v>-128651.69690629661</v>
      </c>
      <c r="O108" s="18">
        <f ca="1">(F108-H108)*'GS&lt;50 Predicted Monthly'!$V$10</f>
        <v>10203.618482613561</v>
      </c>
      <c r="P108" s="18"/>
      <c r="Q108" s="18"/>
      <c r="R108" s="18"/>
      <c r="S108" s="271">
        <f t="shared" ca="1" si="14"/>
        <v>11011583.134827035</v>
      </c>
      <c r="V108" s="18"/>
      <c r="W108" s="276"/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 ca="1"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269">
        <f>'Monthly Data'!BD109</f>
        <v>427.67916666666667</v>
      </c>
      <c r="H109" s="269">
        <f>'Monthly Data'!BG109</f>
        <v>0</v>
      </c>
      <c r="I109" s="18">
        <f>'Monthly Data'!CG109</f>
        <v>0</v>
      </c>
      <c r="J109" s="4">
        <f>'Monthly Data'!CD109</f>
        <v>31</v>
      </c>
      <c r="K109" s="24">
        <f>'Monthly Data'!K109</f>
        <v>4474</v>
      </c>
      <c r="M109" s="18"/>
      <c r="N109" s="18">
        <f ca="1">(E109-G109)*'GS&lt;50 Predicted Monthly'!$V$9</f>
        <v>476775.93809709878</v>
      </c>
      <c r="O109" s="18">
        <f ca="1">(F109-H109)*'GS&lt;50 Predicted Monthly'!$V$10</f>
        <v>0</v>
      </c>
      <c r="P109" s="18"/>
      <c r="Q109" s="18"/>
      <c r="R109" s="18"/>
      <c r="S109" s="271">
        <f t="shared" ca="1" si="14"/>
        <v>12682550.218834143</v>
      </c>
      <c r="V109" s="18"/>
      <c r="W109" s="276"/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 ca="1">'Monthly Data'!J110</f>
        <v>13014635.147972617</v>
      </c>
      <c r="E110" s="269">
        <f t="shared" ref="E110:F121" ca="1" si="15">E98</f>
        <v>635.33418478260876</v>
      </c>
      <c r="F110" s="269">
        <f t="shared" ca="1" si="15"/>
        <v>0</v>
      </c>
      <c r="G110" s="269">
        <f>'Monthly Data'!BD110</f>
        <v>574.99583333333339</v>
      </c>
      <c r="H110" s="269">
        <f>'Monthly Data'!BG110</f>
        <v>0</v>
      </c>
      <c r="I110" s="18">
        <f>'Monthly Data'!CG110</f>
        <v>0</v>
      </c>
      <c r="J110" s="4">
        <f>'Monthly Data'!CD110</f>
        <v>31</v>
      </c>
      <c r="K110" s="24">
        <f>'Monthly Data'!K110</f>
        <v>4429</v>
      </c>
      <c r="M110" s="18"/>
      <c r="N110" s="18">
        <f ca="1">(E110-G110)*'GS&lt;50 Predicted Monthly'!$V$9</f>
        <v>325985.85915104806</v>
      </c>
      <c r="O110" s="18">
        <f ca="1">(F110-H110)*'GS&lt;50 Predicted Monthly'!$V$10</f>
        <v>0</v>
      </c>
      <c r="P110" s="18"/>
      <c r="Q110" s="18"/>
      <c r="R110" s="18"/>
      <c r="S110" s="271">
        <f t="shared" ca="1" si="14"/>
        <v>13340621.007123666</v>
      </c>
      <c r="U110" s="259"/>
      <c r="V110" s="18"/>
      <c r="W110" s="276"/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 ca="1">'Monthly Data'!J111</f>
        <v>11809067.11452879</v>
      </c>
      <c r="E111" s="269">
        <f t="shared" ca="1" si="15"/>
        <v>567.65501811594208</v>
      </c>
      <c r="F111" s="269">
        <f t="shared" ca="1" si="15"/>
        <v>0</v>
      </c>
      <c r="G111" s="269">
        <f>'Monthly Data'!BD111</f>
        <v>484.96666666666658</v>
      </c>
      <c r="H111" s="269">
        <f>'Monthly Data'!BG111</f>
        <v>0</v>
      </c>
      <c r="I111" s="18">
        <f>'Monthly Data'!CG111</f>
        <v>0</v>
      </c>
      <c r="J111" s="4">
        <f>'Monthly Data'!CD111</f>
        <v>29</v>
      </c>
      <c r="K111" s="24">
        <f>'Monthly Data'!K111</f>
        <v>4427</v>
      </c>
      <c r="M111" s="18"/>
      <c r="N111" s="18">
        <f ca="1">(E111-G111)*'GS&lt;50 Predicted Monthly'!$V$9</f>
        <v>446734.66612087237</v>
      </c>
      <c r="O111" s="18">
        <f ca="1">(F111-H111)*'GS&lt;50 Predicted Monthly'!$V$10</f>
        <v>0</v>
      </c>
      <c r="P111" s="18"/>
      <c r="Q111" s="18"/>
      <c r="R111" s="18"/>
      <c r="S111" s="271">
        <f t="shared" ca="1" si="14"/>
        <v>12255801.780649662</v>
      </c>
      <c r="U111" s="259"/>
      <c r="V111" s="18"/>
      <c r="W111" s="276"/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 ca="1">'Monthly Data'!J112</f>
        <v>11846684.157773821</v>
      </c>
      <c r="E112" s="269">
        <f t="shared" ca="1" si="15"/>
        <v>484.13298913043479</v>
      </c>
      <c r="F112" s="269">
        <f t="shared" ca="1" si="15"/>
        <v>0</v>
      </c>
      <c r="G112" s="269">
        <f>'Monthly Data'!BD112</f>
        <v>398.11250000000001</v>
      </c>
      <c r="H112" s="269">
        <f>'Monthly Data'!BG112</f>
        <v>0</v>
      </c>
      <c r="I112" s="18">
        <f>'Monthly Data'!CG112</f>
        <v>0</v>
      </c>
      <c r="J112" s="4">
        <f>'Monthly Data'!CD112</f>
        <v>31</v>
      </c>
      <c r="K112" s="24">
        <f>'Monthly Data'!K112</f>
        <v>4431</v>
      </c>
      <c r="M112" s="18"/>
      <c r="N112" s="18">
        <f ca="1">(E112-G112)*'GS&lt;50 Predicted Monthly'!$V$9</f>
        <v>464736.97706759168</v>
      </c>
      <c r="O112" s="18">
        <f ca="1">(F112-H112)*'GS&lt;50 Predicted Monthly'!$V$10</f>
        <v>0</v>
      </c>
      <c r="P112" s="18"/>
      <c r="Q112" s="18"/>
      <c r="R112" s="18"/>
      <c r="S112" s="271">
        <f t="shared" ca="1" si="14"/>
        <v>12311421.134841412</v>
      </c>
      <c r="U112" s="259"/>
    </row>
    <row r="113" spans="1:22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 ca="1">'Monthly Data'!J113</f>
        <v>10810229.198586483</v>
      </c>
      <c r="E113" s="269">
        <f t="shared" ca="1" si="15"/>
        <v>292.81107954545462</v>
      </c>
      <c r="F113" s="269">
        <f t="shared" ca="1" si="15"/>
        <v>2.1908333333333347</v>
      </c>
      <c r="G113" s="269">
        <f>'Monthly Data'!BD113</f>
        <v>248.29791666666665</v>
      </c>
      <c r="H113" s="269">
        <f>'Monthly Data'!BG113</f>
        <v>0</v>
      </c>
      <c r="I113" s="18">
        <f>'Monthly Data'!CG113</f>
        <v>0</v>
      </c>
      <c r="J113" s="4">
        <f>'Monthly Data'!CD113</f>
        <v>30</v>
      </c>
      <c r="K113" s="24">
        <f>'Monthly Data'!K113</f>
        <v>4433</v>
      </c>
      <c r="M113" s="18"/>
      <c r="N113" s="18">
        <f ca="1">(E113-G113)*'GS&lt;50 Predicted Monthly'!$V$9</f>
        <v>240488.20188219612</v>
      </c>
      <c r="O113" s="18">
        <f ca="1">(F113-H113)*'GS&lt;50 Predicted Monthly'!$V$10</f>
        <v>27654.961846176375</v>
      </c>
      <c r="P113" s="18"/>
      <c r="Q113" s="18"/>
      <c r="R113" s="18"/>
      <c r="S113" s="271">
        <f t="shared" ca="1" si="14"/>
        <v>11078372.362314856</v>
      </c>
      <c r="U113" s="259"/>
      <c r="V113" s="18"/>
    </row>
    <row r="114" spans="1:22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 ca="1">'Monthly Data'!J114</f>
        <v>10819174.870085414</v>
      </c>
      <c r="E114" s="269">
        <f t="shared" ca="1" si="15"/>
        <v>103.25939244851259</v>
      </c>
      <c r="F114" s="269">
        <f t="shared" ca="1" si="15"/>
        <v>52.487435064935063</v>
      </c>
      <c r="G114" s="269">
        <f>'Monthly Data'!BD114</f>
        <v>44.158333333333317</v>
      </c>
      <c r="H114" s="269">
        <f>'Monthly Data'!BG114</f>
        <v>60.691666666666663</v>
      </c>
      <c r="I114" s="18">
        <f>'Monthly Data'!CG114</f>
        <v>0</v>
      </c>
      <c r="J114" s="4">
        <f>'Monthly Data'!CD114</f>
        <v>31</v>
      </c>
      <c r="K114" s="24">
        <f>'Monthly Data'!K114</f>
        <v>4438</v>
      </c>
      <c r="M114" s="18"/>
      <c r="N114" s="18">
        <f ca="1">(E114-G114)*'GS&lt;50 Predicted Monthly'!$V$9</f>
        <v>319301.22500272538</v>
      </c>
      <c r="O114" s="18">
        <f ca="1">(F114-H114)*'GS&lt;50 Predicted Monthly'!$V$10</f>
        <v>-103562.28767885055</v>
      </c>
      <c r="P114" s="18"/>
      <c r="Q114" s="18"/>
      <c r="R114" s="18"/>
      <c r="S114" s="271">
        <f t="shared" ca="1" si="14"/>
        <v>11034913.807409288</v>
      </c>
      <c r="U114" s="259"/>
      <c r="V114" s="18"/>
    </row>
    <row r="115" spans="1:22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 ca="1"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269">
        <f>'Monthly Data'!BD115</f>
        <v>10.312499999999995</v>
      </c>
      <c r="H115" s="269">
        <f>'Monthly Data'!BG115</f>
        <v>146.61250000000007</v>
      </c>
      <c r="I115" s="18">
        <f>'Monthly Data'!CG115</f>
        <v>0</v>
      </c>
      <c r="J115" s="4">
        <f>'Monthly Data'!CD115</f>
        <v>30</v>
      </c>
      <c r="K115" s="24">
        <f>'Monthly Data'!K115</f>
        <v>4437</v>
      </c>
      <c r="M115" s="18"/>
      <c r="N115" s="18">
        <f ca="1">(E115-G115)*'GS&lt;50 Predicted Monthly'!$V$9</f>
        <v>8526.4256086628011</v>
      </c>
      <c r="O115" s="18">
        <f ca="1">(F115-H115)*'GS&lt;50 Predicted Monthly'!$V$10</f>
        <v>-113076.90971685571</v>
      </c>
      <c r="P115" s="18"/>
      <c r="Q115" s="18"/>
      <c r="R115" s="18"/>
      <c r="S115" s="271">
        <f t="shared" ca="1" si="14"/>
        <v>11444523.004515432</v>
      </c>
      <c r="U115" s="259"/>
      <c r="V115" s="18"/>
    </row>
    <row r="116" spans="1:22" x14ac:dyDescent="0.25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 ca="1"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269">
        <f>'Monthly Data'!BD116</f>
        <v>0</v>
      </c>
      <c r="H116" s="269">
        <f>'Monthly Data'!BG116</f>
        <v>241.14166666666668</v>
      </c>
      <c r="I116" s="18">
        <f>'Monthly Data'!CG116</f>
        <v>0</v>
      </c>
      <c r="J116" s="4">
        <f>'Monthly Data'!CD116</f>
        <v>31</v>
      </c>
      <c r="K116" s="24">
        <f>'Monthly Data'!K116</f>
        <v>4438</v>
      </c>
      <c r="M116" s="18"/>
      <c r="N116" s="18">
        <f ca="1">(E116-G116)*'GS&lt;50 Predicted Monthly'!$V$9</f>
        <v>402.94624249810443</v>
      </c>
      <c r="O116" s="18">
        <f ca="1">(F116-H116)*'GS&lt;50 Predicted Monthly'!$V$10</f>
        <v>-65567.670743337861</v>
      </c>
      <c r="P116" s="18"/>
      <c r="Q116" s="18"/>
      <c r="R116" s="18"/>
      <c r="S116" s="271">
        <f t="shared" ca="1" si="14"/>
        <v>13121988.588868771</v>
      </c>
      <c r="V116" s="18"/>
    </row>
    <row r="117" spans="1:22" x14ac:dyDescent="0.25">
      <c r="A117" s="3">
        <v>45505</v>
      </c>
      <c r="B117" s="1">
        <f t="shared" si="16"/>
        <v>2024</v>
      </c>
      <c r="C117" s="1">
        <f t="shared" si="17"/>
        <v>8</v>
      </c>
      <c r="D117" s="259">
        <f ca="1"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269">
        <f>'Monthly Data'!BD117</f>
        <v>1.7583333333333346</v>
      </c>
      <c r="H117" s="269">
        <f>'Monthly Data'!BG117</f>
        <v>200.86666666666665</v>
      </c>
      <c r="I117" s="18">
        <f>'Monthly Data'!CG117</f>
        <v>0</v>
      </c>
      <c r="J117" s="4">
        <f>'Monthly Data'!CD117</f>
        <v>31</v>
      </c>
      <c r="K117" s="24">
        <f>'Monthly Data'!K117</f>
        <v>4440</v>
      </c>
      <c r="M117" s="18"/>
      <c r="N117" s="18">
        <f ca="1">(E117-G117)*'GS&lt;50 Predicted Monthly'!$V$9</f>
        <v>-5445.4020145414506</v>
      </c>
      <c r="O117" s="18">
        <f ca="1">(F117-H117)*'GS&lt;50 Predicted Monthly'!$V$10</f>
        <v>127479.01831748488</v>
      </c>
      <c r="P117" s="18"/>
      <c r="Q117" s="18"/>
      <c r="R117" s="18"/>
      <c r="S117" s="271">
        <f t="shared" ca="1" si="14"/>
        <v>12643103.868765026</v>
      </c>
      <c r="V117" s="18"/>
    </row>
    <row r="118" spans="1:22" x14ac:dyDescent="0.25">
      <c r="A118" s="3">
        <v>45536</v>
      </c>
      <c r="B118" s="1">
        <f t="shared" si="16"/>
        <v>2024</v>
      </c>
      <c r="C118" s="1">
        <f t="shared" si="17"/>
        <v>9</v>
      </c>
      <c r="D118" s="259">
        <f ca="1"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269">
        <f>'Monthly Data'!BD118</f>
        <v>10.920833333333333</v>
      </c>
      <c r="H118" s="269">
        <f>'Monthly Data'!BG118</f>
        <v>113.86250000000001</v>
      </c>
      <c r="I118" s="18">
        <f>'Monthly Data'!CG118</f>
        <v>0</v>
      </c>
      <c r="J118" s="4">
        <f>'Monthly Data'!CD118</f>
        <v>30</v>
      </c>
      <c r="K118" s="24">
        <f>'Monthly Data'!K118</f>
        <v>4445</v>
      </c>
      <c r="M118" s="18"/>
      <c r="N118" s="18">
        <f ca="1">(E118-G118)*'GS&lt;50 Predicted Monthly'!$V$9</f>
        <v>83317.772995215681</v>
      </c>
      <c r="O118" s="18">
        <f ca="1">(F118-H118)*'GS&lt;50 Predicted Monthly'!$V$10</f>
        <v>-93997.266258721822</v>
      </c>
      <c r="P118" s="18"/>
      <c r="Q118" s="18"/>
      <c r="R118" s="18"/>
      <c r="S118" s="271">
        <f t="shared" ca="1" si="14"/>
        <v>11144586.172136888</v>
      </c>
      <c r="V118" s="18"/>
    </row>
    <row r="119" spans="1:22" x14ac:dyDescent="0.25">
      <c r="A119" s="3">
        <v>45566</v>
      </c>
      <c r="B119" s="1">
        <f t="shared" si="16"/>
        <v>2024</v>
      </c>
      <c r="C119" s="1">
        <f t="shared" si="17"/>
        <v>10</v>
      </c>
      <c r="D119" s="259">
        <f ca="1"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269">
        <f>'Monthly Data'!BD119</f>
        <v>174.98749999999998</v>
      </c>
      <c r="H119" s="269">
        <f>'Monthly Data'!BG119</f>
        <v>12.120833333333337</v>
      </c>
      <c r="I119" s="18">
        <f>'Monthly Data'!CG119</f>
        <v>0</v>
      </c>
      <c r="J119" s="4">
        <f>'Monthly Data'!CD119</f>
        <v>31</v>
      </c>
      <c r="K119" s="24">
        <f>'Monthly Data'!K119</f>
        <v>4447</v>
      </c>
      <c r="M119" s="18"/>
      <c r="N119" s="18">
        <f ca="1">(E119-G119)*'GS&lt;50 Predicted Monthly'!$V$9</f>
        <v>34447.058982797673</v>
      </c>
      <c r="O119" s="18">
        <f ca="1">(F119-H119)*'GS&lt;50 Predicted Monthly'!$V$10</f>
        <v>74049.868359132131</v>
      </c>
      <c r="P119" s="18"/>
      <c r="Q119" s="18"/>
      <c r="R119" s="18"/>
      <c r="S119" s="271">
        <f t="shared" ca="1" si="14"/>
        <v>10630711.633149674</v>
      </c>
      <c r="V119" s="18"/>
    </row>
    <row r="120" spans="1:22" x14ac:dyDescent="0.25">
      <c r="A120" s="3">
        <v>45597</v>
      </c>
      <c r="B120" s="1">
        <f t="shared" si="16"/>
        <v>2024</v>
      </c>
      <c r="C120" s="1">
        <f t="shared" si="17"/>
        <v>11</v>
      </c>
      <c r="D120" s="259">
        <f ca="1"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269">
        <f>'Monthly Data'!BD120</f>
        <v>307.79583333333329</v>
      </c>
      <c r="H120" s="269">
        <f>'Monthly Data'!BG120</f>
        <v>5.5041666666666629</v>
      </c>
      <c r="I120" s="18">
        <f>'Monthly Data'!CG120</f>
        <v>0</v>
      </c>
      <c r="J120" s="4">
        <f>'Monthly Data'!CD120</f>
        <v>30</v>
      </c>
      <c r="K120" s="24">
        <f>'Monthly Data'!K120</f>
        <v>4465</v>
      </c>
      <c r="M120" s="18"/>
      <c r="N120" s="18">
        <f ca="1">(E120-G120)*'GS&lt;50 Predicted Monthly'!$V$9</f>
        <v>318671.48409340472</v>
      </c>
      <c r="O120" s="18">
        <f ca="1">(F120-H120)*'GS&lt;50 Predicted Monthly'!$V$10</f>
        <v>-59275.659947966407</v>
      </c>
      <c r="P120" s="18"/>
      <c r="Q120" s="18"/>
      <c r="R120" s="18"/>
      <c r="S120" s="271">
        <f t="shared" ca="1" si="14"/>
        <v>11378484.387716016</v>
      </c>
      <c r="V120" s="18"/>
    </row>
    <row r="121" spans="1:22" x14ac:dyDescent="0.25">
      <c r="A121" s="3">
        <v>45627</v>
      </c>
      <c r="B121" s="1">
        <f t="shared" si="16"/>
        <v>2024</v>
      </c>
      <c r="C121" s="1">
        <f t="shared" si="17"/>
        <v>12</v>
      </c>
      <c r="D121" s="259">
        <f ca="1"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269">
        <f>'Monthly Data'!BD121</f>
        <v>536.57500000000005</v>
      </c>
      <c r="H121" s="269">
        <f>'Monthly Data'!BG121</f>
        <v>0</v>
      </c>
      <c r="I121" s="18">
        <f>'Monthly Data'!CG121</f>
        <v>0</v>
      </c>
      <c r="J121" s="4">
        <f>'Monthly Data'!CD121</f>
        <v>31</v>
      </c>
      <c r="K121" s="24">
        <f>'Monthly Data'!K121</f>
        <v>4297</v>
      </c>
      <c r="M121" s="18"/>
      <c r="N121" s="18">
        <f ca="1">(E121-G121)*'GS&lt;50 Predicted Monthly'!$V$9</f>
        <v>-111548.08691340452</v>
      </c>
      <c r="O121" s="18">
        <f ca="1">(F121-H121)*'GS&lt;50 Predicted Monthly'!$V$10</f>
        <v>0</v>
      </c>
      <c r="P121" s="18"/>
      <c r="Q121" s="18"/>
      <c r="R121" s="18"/>
      <c r="S121" s="271">
        <f t="shared" ca="1" si="14"/>
        <v>12862097.161260456</v>
      </c>
      <c r="V121" s="18"/>
    </row>
    <row r="122" spans="1:22" x14ac:dyDescent="0.25">
      <c r="A122" s="3">
        <v>45658</v>
      </c>
      <c r="B122" s="1">
        <f t="shared" si="16"/>
        <v>2025</v>
      </c>
      <c r="C122" s="1">
        <f t="shared" si="17"/>
        <v>1</v>
      </c>
      <c r="E122" s="280">
        <f t="shared" ref="E122:F129" ca="1" si="18">E110</f>
        <v>635.33418478260876</v>
      </c>
      <c r="F122" s="280">
        <f t="shared" ca="1" si="18"/>
        <v>0</v>
      </c>
      <c r="G122" s="269"/>
      <c r="H122" s="269"/>
      <c r="I122" s="18">
        <f>'Monthly Data'!CG122</f>
        <v>0</v>
      </c>
      <c r="J122" s="4">
        <f>J74</f>
        <v>31</v>
      </c>
      <c r="K122" s="24">
        <f>'Customer Count'!G35</f>
        <v>4301</v>
      </c>
      <c r="M122" s="18">
        <f>'GS&lt;50 Predicted Monthly'!$V$8</f>
        <v>-5601916.4558281703</v>
      </c>
      <c r="N122" s="18">
        <f ca="1">E122*'GS&lt;50 Predicted Monthly'!$V$9</f>
        <v>3432476.2791787665</v>
      </c>
      <c r="O122" s="18">
        <f ca="1">F122*'GS&lt;50 Predicted Monthly'!$V$10</f>
        <v>0</v>
      </c>
      <c r="P122" s="18">
        <f>I122*'GS&lt;50 Predicted Monthly'!$V$11</f>
        <v>0</v>
      </c>
      <c r="Q122" s="18">
        <f>J122*'GS&lt;50 Predicted Monthly'!$V$12</f>
        <v>8344206.7499953387</v>
      </c>
      <c r="R122" s="18">
        <f>K122*'GS&lt;50 Predicted Monthly'!$V$13</f>
        <v>6541887.2080234466</v>
      </c>
      <c r="S122" s="271">
        <f t="shared" ref="S122:S145" ca="1" si="19">SUM(M122:R122)</f>
        <v>12716653.781369381</v>
      </c>
      <c r="V122" s="18"/>
    </row>
    <row r="123" spans="1:22" x14ac:dyDescent="0.25">
      <c r="A123" s="3">
        <v>45689</v>
      </c>
      <c r="B123" s="1">
        <f t="shared" si="16"/>
        <v>2025</v>
      </c>
      <c r="C123" s="1">
        <f t="shared" si="17"/>
        <v>2</v>
      </c>
      <c r="E123" s="280">
        <f t="shared" ca="1" si="18"/>
        <v>567.65501811594208</v>
      </c>
      <c r="F123" s="280">
        <f t="shared" ca="1" si="18"/>
        <v>0</v>
      </c>
      <c r="G123" s="269"/>
      <c r="H123" s="269"/>
      <c r="I123" s="18">
        <f>'Monthly Data'!CG123</f>
        <v>0</v>
      </c>
      <c r="J123" s="4">
        <f t="shared" ref="J123:J145" si="20">J75</f>
        <v>28</v>
      </c>
      <c r="K123" s="24">
        <f>'Customer Count'!G36</f>
        <v>4306</v>
      </c>
      <c r="M123" s="18">
        <f>'GS&lt;50 Predicted Monthly'!$V$8</f>
        <v>-5601916.4558281703</v>
      </c>
      <c r="N123" s="18">
        <f ca="1">E123*'GS&lt;50 Predicted Monthly'!$V$9</f>
        <v>3066830.7028158205</v>
      </c>
      <c r="O123" s="18">
        <f ca="1">F123*'GS&lt;50 Predicted Monthly'!$V$10</f>
        <v>0</v>
      </c>
      <c r="P123" s="18">
        <f>I123*'GS&lt;50 Predicted Monthly'!$V$11</f>
        <v>0</v>
      </c>
      <c r="Q123" s="18">
        <f>J123*'GS&lt;50 Predicted Monthly'!$V$12</f>
        <v>7536702.8709635315</v>
      </c>
      <c r="R123" s="18">
        <f>K123*'GS&lt;50 Predicted Monthly'!$V$13</f>
        <v>6549492.284991621</v>
      </c>
      <c r="S123" s="271">
        <f t="shared" ca="1" si="19"/>
        <v>11551109.402942803</v>
      </c>
      <c r="V123" s="18"/>
    </row>
    <row r="124" spans="1:22" x14ac:dyDescent="0.25">
      <c r="A124" s="3">
        <v>45717</v>
      </c>
      <c r="B124" s="1">
        <f t="shared" si="16"/>
        <v>2025</v>
      </c>
      <c r="C124" s="1">
        <f t="shared" si="17"/>
        <v>3</v>
      </c>
      <c r="E124" s="280">
        <f t="shared" ca="1" si="18"/>
        <v>484.13298913043479</v>
      </c>
      <c r="F124" s="280">
        <f t="shared" ca="1" si="18"/>
        <v>0</v>
      </c>
      <c r="G124" s="269"/>
      <c r="H124" s="269"/>
      <c r="I124" s="18">
        <f>'Monthly Data'!CG124</f>
        <v>0</v>
      </c>
      <c r="J124" s="4">
        <f t="shared" si="20"/>
        <v>31</v>
      </c>
      <c r="K124" s="24">
        <f>'Customer Count'!G37</f>
        <v>4319</v>
      </c>
      <c r="M124" s="18">
        <f>'GS&lt;50 Predicted Monthly'!$V$8</f>
        <v>-5601916.4558281703</v>
      </c>
      <c r="N124" s="18">
        <f ca="1">E124*'GS&lt;50 Predicted Monthly'!$V$9</f>
        <v>2615591.9844400249</v>
      </c>
      <c r="O124" s="18">
        <f ca="1">F124*'GS&lt;50 Predicted Monthly'!$V$10</f>
        <v>0</v>
      </c>
      <c r="P124" s="18">
        <f>I124*'GS&lt;50 Predicted Monthly'!$V$11</f>
        <v>0</v>
      </c>
      <c r="Q124" s="18">
        <f>J124*'GS&lt;50 Predicted Monthly'!$V$12</f>
        <v>8344206.7499953387</v>
      </c>
      <c r="R124" s="18">
        <f>K124*'GS&lt;50 Predicted Monthly'!$V$13</f>
        <v>6569265.4851088738</v>
      </c>
      <c r="S124" s="271">
        <f t="shared" ca="1" si="19"/>
        <v>11927147.763716068</v>
      </c>
      <c r="V124" s="18"/>
    </row>
    <row r="125" spans="1:22" x14ac:dyDescent="0.25">
      <c r="A125" s="3">
        <v>45748</v>
      </c>
      <c r="B125" s="1">
        <f t="shared" si="16"/>
        <v>2025</v>
      </c>
      <c r="C125" s="1">
        <f t="shared" si="17"/>
        <v>4</v>
      </c>
      <c r="E125" s="280">
        <f t="shared" ca="1" si="18"/>
        <v>292.81107954545462</v>
      </c>
      <c r="F125" s="280">
        <f t="shared" ca="1" si="18"/>
        <v>2.1908333333333347</v>
      </c>
      <c r="G125" s="269"/>
      <c r="H125" s="269"/>
      <c r="I125" s="18">
        <f>'Monthly Data'!CG125</f>
        <v>0</v>
      </c>
      <c r="J125" s="4">
        <f t="shared" si="20"/>
        <v>30</v>
      </c>
      <c r="K125" s="24">
        <f>'Customer Count'!G38</f>
        <v>4321</v>
      </c>
      <c r="M125" s="18">
        <f>'GS&lt;50 Predicted Monthly'!$V$8</f>
        <v>-5601916.4558281703</v>
      </c>
      <c r="N125" s="18">
        <f ca="1">E125*'GS&lt;50 Predicted Monthly'!$V$9</f>
        <v>1581950.2694702349</v>
      </c>
      <c r="O125" s="18">
        <f ca="1">F125*'GS&lt;50 Predicted Monthly'!$V$10</f>
        <v>27654.961846176375</v>
      </c>
      <c r="P125" s="18">
        <f>I125*'GS&lt;50 Predicted Monthly'!$V$11</f>
        <v>0</v>
      </c>
      <c r="Q125" s="18">
        <f>J125*'GS&lt;50 Predicted Monthly'!$V$12</f>
        <v>8075038.79031807</v>
      </c>
      <c r="R125" s="18">
        <f>K125*'GS&lt;50 Predicted Monthly'!$V$13</f>
        <v>6572307.5158961434</v>
      </c>
      <c r="S125" s="271">
        <f t="shared" ca="1" si="19"/>
        <v>10655035.081702454</v>
      </c>
    </row>
    <row r="126" spans="1:22" x14ac:dyDescent="0.25">
      <c r="A126" s="3">
        <v>45778</v>
      </c>
      <c r="B126" s="1">
        <f t="shared" si="16"/>
        <v>2025</v>
      </c>
      <c r="C126" s="1">
        <f t="shared" si="17"/>
        <v>5</v>
      </c>
      <c r="E126" s="280">
        <f t="shared" ca="1" si="18"/>
        <v>103.25939244851259</v>
      </c>
      <c r="F126" s="280">
        <f t="shared" ca="1" si="18"/>
        <v>52.487435064935063</v>
      </c>
      <c r="G126" s="269"/>
      <c r="H126" s="269"/>
      <c r="I126" s="18">
        <f>'Monthly Data'!CG126</f>
        <v>0</v>
      </c>
      <c r="J126" s="4">
        <f t="shared" si="20"/>
        <v>31</v>
      </c>
      <c r="K126" s="24">
        <f>'Customer Count'!G39</f>
        <v>4311</v>
      </c>
      <c r="M126" s="18">
        <f>'GS&lt;50 Predicted Monthly'!$V$8</f>
        <v>-5601916.4558281703</v>
      </c>
      <c r="N126" s="18">
        <f ca="1">E126*'GS&lt;50 Predicted Monthly'!$V$9</f>
        <v>557872.41371752578</v>
      </c>
      <c r="O126" s="18">
        <f ca="1">F126*'GS&lt;50 Predicted Monthly'!$V$10</f>
        <v>662550.63406212477</v>
      </c>
      <c r="P126" s="18">
        <f>I126*'GS&lt;50 Predicted Monthly'!$V$11</f>
        <v>0</v>
      </c>
      <c r="Q126" s="18">
        <f>J126*'GS&lt;50 Predicted Monthly'!$V$12</f>
        <v>8344206.7499953387</v>
      </c>
      <c r="R126" s="18">
        <f>K126*'GS&lt;50 Predicted Monthly'!$V$13</f>
        <v>6557097.3619597945</v>
      </c>
      <c r="S126" s="271">
        <f t="shared" ca="1" si="19"/>
        <v>10519810.703906614</v>
      </c>
    </row>
    <row r="127" spans="1:22" x14ac:dyDescent="0.25">
      <c r="A127" s="3">
        <v>45809</v>
      </c>
      <c r="B127" s="1">
        <f t="shared" si="16"/>
        <v>2025</v>
      </c>
      <c r="C127" s="1">
        <f t="shared" si="17"/>
        <v>6</v>
      </c>
      <c r="E127" s="280">
        <f t="shared" ca="1" si="18"/>
        <v>11.89069871794872</v>
      </c>
      <c r="F127" s="280">
        <f t="shared" ca="1" si="18"/>
        <v>137.65451754405018</v>
      </c>
      <c r="G127" s="269"/>
      <c r="H127" s="269"/>
      <c r="I127" s="18">
        <f>'Monthly Data'!CG127</f>
        <v>0</v>
      </c>
      <c r="J127" s="4">
        <f t="shared" si="20"/>
        <v>30</v>
      </c>
      <c r="K127" s="24">
        <f>'Customer Count'!G40</f>
        <v>4323</v>
      </c>
      <c r="M127" s="18">
        <f>'GS&lt;50 Predicted Monthly'!$V$8</f>
        <v>-5601916.4558281703</v>
      </c>
      <c r="N127" s="18">
        <f ca="1">E127*'GS&lt;50 Predicted Monthly'!$V$9</f>
        <v>64241.059697088072</v>
      </c>
      <c r="O127" s="18">
        <f ca="1">F127*'GS&lt;50 Predicted Monthly'!$V$10</f>
        <v>1737617.5415600708</v>
      </c>
      <c r="P127" s="18">
        <f>I127*'GS&lt;50 Predicted Monthly'!$V$11</f>
        <v>0</v>
      </c>
      <c r="Q127" s="18">
        <f>J127*'GS&lt;50 Predicted Monthly'!$V$12</f>
        <v>8075038.79031807</v>
      </c>
      <c r="R127" s="18">
        <f>K127*'GS&lt;50 Predicted Monthly'!$V$13</f>
        <v>6575349.546683413</v>
      </c>
      <c r="S127" s="271">
        <f t="shared" ca="1" si="19"/>
        <v>10850330.482430471</v>
      </c>
    </row>
    <row r="128" spans="1:22" x14ac:dyDescent="0.25">
      <c r="A128" s="3">
        <v>45839</v>
      </c>
      <c r="B128" s="1">
        <f t="shared" si="16"/>
        <v>2025</v>
      </c>
      <c r="C128" s="1">
        <f t="shared" si="17"/>
        <v>7</v>
      </c>
      <c r="E128" s="280">
        <f t="shared" ca="1" si="18"/>
        <v>7.4583333333333002E-2</v>
      </c>
      <c r="F128" s="280">
        <f t="shared" ca="1" si="18"/>
        <v>235.94737858727848</v>
      </c>
      <c r="G128" s="269"/>
      <c r="H128" s="269"/>
      <c r="I128" s="18">
        <f>'Monthly Data'!CG128</f>
        <v>0</v>
      </c>
      <c r="J128" s="4">
        <f t="shared" si="20"/>
        <v>31</v>
      </c>
      <c r="K128" s="24">
        <f>'Customer Count'!G41</f>
        <v>4326.8642753965878</v>
      </c>
      <c r="M128" s="18">
        <f>'GS&lt;50 Predicted Monthly'!$V$8</f>
        <v>-5601916.4558281703</v>
      </c>
      <c r="N128" s="18">
        <f ca="1">E128*'GS&lt;50 Predicted Monthly'!$V$9</f>
        <v>402.94624249810443</v>
      </c>
      <c r="O128" s="18">
        <f ca="1">F128*'GS&lt;50 Predicted Monthly'!$V$10</f>
        <v>2978371.5873122169</v>
      </c>
      <c r="P128" s="18">
        <f>I128*'GS&lt;50 Predicted Monthly'!$V$11</f>
        <v>0</v>
      </c>
      <c r="Q128" s="18">
        <f>J128*'GS&lt;50 Predicted Monthly'!$V$12</f>
        <v>8344206.7499953387</v>
      </c>
      <c r="R128" s="18">
        <f>K128*'GS&lt;50 Predicted Monthly'!$V$13</f>
        <v>6581227.1690468676</v>
      </c>
      <c r="S128" s="271">
        <f t="shared" ca="1" si="19"/>
        <v>12302291.99676875</v>
      </c>
    </row>
    <row r="129" spans="1:19" x14ac:dyDescent="0.25">
      <c r="A129" s="3">
        <v>45870</v>
      </c>
      <c r="B129" s="1">
        <f t="shared" si="16"/>
        <v>2025</v>
      </c>
      <c r="C129" s="1">
        <f t="shared" si="17"/>
        <v>8</v>
      </c>
      <c r="E129" s="280">
        <f t="shared" ca="1" si="18"/>
        <v>0.75041666666666718</v>
      </c>
      <c r="F129" s="280">
        <f t="shared" ca="1" si="18"/>
        <v>210.96558794466404</v>
      </c>
      <c r="G129" s="269"/>
      <c r="H129" s="269"/>
      <c r="I129" s="18">
        <f>'Monthly Data'!CG129</f>
        <v>0</v>
      </c>
      <c r="J129" s="4">
        <f t="shared" si="20"/>
        <v>31</v>
      </c>
      <c r="K129" s="24">
        <f>'Customer Count'!G42</f>
        <v>4330.7320050204116</v>
      </c>
      <c r="M129" s="18">
        <f>'GS&lt;50 Predicted Monthly'!$V$8</f>
        <v>-5601916.4558281703</v>
      </c>
      <c r="N129" s="18">
        <f ca="1">E129*'GS&lt;50 Predicted Monthly'!$V$9</f>
        <v>4054.2244845759205</v>
      </c>
      <c r="O129" s="18">
        <f ca="1">F129*'GS&lt;50 Predicted Monthly'!$V$10</f>
        <v>2663025.615275396</v>
      </c>
      <c r="P129" s="18">
        <f>I129*'GS&lt;50 Predicted Monthly'!$V$11</f>
        <v>0</v>
      </c>
      <c r="Q129" s="18">
        <f>J129*'GS&lt;50 Predicted Monthly'!$V$12</f>
        <v>8344206.7499953387</v>
      </c>
      <c r="R129" s="18">
        <f>K129*'GS&lt;50 Predicted Monthly'!$V$13</f>
        <v>6587110.0453431206</v>
      </c>
      <c r="S129" s="271">
        <f t="shared" ca="1" si="19"/>
        <v>11996480.17927026</v>
      </c>
    </row>
    <row r="130" spans="1:19" x14ac:dyDescent="0.25">
      <c r="A130" s="3">
        <v>45901</v>
      </c>
      <c r="B130" s="1">
        <f t="shared" si="16"/>
        <v>2025</v>
      </c>
      <c r="C130" s="1">
        <f t="shared" si="17"/>
        <v>9</v>
      </c>
      <c r="E130" s="280">
        <f t="shared" ref="E130:F145" ca="1" si="21">E118</f>
        <v>26.342536231884061</v>
      </c>
      <c r="F130" s="280">
        <f t="shared" ca="1" si="21"/>
        <v>106.4160119047619</v>
      </c>
      <c r="G130" s="269"/>
      <c r="H130" s="269"/>
      <c r="I130" s="18">
        <f>'Monthly Data'!CG130</f>
        <v>0</v>
      </c>
      <c r="J130" s="4">
        <f t="shared" si="20"/>
        <v>30</v>
      </c>
      <c r="K130" s="24">
        <f>'Customer Count'!G43</f>
        <v>4334.6031919591614</v>
      </c>
      <c r="M130" s="18">
        <f>'GS&lt;50 Predicted Monthly'!$V$8</f>
        <v>-5601916.4558281703</v>
      </c>
      <c r="N130" s="18">
        <f ca="1">E130*'GS&lt;50 Predicted Monthly'!$V$9</f>
        <v>142319.00772077637</v>
      </c>
      <c r="O130" s="18">
        <f ca="1">F130*'GS&lt;50 Predicted Monthly'!$V$10</f>
        <v>1343292.848557675</v>
      </c>
      <c r="P130" s="18">
        <f>I130*'GS&lt;50 Predicted Monthly'!$V$11</f>
        <v>0</v>
      </c>
      <c r="Q130" s="18">
        <f>J130*'GS&lt;50 Predicted Monthly'!$V$12</f>
        <v>8075038.79031807</v>
      </c>
      <c r="R130" s="18">
        <f>K130*'GS&lt;50 Predicted Monthly'!$V$13</f>
        <v>6592998.1802685978</v>
      </c>
      <c r="S130" s="271">
        <f t="shared" ca="1" si="19"/>
        <v>10551732.37103695</v>
      </c>
    </row>
    <row r="131" spans="1:19" x14ac:dyDescent="0.25">
      <c r="A131" s="3">
        <v>45931</v>
      </c>
      <c r="B131" s="1">
        <f t="shared" si="16"/>
        <v>2025</v>
      </c>
      <c r="C131" s="1">
        <f t="shared" si="17"/>
        <v>10</v>
      </c>
      <c r="E131" s="280">
        <f t="shared" ca="1" si="21"/>
        <v>181.36347826086953</v>
      </c>
      <c r="F131" s="280">
        <f t="shared" ca="1" si="21"/>
        <v>17.987083333333334</v>
      </c>
      <c r="G131" s="269"/>
      <c r="H131" s="269"/>
      <c r="I131" s="18">
        <f>'Monthly Data'!CG131</f>
        <v>0</v>
      </c>
      <c r="J131" s="4">
        <f t="shared" si="20"/>
        <v>31</v>
      </c>
      <c r="K131" s="24">
        <f>'Customer Count'!G44</f>
        <v>4338.4778393032875</v>
      </c>
      <c r="M131" s="18">
        <f>'GS&lt;50 Predicted Monthly'!$V$8</f>
        <v>-5601916.4558281703</v>
      </c>
      <c r="N131" s="18">
        <f ca="1">E131*'GS&lt;50 Predicted Monthly'!$V$9</f>
        <v>979839.98335111968</v>
      </c>
      <c r="O131" s="18">
        <f ca="1">F131*'GS&lt;50 Predicted Monthly'!$V$10</f>
        <v>227051.54962677584</v>
      </c>
      <c r="P131" s="18">
        <f>I131*'GS&lt;50 Predicted Monthly'!$V$11</f>
        <v>0</v>
      </c>
      <c r="Q131" s="18">
        <f>J131*'GS&lt;50 Predicted Monthly'!$V$12</f>
        <v>8344206.7499953387</v>
      </c>
      <c r="R131" s="18">
        <f>K131*'GS&lt;50 Predicted Monthly'!$V$13</f>
        <v>6598891.5785239199</v>
      </c>
      <c r="S131" s="271">
        <f t="shared" ca="1" si="19"/>
        <v>10548073.405668985</v>
      </c>
    </row>
    <row r="132" spans="1:19" x14ac:dyDescent="0.25">
      <c r="A132" s="3">
        <v>45962</v>
      </c>
      <c r="B132" s="1">
        <f t="shared" si="16"/>
        <v>2025</v>
      </c>
      <c r="C132" s="1">
        <f t="shared" si="17"/>
        <v>11</v>
      </c>
      <c r="E132" s="280">
        <f t="shared" ca="1" si="21"/>
        <v>366.78033055712399</v>
      </c>
      <c r="F132" s="280">
        <f t="shared" ca="1" si="21"/>
        <v>0.8083333333333329</v>
      </c>
      <c r="G132" s="269"/>
      <c r="H132" s="269"/>
      <c r="I132" s="18">
        <f>'Monthly Data'!CG132</f>
        <v>0</v>
      </c>
      <c r="J132" s="4">
        <f t="shared" si="20"/>
        <v>30</v>
      </c>
      <c r="K132" s="24">
        <f>'Customer Count'!G45</f>
        <v>4342.3559501460031</v>
      </c>
      <c r="M132" s="18">
        <f>'GS&lt;50 Predicted Monthly'!$V$8</f>
        <v>-5601916.4558281703</v>
      </c>
      <c r="N132" s="18">
        <f ca="1">E132*'GS&lt;50 Predicted Monthly'!$V$9</f>
        <v>1981578.8516675723</v>
      </c>
      <c r="O132" s="18">
        <f ca="1">F132*'GS&lt;50 Predicted Monthly'!$V$10</f>
        <v>10203.618482613561</v>
      </c>
      <c r="P132" s="18">
        <f>I132*'GS&lt;50 Predicted Monthly'!$V$11</f>
        <v>0</v>
      </c>
      <c r="Q132" s="18">
        <f>J132*'GS&lt;50 Predicted Monthly'!$V$12</f>
        <v>8075038.79031807</v>
      </c>
      <c r="R132" s="18">
        <f>K132*'GS&lt;50 Predicted Monthly'!$V$13</f>
        <v>6604790.2448139125</v>
      </c>
      <c r="S132" s="271">
        <f t="shared" ca="1" si="19"/>
        <v>11069695.049453998</v>
      </c>
    </row>
    <row r="133" spans="1:19" x14ac:dyDescent="0.25">
      <c r="A133" s="3">
        <v>45992</v>
      </c>
      <c r="B133" s="1">
        <f t="shared" si="16"/>
        <v>2025</v>
      </c>
      <c r="C133" s="1">
        <f t="shared" si="17"/>
        <v>12</v>
      </c>
      <c r="E133" s="280">
        <f t="shared" ca="1" si="21"/>
        <v>515.92800724637686</v>
      </c>
      <c r="F133" s="280">
        <f t="shared" ca="1" si="21"/>
        <v>0</v>
      </c>
      <c r="G133" s="269"/>
      <c r="H133" s="269"/>
      <c r="I133" s="18">
        <f>'Monthly Data'!CG133</f>
        <v>0</v>
      </c>
      <c r="J133" s="4">
        <f t="shared" si="20"/>
        <v>31</v>
      </c>
      <c r="K133" s="24">
        <f>'Customer Count'!G46</f>
        <v>4346.2375275832865</v>
      </c>
      <c r="M133" s="18">
        <f>'GS&lt;50 Predicted Monthly'!$V$8</f>
        <v>-5601916.4558281703</v>
      </c>
      <c r="N133" s="18">
        <f ca="1">E133*'GS&lt;50 Predicted Monthly'!$V$9</f>
        <v>2787368.740819619</v>
      </c>
      <c r="O133" s="18">
        <f ca="1">F133*'GS&lt;50 Predicted Monthly'!$V$10</f>
        <v>0</v>
      </c>
      <c r="P133" s="18">
        <f>I133*'GS&lt;50 Predicted Monthly'!$V$11</f>
        <v>0</v>
      </c>
      <c r="Q133" s="18">
        <f>J133*'GS&lt;50 Predicted Monthly'!$V$12</f>
        <v>8344206.7499953387</v>
      </c>
      <c r="R133" s="18">
        <f>K133*'GS&lt;50 Predicted Monthly'!$V$13</f>
        <v>6610694.1838476062</v>
      </c>
      <c r="S133" s="271">
        <f t="shared" ca="1" si="19"/>
        <v>12140353.218834393</v>
      </c>
    </row>
    <row r="134" spans="1:19" x14ac:dyDescent="0.25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E134" s="280">
        <f t="shared" ca="1" si="21"/>
        <v>635.33418478260876</v>
      </c>
      <c r="F134" s="280">
        <f t="shared" ca="1" si="21"/>
        <v>0</v>
      </c>
      <c r="G134" s="269"/>
      <c r="H134" s="269"/>
      <c r="I134" s="18">
        <f>'Monthly Data'!CG134</f>
        <v>0</v>
      </c>
      <c r="J134" s="4">
        <f t="shared" si="20"/>
        <v>31</v>
      </c>
      <c r="K134" s="24">
        <f>'Customer Count'!G47</f>
        <v>4350.188004510861</v>
      </c>
      <c r="M134" s="18">
        <f>'GS&lt;50 Predicted Monthly'!$V$8</f>
        <v>-5601916.4558281703</v>
      </c>
      <c r="N134" s="18">
        <f ca="1">E134*'GS&lt;50 Predicted Monthly'!$V$9</f>
        <v>3432476.2791787665</v>
      </c>
      <c r="O134" s="18">
        <f ca="1">F134*'GS&lt;50 Predicted Monthly'!$V$10</f>
        <v>0</v>
      </c>
      <c r="P134" s="18">
        <f>I134*'GS&lt;50 Predicted Monthly'!$V$11</f>
        <v>0</v>
      </c>
      <c r="Q134" s="18">
        <f>J134*'GS&lt;50 Predicted Monthly'!$V$12</f>
        <v>8344206.7499953387</v>
      </c>
      <c r="R134" s="18">
        <f>K134*'GS&lt;50 Predicted Monthly'!$V$13</f>
        <v>6616702.9200666463</v>
      </c>
      <c r="S134" s="271">
        <f t="shared" ca="1" si="19"/>
        <v>12791469.49341258</v>
      </c>
    </row>
    <row r="135" spans="1:19" x14ac:dyDescent="0.25">
      <c r="A135" s="3">
        <v>46054</v>
      </c>
      <c r="B135" s="1">
        <f t="shared" si="22"/>
        <v>2026</v>
      </c>
      <c r="C135" s="1">
        <f t="shared" si="23"/>
        <v>2</v>
      </c>
      <c r="E135" s="280">
        <f t="shared" ca="1" si="21"/>
        <v>567.65501811594208</v>
      </c>
      <c r="F135" s="280">
        <f t="shared" ca="1" si="21"/>
        <v>0</v>
      </c>
      <c r="G135" s="269"/>
      <c r="H135" s="269"/>
      <c r="I135" s="18">
        <f>'Monthly Data'!CG135</f>
        <v>0</v>
      </c>
      <c r="J135" s="4">
        <f t="shared" si="20"/>
        <v>28</v>
      </c>
      <c r="K135" s="24">
        <f>'Customer Count'!G48</f>
        <v>4354.0765829231586</v>
      </c>
      <c r="M135" s="18">
        <f>'GS&lt;50 Predicted Monthly'!$V$8</f>
        <v>-5601916.4558281703</v>
      </c>
      <c r="N135" s="18">
        <f ca="1">E135*'GS&lt;50 Predicted Monthly'!$V$9</f>
        <v>3066830.7028158205</v>
      </c>
      <c r="O135" s="18">
        <f ca="1">F135*'GS&lt;50 Predicted Monthly'!$V$10</f>
        <v>0</v>
      </c>
      <c r="P135" s="18">
        <f>I135*'GS&lt;50 Predicted Monthly'!$V$11</f>
        <v>0</v>
      </c>
      <c r="Q135" s="18">
        <f>J135*'GS&lt;50 Predicted Monthly'!$V$12</f>
        <v>7536702.8709635315</v>
      </c>
      <c r="R135" s="18">
        <f>K135*'GS&lt;50 Predicted Monthly'!$V$13</f>
        <v>6622617.5076911068</v>
      </c>
      <c r="S135" s="271">
        <f t="shared" ca="1" si="19"/>
        <v>11624234.625642288</v>
      </c>
    </row>
    <row r="136" spans="1:19" x14ac:dyDescent="0.25">
      <c r="A136" s="3">
        <v>46082</v>
      </c>
      <c r="B136" s="1">
        <f t="shared" si="22"/>
        <v>2026</v>
      </c>
      <c r="C136" s="1">
        <f t="shared" si="23"/>
        <v>3</v>
      </c>
      <c r="E136" s="280">
        <f t="shared" ca="1" si="21"/>
        <v>484.13298913043479</v>
      </c>
      <c r="F136" s="280">
        <f t="shared" ca="1" si="21"/>
        <v>0</v>
      </c>
      <c r="G136" s="269"/>
      <c r="H136" s="269"/>
      <c r="I136" s="18">
        <f>'Monthly Data'!CG136</f>
        <v>0</v>
      </c>
      <c r="J136" s="4">
        <f t="shared" si="20"/>
        <v>31</v>
      </c>
      <c r="K136" s="24">
        <f>'Customer Count'!G49</f>
        <v>4357.9686372868528</v>
      </c>
      <c r="M136" s="18">
        <f>'GS&lt;50 Predicted Monthly'!$V$8</f>
        <v>-5601916.4558281703</v>
      </c>
      <c r="N136" s="18">
        <f ca="1">E136*'GS&lt;50 Predicted Monthly'!$V$9</f>
        <v>2615591.9844400249</v>
      </c>
      <c r="O136" s="18">
        <f ca="1">F136*'GS&lt;50 Predicted Monthly'!$V$10</f>
        <v>0</v>
      </c>
      <c r="P136" s="18">
        <f>I136*'GS&lt;50 Predicted Monthly'!$V$11</f>
        <v>0</v>
      </c>
      <c r="Q136" s="18">
        <f>J136*'GS&lt;50 Predicted Monthly'!$V$12</f>
        <v>8344206.7499953387</v>
      </c>
      <c r="R136" s="18">
        <f>K136*'GS&lt;50 Predicted Monthly'!$V$13</f>
        <v>6628537.3822911493</v>
      </c>
      <c r="S136" s="271">
        <f t="shared" ca="1" si="19"/>
        <v>11986419.660898343</v>
      </c>
    </row>
    <row r="137" spans="1:19" x14ac:dyDescent="0.25">
      <c r="A137" s="3">
        <v>46113</v>
      </c>
      <c r="B137" s="1">
        <f t="shared" si="22"/>
        <v>2026</v>
      </c>
      <c r="C137" s="1">
        <f t="shared" si="23"/>
        <v>4</v>
      </c>
      <c r="E137" s="280">
        <f t="shared" ca="1" si="21"/>
        <v>292.81107954545462</v>
      </c>
      <c r="F137" s="280">
        <f t="shared" ca="1" si="21"/>
        <v>2.1908333333333347</v>
      </c>
      <c r="G137" s="269"/>
      <c r="H137" s="269"/>
      <c r="I137" s="18">
        <f>'Monthly Data'!CG137</f>
        <v>0</v>
      </c>
      <c r="J137" s="4">
        <f t="shared" si="20"/>
        <v>30</v>
      </c>
      <c r="K137" s="24">
        <f>'Customer Count'!G50</f>
        <v>4361.8641707090519</v>
      </c>
      <c r="M137" s="18">
        <f>'GS&lt;50 Predicted Monthly'!$V$8</f>
        <v>-5601916.4558281703</v>
      </c>
      <c r="N137" s="18">
        <f ca="1">E137*'GS&lt;50 Predicted Monthly'!$V$9</f>
        <v>1581950.2694702349</v>
      </c>
      <c r="O137" s="18">
        <f ca="1">F137*'GS&lt;50 Predicted Monthly'!$V$10</f>
        <v>27654.961846176375</v>
      </c>
      <c r="P137" s="18">
        <f>I137*'GS&lt;50 Predicted Monthly'!$V$11</f>
        <v>0</v>
      </c>
      <c r="Q137" s="18">
        <f>J137*'GS&lt;50 Predicted Monthly'!$V$12</f>
        <v>8075038.79031807</v>
      </c>
      <c r="R137" s="18">
        <f>K137*'GS&lt;50 Predicted Monthly'!$V$13</f>
        <v>6634462.5485927332</v>
      </c>
      <c r="S137" s="271">
        <f t="shared" ca="1" si="19"/>
        <v>10717190.114399044</v>
      </c>
    </row>
    <row r="138" spans="1:19" x14ac:dyDescent="0.25">
      <c r="A138" s="3">
        <v>46143</v>
      </c>
      <c r="B138" s="1">
        <f t="shared" si="22"/>
        <v>2026</v>
      </c>
      <c r="C138" s="1">
        <f t="shared" si="23"/>
        <v>5</v>
      </c>
      <c r="E138" s="280">
        <f t="shared" ca="1" si="21"/>
        <v>103.25939244851259</v>
      </c>
      <c r="F138" s="280">
        <f t="shared" ca="1" si="21"/>
        <v>52.487435064935063</v>
      </c>
      <c r="G138" s="269"/>
      <c r="H138" s="269"/>
      <c r="I138" s="18">
        <f>'Monthly Data'!CG138</f>
        <v>0</v>
      </c>
      <c r="J138" s="4">
        <f t="shared" si="20"/>
        <v>31</v>
      </c>
      <c r="K138" s="24">
        <f>'Customer Count'!G51</f>
        <v>4365.7631862996441</v>
      </c>
      <c r="M138" s="18">
        <f>'GS&lt;50 Predicted Monthly'!$V$8</f>
        <v>-5601916.4558281703</v>
      </c>
      <c r="N138" s="18">
        <f ca="1">E138*'GS&lt;50 Predicted Monthly'!$V$9</f>
        <v>557872.41371752578</v>
      </c>
      <c r="O138" s="18">
        <f ca="1">F138*'GS&lt;50 Predicted Monthly'!$V$10</f>
        <v>662550.63406212477</v>
      </c>
      <c r="P138" s="18">
        <f>I138*'GS&lt;50 Predicted Monthly'!$V$11</f>
        <v>0</v>
      </c>
      <c r="Q138" s="18">
        <f>J138*'GS&lt;50 Predicted Monthly'!$V$12</f>
        <v>8344206.7499953387</v>
      </c>
      <c r="R138" s="18">
        <f>K138*'GS&lt;50 Predicted Monthly'!$V$13</f>
        <v>6640393.0113260457</v>
      </c>
      <c r="S138" s="271">
        <f t="shared" ca="1" si="19"/>
        <v>10603106.353272865</v>
      </c>
    </row>
    <row r="139" spans="1:19" x14ac:dyDescent="0.25">
      <c r="A139" s="3">
        <v>46174</v>
      </c>
      <c r="B139" s="1">
        <f t="shared" si="22"/>
        <v>2026</v>
      </c>
      <c r="C139" s="1">
        <f t="shared" si="23"/>
        <v>6</v>
      </c>
      <c r="E139" s="280">
        <f t="shared" ca="1" si="21"/>
        <v>11.89069871794872</v>
      </c>
      <c r="F139" s="280">
        <f t="shared" ca="1" si="21"/>
        <v>137.65451754405018</v>
      </c>
      <c r="G139" s="269"/>
      <c r="H139" s="269"/>
      <c r="I139" s="18">
        <f>'Monthly Data'!CG139</f>
        <v>0</v>
      </c>
      <c r="J139" s="4">
        <f t="shared" si="20"/>
        <v>30</v>
      </c>
      <c r="K139" s="24">
        <f>'Customer Count'!G52</f>
        <v>4369.6656871712948</v>
      </c>
      <c r="M139" s="18">
        <f>'GS&lt;50 Predicted Monthly'!$V$8</f>
        <v>-5601916.4558281703</v>
      </c>
      <c r="N139" s="18">
        <f ca="1">E139*'GS&lt;50 Predicted Monthly'!$V$9</f>
        <v>64241.059697088072</v>
      </c>
      <c r="O139" s="18">
        <f ca="1">F139*'GS&lt;50 Predicted Monthly'!$V$10</f>
        <v>1737617.5415600708</v>
      </c>
      <c r="P139" s="18">
        <f>I139*'GS&lt;50 Predicted Monthly'!$V$11</f>
        <v>0</v>
      </c>
      <c r="Q139" s="18">
        <f>J139*'GS&lt;50 Predicted Monthly'!$V$12</f>
        <v>8075038.79031807</v>
      </c>
      <c r="R139" s="18">
        <f>K139*'GS&lt;50 Predicted Monthly'!$V$13</f>
        <v>6646328.7752255006</v>
      </c>
      <c r="S139" s="271">
        <f t="shared" ca="1" si="19"/>
        <v>10921309.710972559</v>
      </c>
    </row>
    <row r="140" spans="1:19" x14ac:dyDescent="0.25">
      <c r="A140" s="3">
        <v>46204</v>
      </c>
      <c r="B140" s="1">
        <f t="shared" si="22"/>
        <v>2026</v>
      </c>
      <c r="C140" s="1">
        <f t="shared" si="23"/>
        <v>7</v>
      </c>
      <c r="E140" s="280">
        <f t="shared" ca="1" si="21"/>
        <v>7.4583333333333002E-2</v>
      </c>
      <c r="F140" s="280">
        <f t="shared" ca="1" si="21"/>
        <v>235.94737858727848</v>
      </c>
      <c r="G140" s="269"/>
      <c r="H140" s="269"/>
      <c r="I140" s="18">
        <f>'Monthly Data'!CG140</f>
        <v>0</v>
      </c>
      <c r="J140" s="4">
        <f t="shared" si="20"/>
        <v>31</v>
      </c>
      <c r="K140" s="24">
        <f>'Customer Count'!G53</f>
        <v>4373.5716764394538</v>
      </c>
      <c r="M140" s="18">
        <f>'GS&lt;50 Predicted Monthly'!$V$8</f>
        <v>-5601916.4558281703</v>
      </c>
      <c r="N140" s="18">
        <f ca="1">E140*'GS&lt;50 Predicted Monthly'!$V$9</f>
        <v>402.94624249810443</v>
      </c>
      <c r="O140" s="18">
        <f ca="1">F140*'GS&lt;50 Predicted Monthly'!$V$10</f>
        <v>2978371.5873122169</v>
      </c>
      <c r="P140" s="18">
        <f>I140*'GS&lt;50 Predicted Monthly'!$V$11</f>
        <v>0</v>
      </c>
      <c r="Q140" s="18">
        <f>J140*'GS&lt;50 Predicted Monthly'!$V$12</f>
        <v>8344206.7499953387</v>
      </c>
      <c r="R140" s="18">
        <f>K140*'GS&lt;50 Predicted Monthly'!$V$13</f>
        <v>6652269.8450297425</v>
      </c>
      <c r="S140" s="271">
        <f t="shared" ca="1" si="19"/>
        <v>12373334.672751626</v>
      </c>
    </row>
    <row r="141" spans="1:19" x14ac:dyDescent="0.25">
      <c r="A141" s="3">
        <v>46235</v>
      </c>
      <c r="B141" s="1">
        <f t="shared" si="22"/>
        <v>2026</v>
      </c>
      <c r="C141" s="1">
        <f t="shared" si="23"/>
        <v>8</v>
      </c>
      <c r="E141" s="280">
        <f t="shared" ca="1" si="21"/>
        <v>0.75041666666666718</v>
      </c>
      <c r="F141" s="280">
        <f t="shared" ca="1" si="21"/>
        <v>210.96558794466404</v>
      </c>
      <c r="G141" s="269"/>
      <c r="H141" s="269"/>
      <c r="I141" s="18">
        <f>'Monthly Data'!CG141</f>
        <v>0</v>
      </c>
      <c r="J141" s="4">
        <f t="shared" si="20"/>
        <v>31</v>
      </c>
      <c r="K141" s="24">
        <f>'Customer Count'!G54</f>
        <v>4377.4811572223543</v>
      </c>
      <c r="M141" s="18">
        <f>'GS&lt;50 Predicted Monthly'!$V$8</f>
        <v>-5601916.4558281703</v>
      </c>
      <c r="N141" s="18">
        <f ca="1">E141*'GS&lt;50 Predicted Monthly'!$V$9</f>
        <v>4054.2244845759205</v>
      </c>
      <c r="O141" s="18">
        <f ca="1">F141*'GS&lt;50 Predicted Monthly'!$V$10</f>
        <v>2663025.615275396</v>
      </c>
      <c r="P141" s="18">
        <f>I141*'GS&lt;50 Predicted Monthly'!$V$11</f>
        <v>0</v>
      </c>
      <c r="Q141" s="18">
        <f>J141*'GS&lt;50 Predicted Monthly'!$V$12</f>
        <v>8344206.7499953387</v>
      </c>
      <c r="R141" s="18">
        <f>K141*'GS&lt;50 Predicted Monthly'!$V$13</f>
        <v>6658216.2254816536</v>
      </c>
      <c r="S141" s="271">
        <f t="shared" ca="1" si="19"/>
        <v>12067586.359408794</v>
      </c>
    </row>
    <row r="142" spans="1:19" x14ac:dyDescent="0.25">
      <c r="A142" s="3">
        <v>46266</v>
      </c>
      <c r="B142" s="1">
        <f t="shared" si="22"/>
        <v>2026</v>
      </c>
      <c r="C142" s="1">
        <f t="shared" si="23"/>
        <v>9</v>
      </c>
      <c r="E142" s="280">
        <f t="shared" ca="1" si="21"/>
        <v>26.342536231884061</v>
      </c>
      <c r="F142" s="280">
        <f t="shared" ca="1" si="21"/>
        <v>106.4160119047619</v>
      </c>
      <c r="G142" s="269"/>
      <c r="H142" s="269"/>
      <c r="I142" s="18">
        <f>'Monthly Data'!CG142</f>
        <v>0</v>
      </c>
      <c r="J142" s="4">
        <f t="shared" si="20"/>
        <v>30</v>
      </c>
      <c r="K142" s="24">
        <f>'Customer Count'!G55</f>
        <v>4381.3941326410177</v>
      </c>
      <c r="M142" s="18">
        <f>'GS&lt;50 Predicted Monthly'!$V$8</f>
        <v>-5601916.4558281703</v>
      </c>
      <c r="N142" s="18">
        <f ca="1">E142*'GS&lt;50 Predicted Monthly'!$V$9</f>
        <v>142319.00772077637</v>
      </c>
      <c r="O142" s="18">
        <f ca="1">F142*'GS&lt;50 Predicted Monthly'!$V$10</f>
        <v>1343292.848557675</v>
      </c>
      <c r="P142" s="18">
        <f>I142*'GS&lt;50 Predicted Monthly'!$V$11</f>
        <v>0</v>
      </c>
      <c r="Q142" s="18">
        <f>J142*'GS&lt;50 Predicted Monthly'!$V$12</f>
        <v>8075038.79031807</v>
      </c>
      <c r="R142" s="18">
        <f>K142*'GS&lt;50 Predicted Monthly'!$V$13</f>
        <v>6664167.9213283556</v>
      </c>
      <c r="S142" s="271">
        <f t="shared" ca="1" si="19"/>
        <v>10622902.112096708</v>
      </c>
    </row>
    <row r="143" spans="1:19" x14ac:dyDescent="0.25">
      <c r="A143" s="3">
        <v>46296</v>
      </c>
      <c r="B143" s="1">
        <f t="shared" si="22"/>
        <v>2026</v>
      </c>
      <c r="C143" s="1">
        <f t="shared" si="23"/>
        <v>10</v>
      </c>
      <c r="E143" s="280">
        <f t="shared" ca="1" si="21"/>
        <v>181.36347826086953</v>
      </c>
      <c r="F143" s="280">
        <f t="shared" ca="1" si="21"/>
        <v>17.987083333333334</v>
      </c>
      <c r="G143" s="269"/>
      <c r="H143" s="269"/>
      <c r="I143" s="18">
        <f>'Monthly Data'!CG143</f>
        <v>0</v>
      </c>
      <c r="J143" s="4">
        <f t="shared" si="20"/>
        <v>31</v>
      </c>
      <c r="K143" s="24">
        <f>'Customer Count'!G56</f>
        <v>4385.3106058192543</v>
      </c>
      <c r="M143" s="18">
        <f>'GS&lt;50 Predicted Monthly'!$V$8</f>
        <v>-5601916.4558281703</v>
      </c>
      <c r="N143" s="18">
        <f ca="1">E143*'GS&lt;50 Predicted Monthly'!$V$9</f>
        <v>979839.98335111968</v>
      </c>
      <c r="O143" s="18">
        <f ca="1">F143*'GS&lt;50 Predicted Monthly'!$V$10</f>
        <v>227051.54962677584</v>
      </c>
      <c r="P143" s="18">
        <f>I143*'GS&lt;50 Predicted Monthly'!$V$11</f>
        <v>0</v>
      </c>
      <c r="Q143" s="18">
        <f>J143*'GS&lt;50 Predicted Monthly'!$V$12</f>
        <v>8344206.7499953387</v>
      </c>
      <c r="R143" s="18">
        <f>K143*'GS&lt;50 Predicted Monthly'!$V$13</f>
        <v>6670124.9373212112</v>
      </c>
      <c r="S143" s="271">
        <f t="shared" ca="1" si="19"/>
        <v>10619306.764466275</v>
      </c>
    </row>
    <row r="144" spans="1:19" x14ac:dyDescent="0.25">
      <c r="A144" s="3">
        <v>46327</v>
      </c>
      <c r="B144" s="1">
        <f t="shared" si="22"/>
        <v>2026</v>
      </c>
      <c r="C144" s="1">
        <f t="shared" si="23"/>
        <v>11</v>
      </c>
      <c r="E144" s="280">
        <f t="shared" ca="1" si="21"/>
        <v>366.78033055712399</v>
      </c>
      <c r="F144" s="280">
        <f t="shared" ca="1" si="21"/>
        <v>0.8083333333333329</v>
      </c>
      <c r="G144" s="269"/>
      <c r="H144" s="269"/>
      <c r="I144" s="18">
        <f>'Monthly Data'!CG144</f>
        <v>0</v>
      </c>
      <c r="J144" s="4">
        <f t="shared" si="20"/>
        <v>30</v>
      </c>
      <c r="K144" s="24">
        <f>'Customer Count'!G57</f>
        <v>4389.2305798836687</v>
      </c>
      <c r="M144" s="18">
        <f>'GS&lt;50 Predicted Monthly'!$V$8</f>
        <v>-5601916.4558281703</v>
      </c>
      <c r="N144" s="18">
        <f ca="1">E144*'GS&lt;50 Predicted Monthly'!$V$9</f>
        <v>1981578.8516675723</v>
      </c>
      <c r="O144" s="18">
        <f ca="1">F144*'GS&lt;50 Predicted Monthly'!$V$10</f>
        <v>10203.618482613561</v>
      </c>
      <c r="P144" s="18">
        <f>I144*'GS&lt;50 Predicted Monthly'!$V$11</f>
        <v>0</v>
      </c>
      <c r="Q144" s="18">
        <f>J144*'GS&lt;50 Predicted Monthly'!$V$12</f>
        <v>8075038.79031807</v>
      </c>
      <c r="R144" s="18">
        <f>K144*'GS&lt;50 Predicted Monthly'!$V$13</f>
        <v>6676087.2782158349</v>
      </c>
      <c r="S144" s="271">
        <f t="shared" ca="1" si="19"/>
        <v>11140992.082855921</v>
      </c>
    </row>
    <row r="145" spans="1:22" x14ac:dyDescent="0.25">
      <c r="A145" s="3">
        <v>46357</v>
      </c>
      <c r="B145" s="1">
        <f t="shared" si="22"/>
        <v>2026</v>
      </c>
      <c r="C145" s="1">
        <f t="shared" si="23"/>
        <v>12</v>
      </c>
      <c r="E145" s="280">
        <f t="shared" ca="1" si="21"/>
        <v>515.92800724637686</v>
      </c>
      <c r="F145" s="280">
        <f t="shared" ca="1" si="21"/>
        <v>0</v>
      </c>
      <c r="G145" s="269"/>
      <c r="H145" s="269"/>
      <c r="I145" s="18">
        <f>'Monthly Data'!CG145</f>
        <v>0</v>
      </c>
      <c r="J145" s="4">
        <f t="shared" si="20"/>
        <v>31</v>
      </c>
      <c r="K145" s="24">
        <f>'Customer Count'!G58</f>
        <v>4393.1540579636585</v>
      </c>
      <c r="M145" s="18">
        <f>'GS&lt;50 Predicted Monthly'!$V$8</f>
        <v>-5601916.4558281703</v>
      </c>
      <c r="N145" s="18">
        <f ca="1">E145*'GS&lt;50 Predicted Monthly'!$V$9</f>
        <v>2787368.740819619</v>
      </c>
      <c r="O145" s="18">
        <f ca="1">F145*'GS&lt;50 Predicted Monthly'!$V$10</f>
        <v>0</v>
      </c>
      <c r="P145" s="18">
        <f>I145*'GS&lt;50 Predicted Monthly'!$V$11</f>
        <v>0</v>
      </c>
      <c r="Q145" s="18">
        <f>J145*'GS&lt;50 Predicted Monthly'!$V$12</f>
        <v>8344206.7499953387</v>
      </c>
      <c r="R145" s="18">
        <f>K145*'GS&lt;50 Predicted Monthly'!$V$13</f>
        <v>6682054.9487720886</v>
      </c>
      <c r="S145" s="271">
        <f t="shared" ca="1" si="19"/>
        <v>12211713.983758876</v>
      </c>
    </row>
    <row r="148" spans="1:22" x14ac:dyDescent="0.25">
      <c r="U148" s="4"/>
      <c r="V148" s="18"/>
    </row>
    <row r="149" spans="1:22" x14ac:dyDescent="0.25">
      <c r="U149" s="4"/>
      <c r="V149" s="18"/>
    </row>
    <row r="150" spans="1:22" x14ac:dyDescent="0.25">
      <c r="U150" s="4"/>
      <c r="V150" s="4"/>
    </row>
    <row r="195" spans="9:19" x14ac:dyDescent="0.25">
      <c r="J195" s="18"/>
      <c r="L195" s="18"/>
      <c r="N195" s="18"/>
      <c r="O195" s="18"/>
      <c r="P195" s="18"/>
      <c r="Q195" s="18"/>
      <c r="R195" s="18"/>
      <c r="S195" s="18"/>
    </row>
    <row r="196" spans="9:19" x14ac:dyDescent="0.25">
      <c r="J196" s="18"/>
      <c r="L196" s="18"/>
      <c r="N196" s="18"/>
      <c r="O196" s="18"/>
      <c r="P196" s="18"/>
      <c r="Q196" s="18"/>
      <c r="R196" s="18"/>
      <c r="S196" s="18"/>
    </row>
    <row r="197" spans="9:19" x14ac:dyDescent="0.25">
      <c r="J197" s="18"/>
      <c r="L197" s="18"/>
      <c r="N197" s="18"/>
      <c r="O197" s="18"/>
      <c r="P197" s="18"/>
      <c r="Q197" s="18"/>
      <c r="R197" s="18"/>
      <c r="S197" s="18"/>
    </row>
    <row r="198" spans="9:19" x14ac:dyDescent="0.25">
      <c r="J198" s="18"/>
      <c r="L198" s="18"/>
      <c r="N198" s="18"/>
      <c r="O198" s="18"/>
      <c r="P198" s="18"/>
      <c r="Q198" s="18"/>
      <c r="R198" s="18"/>
      <c r="S198" s="18"/>
    </row>
    <row r="199" spans="9:19" x14ac:dyDescent="0.25">
      <c r="J199" s="18"/>
      <c r="L199" s="18"/>
      <c r="N199" s="18"/>
      <c r="O199" s="18"/>
      <c r="P199" s="18"/>
      <c r="Q199" s="18"/>
      <c r="R199" s="18"/>
      <c r="S199" s="18"/>
    </row>
    <row r="200" spans="9:19" x14ac:dyDescent="0.25">
      <c r="J200" s="18"/>
      <c r="L200" s="18"/>
      <c r="N200" s="18"/>
      <c r="O200" s="18"/>
      <c r="P200" s="18"/>
      <c r="Q200" s="18"/>
      <c r="R200" s="18"/>
      <c r="S200" s="18"/>
    </row>
    <row r="201" spans="9:19" x14ac:dyDescent="0.25">
      <c r="J201" s="18"/>
      <c r="L201" s="18"/>
      <c r="N201" s="18"/>
      <c r="O201" s="18"/>
      <c r="P201" s="18"/>
      <c r="Q201" s="18"/>
      <c r="R201" s="18"/>
      <c r="S201" s="18"/>
    </row>
    <row r="202" spans="9:19" x14ac:dyDescent="0.25">
      <c r="J202" s="18"/>
      <c r="L202" s="18"/>
      <c r="N202" s="18"/>
      <c r="O202" s="18"/>
      <c r="P202" s="18"/>
      <c r="Q202" s="18"/>
      <c r="R202" s="18"/>
      <c r="S202" s="18"/>
    </row>
    <row r="203" spans="9:19" x14ac:dyDescent="0.25">
      <c r="I203" s="1"/>
    </row>
    <row r="204" spans="9:19" x14ac:dyDescent="0.25">
      <c r="I204" s="1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7" tint="0.79998168889431442"/>
  </sheetPr>
  <dimension ref="A2:AL235"/>
  <sheetViews>
    <sheetView topLeftCell="A97" workbookViewId="0">
      <selection activeCell="H117" sqref="H117"/>
    </sheetView>
  </sheetViews>
  <sheetFormatPr defaultColWidth="9.33203125" defaultRowHeight="13.2" customHeight="1" x14ac:dyDescent="0.25"/>
  <cols>
    <col min="1" max="1" width="11.33203125" style="1" bestFit="1" customWidth="1"/>
    <col min="2" max="3" width="9.33203125" style="1"/>
    <col min="4" max="7" width="10.33203125" style="1" bestFit="1" customWidth="1"/>
    <col min="8" max="8" width="12.6640625" style="1" bestFit="1" customWidth="1"/>
    <col min="9" max="9" width="15.44140625" style="1" bestFit="1" customWidth="1"/>
    <col min="10" max="10" width="19.44140625" style="1" bestFit="1" customWidth="1"/>
    <col min="11" max="19" width="11" style="1" customWidth="1"/>
    <col min="20" max="21" width="9.33203125" style="1"/>
    <col min="22" max="22" width="12" style="1" customWidth="1"/>
    <col min="23" max="23" width="8.33203125" style="1" customWidth="1"/>
    <col min="24" max="24" width="14" style="1" bestFit="1" customWidth="1"/>
    <col min="25" max="25" width="13.44140625" style="1" bestFit="1" customWidth="1"/>
    <col min="26" max="26" width="13" style="1" bestFit="1" customWidth="1"/>
    <col min="27" max="27" width="18.77734375" style="1" customWidth="1"/>
    <col min="28" max="28" width="12.109375" style="1" customWidth="1"/>
    <col min="29" max="29" width="13.109375" style="1" customWidth="1"/>
    <col min="30" max="30" width="12.44140625" style="1" customWidth="1"/>
    <col min="31" max="31" width="7.77734375" style="1" customWidth="1"/>
    <col min="32" max="32" width="11.33203125" style="1" customWidth="1"/>
    <col min="33" max="34" width="14.33203125" style="1" bestFit="1" customWidth="1"/>
    <col min="35" max="36" width="9.44140625" style="1" bestFit="1" customWidth="1"/>
    <col min="37" max="16384" width="9.33203125" style="1"/>
  </cols>
  <sheetData>
    <row r="2" spans="1:38" ht="13.2" customHeight="1" x14ac:dyDescent="0.25">
      <c r="A2" s="1" t="s">
        <v>0</v>
      </c>
      <c r="B2" s="1" t="s">
        <v>1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tr">
        <f>D2</f>
        <v>Ont_FTEAdj</v>
      </c>
      <c r="O2" s="1" t="str">
        <f>E2</f>
        <v>Ont_FTE</v>
      </c>
      <c r="P2" s="1" t="str">
        <f>F2</f>
        <v>Osh_FTEAdj</v>
      </c>
      <c r="Q2" s="1" t="str">
        <f>G2</f>
        <v>Osh_FTE</v>
      </c>
      <c r="R2" s="1" t="str">
        <f>H2</f>
        <v>ON GDP</v>
      </c>
      <c r="S2" s="1" t="str">
        <f>K2</f>
        <v>OEA_GDP</v>
      </c>
      <c r="T2" s="1" t="str">
        <f>L2</f>
        <v>OEA_Services</v>
      </c>
      <c r="U2" s="1" t="str">
        <f>M2</f>
        <v>OEA_Transport&amp;WH</v>
      </c>
      <c r="AC2" s="413"/>
      <c r="AD2" s="3"/>
      <c r="AE2" s="3"/>
      <c r="AF2" s="3"/>
      <c r="AG2" s="3"/>
      <c r="AH2" s="3"/>
      <c r="AI2" s="3"/>
      <c r="AJ2" s="3"/>
      <c r="AK2" s="3"/>
      <c r="AL2" s="3"/>
    </row>
    <row r="3" spans="1:38" ht="13.2" customHeight="1" x14ac:dyDescent="0.25">
      <c r="D3" s="468" t="s">
        <v>118</v>
      </c>
      <c r="E3" s="468"/>
      <c r="F3" s="468"/>
      <c r="G3" s="468"/>
      <c r="H3" s="469" t="s">
        <v>119</v>
      </c>
      <c r="I3" s="469"/>
      <c r="J3" s="469"/>
      <c r="K3" s="469" t="s">
        <v>120</v>
      </c>
      <c r="L3" s="469"/>
      <c r="M3" s="469"/>
      <c r="N3" s="415" t="s">
        <v>121</v>
      </c>
      <c r="O3" s="415" t="s">
        <v>121</v>
      </c>
      <c r="P3" s="415" t="s">
        <v>121</v>
      </c>
      <c r="Q3" s="415" t="s">
        <v>121</v>
      </c>
      <c r="R3" s="415" t="s">
        <v>121</v>
      </c>
      <c r="S3" s="415"/>
      <c r="T3" s="415"/>
      <c r="U3" s="415"/>
      <c r="AC3" s="413"/>
      <c r="AD3" s="3"/>
      <c r="AE3" s="3"/>
      <c r="AF3" s="3"/>
      <c r="AG3" s="3"/>
      <c r="AH3" s="3"/>
      <c r="AI3" s="3"/>
      <c r="AJ3" s="3"/>
      <c r="AK3" s="3"/>
      <c r="AL3" s="3"/>
    </row>
    <row r="4" spans="1:38" ht="13.2" customHeight="1" x14ac:dyDescent="0.25">
      <c r="A4" s="3">
        <v>42005</v>
      </c>
      <c r="B4" s="1">
        <f t="shared" ref="B4:B51" si="0">YEAR(A4)</f>
        <v>2015</v>
      </c>
      <c r="C4" s="1" t="s">
        <v>122</v>
      </c>
      <c r="D4" s="18">
        <v>6851.1</v>
      </c>
      <c r="E4" s="18">
        <v>6809.7</v>
      </c>
      <c r="F4" s="18">
        <v>201.9</v>
      </c>
      <c r="G4" s="18">
        <v>201.6</v>
      </c>
      <c r="H4" s="18">
        <v>727609.6</v>
      </c>
      <c r="I4" s="18">
        <v>557474</v>
      </c>
      <c r="J4" s="18">
        <v>49299.3</v>
      </c>
      <c r="K4" s="4">
        <v>718587</v>
      </c>
      <c r="L4" s="4">
        <v>551679</v>
      </c>
      <c r="M4" s="18">
        <v>28860</v>
      </c>
      <c r="N4" s="18"/>
      <c r="O4" s="18"/>
      <c r="P4" s="18"/>
      <c r="Q4" s="18"/>
      <c r="R4" s="24"/>
      <c r="S4" s="18"/>
      <c r="T4" s="18"/>
      <c r="U4" s="18"/>
      <c r="AD4" s="3"/>
    </row>
    <row r="5" spans="1:38" ht="13.2" customHeight="1" x14ac:dyDescent="0.25">
      <c r="A5" s="3">
        <v>42036</v>
      </c>
      <c r="B5" s="1">
        <f t="shared" si="0"/>
        <v>2015</v>
      </c>
      <c r="C5" s="1" t="s">
        <v>122</v>
      </c>
      <c r="D5" s="18">
        <v>6859.2</v>
      </c>
      <c r="E5" s="18">
        <v>6782.7</v>
      </c>
      <c r="F5" s="18">
        <v>200.2</v>
      </c>
      <c r="G5" s="18">
        <v>198.8</v>
      </c>
      <c r="H5" s="18">
        <v>727609.6</v>
      </c>
      <c r="I5" s="18">
        <v>557474</v>
      </c>
      <c r="J5" s="18">
        <v>49299.3</v>
      </c>
      <c r="K5" s="4">
        <v>718587</v>
      </c>
      <c r="L5" s="4">
        <v>551679</v>
      </c>
      <c r="M5" s="18">
        <v>28860</v>
      </c>
      <c r="N5" s="18"/>
      <c r="O5" s="18"/>
      <c r="P5" s="18"/>
      <c r="Q5" s="18"/>
      <c r="R5" s="24"/>
      <c r="S5" s="18"/>
      <c r="T5" s="18"/>
      <c r="U5" s="18"/>
      <c r="Y5" s="1" t="s">
        <v>123</v>
      </c>
    </row>
    <row r="6" spans="1:38" ht="13.2" customHeight="1" x14ac:dyDescent="0.25">
      <c r="A6" s="3">
        <v>42064</v>
      </c>
      <c r="B6" s="1">
        <f t="shared" si="0"/>
        <v>2015</v>
      </c>
      <c r="C6" s="1" t="s">
        <v>122</v>
      </c>
      <c r="D6" s="18">
        <v>6870</v>
      </c>
      <c r="E6" s="18">
        <v>6761.8</v>
      </c>
      <c r="F6" s="18">
        <v>198.4</v>
      </c>
      <c r="G6" s="18">
        <v>196</v>
      </c>
      <c r="H6" s="18">
        <v>727609.6</v>
      </c>
      <c r="I6" s="18">
        <v>557474</v>
      </c>
      <c r="J6" s="18">
        <v>49299.3</v>
      </c>
      <c r="K6" s="4">
        <v>718587</v>
      </c>
      <c r="L6" s="4">
        <v>551679</v>
      </c>
      <c r="M6" s="18">
        <v>28860</v>
      </c>
      <c r="N6" s="18"/>
      <c r="O6" s="18"/>
      <c r="P6" s="18"/>
      <c r="Q6" s="18"/>
      <c r="R6" s="24"/>
      <c r="S6" s="18"/>
      <c r="T6" s="18"/>
      <c r="U6" s="18"/>
      <c r="AC6" s="1" t="s">
        <v>124</v>
      </c>
      <c r="AF6" s="416"/>
    </row>
    <row r="7" spans="1:38" ht="13.2" customHeight="1" x14ac:dyDescent="0.25">
      <c r="A7" s="3">
        <v>42095</v>
      </c>
      <c r="B7" s="1">
        <f t="shared" si="0"/>
        <v>2015</v>
      </c>
      <c r="C7" s="1" t="s">
        <v>125</v>
      </c>
      <c r="D7" s="18">
        <v>6876.8</v>
      </c>
      <c r="E7" s="18">
        <v>6786.4</v>
      </c>
      <c r="F7" s="18">
        <v>195.5</v>
      </c>
      <c r="G7" s="18">
        <v>193.2</v>
      </c>
      <c r="H7" s="18">
        <v>727609.6</v>
      </c>
      <c r="I7" s="18">
        <v>557474</v>
      </c>
      <c r="J7" s="18">
        <v>49299.3</v>
      </c>
      <c r="K7" s="4">
        <v>723726</v>
      </c>
      <c r="L7" s="4">
        <v>555651</v>
      </c>
      <c r="M7" s="18">
        <v>28915</v>
      </c>
      <c r="N7" s="18"/>
      <c r="O7" s="18"/>
      <c r="P7" s="18"/>
      <c r="Q7" s="18"/>
      <c r="R7" s="24"/>
      <c r="S7" s="18">
        <f>K7-K4</f>
        <v>5139</v>
      </c>
      <c r="T7" s="18">
        <f t="shared" ref="T7:T23" si="1">L7-L4</f>
        <v>3972</v>
      </c>
      <c r="U7" s="18">
        <f t="shared" ref="U7:U23" si="2">M7-M4</f>
        <v>55</v>
      </c>
      <c r="X7" s="417"/>
      <c r="Y7" s="418" t="s">
        <v>126</v>
      </c>
      <c r="Z7" s="419" t="s">
        <v>127</v>
      </c>
      <c r="AA7" s="419" t="s">
        <v>128</v>
      </c>
      <c r="AB7" s="419" t="s">
        <v>129</v>
      </c>
      <c r="AC7" s="418" t="s">
        <v>130</v>
      </c>
      <c r="AD7" s="419"/>
      <c r="AE7" s="419" t="s">
        <v>131</v>
      </c>
      <c r="AF7" s="420"/>
    </row>
    <row r="8" spans="1:38" ht="13.2" customHeight="1" x14ac:dyDescent="0.25">
      <c r="A8" s="3">
        <v>42125</v>
      </c>
      <c r="B8" s="1">
        <f t="shared" si="0"/>
        <v>2015</v>
      </c>
      <c r="C8" s="1" t="s">
        <v>125</v>
      </c>
      <c r="D8" s="18">
        <v>6883.3</v>
      </c>
      <c r="E8" s="18">
        <v>6848.1</v>
      </c>
      <c r="F8" s="18">
        <v>193.3</v>
      </c>
      <c r="G8" s="18">
        <v>192.6</v>
      </c>
      <c r="H8" s="18">
        <v>727609.6</v>
      </c>
      <c r="I8" s="18">
        <v>557474</v>
      </c>
      <c r="J8" s="18">
        <v>49299.3</v>
      </c>
      <c r="K8" s="4">
        <v>723726</v>
      </c>
      <c r="L8" s="4">
        <v>555651</v>
      </c>
      <c r="M8" s="18">
        <v>28915</v>
      </c>
      <c r="N8" s="18"/>
      <c r="O8" s="18"/>
      <c r="P8" s="18"/>
      <c r="Q8" s="18"/>
      <c r="R8" s="24"/>
      <c r="S8" s="18">
        <f>K8-K5</f>
        <v>5139</v>
      </c>
      <c r="T8" s="18">
        <f t="shared" si="1"/>
        <v>3972</v>
      </c>
      <c r="U8" s="18">
        <f t="shared" si="2"/>
        <v>55</v>
      </c>
      <c r="X8" s="421"/>
      <c r="Y8" s="422">
        <v>45744</v>
      </c>
      <c r="Z8" s="422">
        <v>45729</v>
      </c>
      <c r="AA8" s="422">
        <v>45734</v>
      </c>
      <c r="AB8" s="422">
        <v>45735</v>
      </c>
      <c r="AC8" s="422">
        <v>45377</v>
      </c>
      <c r="AD8" s="423"/>
      <c r="AF8" s="424"/>
    </row>
    <row r="9" spans="1:38" ht="13.2" customHeight="1" x14ac:dyDescent="0.25">
      <c r="A9" s="3">
        <v>42156</v>
      </c>
      <c r="B9" s="1">
        <f t="shared" si="0"/>
        <v>2015</v>
      </c>
      <c r="C9" s="1" t="s">
        <v>125</v>
      </c>
      <c r="D9" s="18">
        <v>6883.6</v>
      </c>
      <c r="E9" s="18">
        <v>6930.1</v>
      </c>
      <c r="F9" s="18">
        <v>190.8</v>
      </c>
      <c r="G9" s="18">
        <v>191.9</v>
      </c>
      <c r="H9" s="18">
        <v>727609.6</v>
      </c>
      <c r="I9" s="18">
        <v>557474</v>
      </c>
      <c r="J9" s="18">
        <v>49299.3</v>
      </c>
      <c r="K9" s="4">
        <v>723726</v>
      </c>
      <c r="L9" s="4">
        <v>555651</v>
      </c>
      <c r="M9" s="18">
        <v>28915</v>
      </c>
      <c r="N9" s="18"/>
      <c r="O9" s="18"/>
      <c r="P9" s="18"/>
      <c r="Q9" s="18"/>
      <c r="R9" s="24"/>
      <c r="S9" s="18">
        <f t="shared" ref="S9:S72" si="3">K9-K6</f>
        <v>5139</v>
      </c>
      <c r="T9" s="18">
        <f t="shared" si="1"/>
        <v>3972</v>
      </c>
      <c r="U9" s="18">
        <f t="shared" si="2"/>
        <v>55</v>
      </c>
      <c r="W9" s="246"/>
      <c r="X9" s="421">
        <v>2023</v>
      </c>
      <c r="Y9" s="395">
        <v>1.7000000000000001E-2</v>
      </c>
      <c r="Z9" s="395">
        <v>1.7000000000000001E-2</v>
      </c>
      <c r="AA9" s="395">
        <v>1.7000000000000001E-2</v>
      </c>
      <c r="AB9" s="395"/>
      <c r="AC9" s="395"/>
      <c r="AD9" s="395"/>
      <c r="AE9" s="277">
        <f>AVERAGE(Y9:AB9)</f>
        <v>1.7000000000000001E-2</v>
      </c>
      <c r="AF9" s="425"/>
    </row>
    <row r="10" spans="1:38" ht="13.2" customHeight="1" x14ac:dyDescent="0.25">
      <c r="A10" s="3">
        <v>42186</v>
      </c>
      <c r="B10" s="1">
        <f t="shared" si="0"/>
        <v>2015</v>
      </c>
      <c r="C10" s="1" t="s">
        <v>132</v>
      </c>
      <c r="D10" s="18">
        <v>6891.7</v>
      </c>
      <c r="E10" s="18">
        <v>6986.1</v>
      </c>
      <c r="F10" s="18">
        <v>185.9</v>
      </c>
      <c r="G10" s="18">
        <v>188.5</v>
      </c>
      <c r="H10" s="18">
        <v>727609.6</v>
      </c>
      <c r="I10" s="18">
        <v>557474</v>
      </c>
      <c r="J10" s="18">
        <v>49299.3</v>
      </c>
      <c r="K10" s="4">
        <v>730341</v>
      </c>
      <c r="L10" s="4">
        <v>558510</v>
      </c>
      <c r="M10" s="18">
        <v>29147</v>
      </c>
      <c r="N10" s="18"/>
      <c r="O10" s="18"/>
      <c r="P10" s="18"/>
      <c r="Q10" s="18"/>
      <c r="R10" s="24"/>
      <c r="S10" s="18">
        <f t="shared" si="3"/>
        <v>6615</v>
      </c>
      <c r="T10" s="18">
        <f t="shared" si="1"/>
        <v>2859</v>
      </c>
      <c r="U10" s="18">
        <f t="shared" si="2"/>
        <v>232</v>
      </c>
      <c r="W10" s="246" t="s">
        <v>133</v>
      </c>
      <c r="X10" s="421">
        <v>2024</v>
      </c>
      <c r="Y10" s="395">
        <v>1.4999999999999999E-2</v>
      </c>
      <c r="Z10" s="395">
        <v>1.4999999999999999E-2</v>
      </c>
      <c r="AA10" s="395">
        <v>1.4999999999999999E-2</v>
      </c>
      <c r="AB10" s="395">
        <v>1.2999999999999999E-2</v>
      </c>
      <c r="AC10" s="395"/>
      <c r="AD10" s="395"/>
      <c r="AE10" s="277">
        <f>AVERAGE(Y10:AB10)</f>
        <v>1.4499999999999999E-2</v>
      </c>
      <c r="AF10" s="425"/>
    </row>
    <row r="11" spans="1:38" ht="13.2" customHeight="1" x14ac:dyDescent="0.25">
      <c r="A11" s="3">
        <v>42217</v>
      </c>
      <c r="B11" s="1">
        <f t="shared" si="0"/>
        <v>2015</v>
      </c>
      <c r="C11" s="1" t="s">
        <v>132</v>
      </c>
      <c r="D11" s="18">
        <v>6896.8</v>
      </c>
      <c r="E11" s="18">
        <v>7000.2</v>
      </c>
      <c r="F11" s="18">
        <v>183</v>
      </c>
      <c r="G11" s="18">
        <v>185.8</v>
      </c>
      <c r="H11" s="18">
        <v>727609.6</v>
      </c>
      <c r="I11" s="18">
        <v>557474</v>
      </c>
      <c r="J11" s="18">
        <v>49299.3</v>
      </c>
      <c r="K11" s="4">
        <v>730341</v>
      </c>
      <c r="L11" s="4">
        <v>558510</v>
      </c>
      <c r="M11" s="18">
        <v>29147</v>
      </c>
      <c r="N11" s="18"/>
      <c r="O11" s="18"/>
      <c r="P11" s="18"/>
      <c r="Q11" s="18"/>
      <c r="R11" s="24"/>
      <c r="S11" s="18">
        <f t="shared" si="3"/>
        <v>6615</v>
      </c>
      <c r="T11" s="18">
        <f t="shared" si="1"/>
        <v>2859</v>
      </c>
      <c r="U11" s="18">
        <f t="shared" si="2"/>
        <v>232</v>
      </c>
      <c r="W11" s="246"/>
      <c r="X11" s="421">
        <v>2025</v>
      </c>
      <c r="Y11" s="426">
        <v>-2E-3</v>
      </c>
      <c r="Z11" s="426">
        <v>1.2E-2</v>
      </c>
      <c r="AA11" s="426">
        <v>1.6E-2</v>
      </c>
      <c r="AB11" s="426">
        <v>0.01</v>
      </c>
      <c r="AC11" s="426">
        <v>1.9E-2</v>
      </c>
      <c r="AE11" s="277">
        <f>AVERAGE(Y11:AB11)</f>
        <v>9.0000000000000011E-3</v>
      </c>
      <c r="AF11" s="425"/>
    </row>
    <row r="12" spans="1:38" ht="13.2" customHeight="1" x14ac:dyDescent="0.25">
      <c r="A12" s="3">
        <v>42248</v>
      </c>
      <c r="B12" s="1">
        <f t="shared" si="0"/>
        <v>2015</v>
      </c>
      <c r="C12" s="1" t="s">
        <v>132</v>
      </c>
      <c r="D12" s="18">
        <v>6893.1</v>
      </c>
      <c r="E12" s="18">
        <v>6953.7</v>
      </c>
      <c r="F12" s="18">
        <v>181.7</v>
      </c>
      <c r="G12" s="18">
        <v>183</v>
      </c>
      <c r="H12" s="18">
        <v>727609.6</v>
      </c>
      <c r="I12" s="18">
        <v>557474</v>
      </c>
      <c r="J12" s="18">
        <v>49299.3</v>
      </c>
      <c r="K12" s="4">
        <v>730341</v>
      </c>
      <c r="L12" s="4">
        <v>558510</v>
      </c>
      <c r="M12" s="18">
        <v>29147</v>
      </c>
      <c r="N12" s="18"/>
      <c r="O12" s="18"/>
      <c r="P12" s="18"/>
      <c r="Q12" s="18"/>
      <c r="R12" s="24"/>
      <c r="S12" s="18">
        <f t="shared" si="3"/>
        <v>6615</v>
      </c>
      <c r="T12" s="18">
        <f t="shared" si="1"/>
        <v>2859</v>
      </c>
      <c r="U12" s="18">
        <f t="shared" si="2"/>
        <v>232</v>
      </c>
      <c r="X12" s="421">
        <v>2026</v>
      </c>
      <c r="Y12" s="427">
        <v>2E-3</v>
      </c>
      <c r="Z12" s="427">
        <v>1.2E-2</v>
      </c>
      <c r="AA12" s="427">
        <v>1.2999999999999999E-2</v>
      </c>
      <c r="AB12" s="427">
        <v>8.9999999999999993E-3</v>
      </c>
      <c r="AC12" s="395">
        <v>2.1999999999999999E-2</v>
      </c>
      <c r="AE12" s="277">
        <f>AVERAGE(Y12:AB12)</f>
        <v>8.9999999999999993E-3</v>
      </c>
      <c r="AF12" s="424"/>
    </row>
    <row r="13" spans="1:38" ht="13.2" customHeight="1" x14ac:dyDescent="0.25">
      <c r="A13" s="3">
        <v>42278</v>
      </c>
      <c r="B13" s="1">
        <f t="shared" si="0"/>
        <v>2015</v>
      </c>
      <c r="C13" s="1" t="s">
        <v>134</v>
      </c>
      <c r="D13" s="18">
        <v>6892.9</v>
      </c>
      <c r="E13" s="18">
        <v>6932.8</v>
      </c>
      <c r="F13" s="18">
        <v>187.1</v>
      </c>
      <c r="G13" s="18">
        <v>187.5</v>
      </c>
      <c r="H13" s="18">
        <v>727609.6</v>
      </c>
      <c r="I13" s="18">
        <v>557474</v>
      </c>
      <c r="J13" s="18">
        <v>49299.3</v>
      </c>
      <c r="K13" s="4">
        <v>737784</v>
      </c>
      <c r="L13" s="4">
        <v>564056</v>
      </c>
      <c r="M13" s="18">
        <v>29355</v>
      </c>
      <c r="N13" s="18"/>
      <c r="O13" s="18"/>
      <c r="P13" s="18"/>
      <c r="Q13" s="18"/>
      <c r="R13" s="24"/>
      <c r="S13" s="18">
        <f t="shared" si="3"/>
        <v>7443</v>
      </c>
      <c r="T13" s="18">
        <f t="shared" si="1"/>
        <v>5546</v>
      </c>
      <c r="U13" s="18">
        <f t="shared" si="2"/>
        <v>208</v>
      </c>
      <c r="X13" s="421"/>
      <c r="AC13" s="395"/>
      <c r="AE13" s="277"/>
      <c r="AF13" s="424"/>
    </row>
    <row r="14" spans="1:38" ht="13.2" customHeight="1" x14ac:dyDescent="0.25">
      <c r="A14" s="3">
        <v>42309</v>
      </c>
      <c r="B14" s="1">
        <f t="shared" si="0"/>
        <v>2015</v>
      </c>
      <c r="C14" s="1" t="s">
        <v>134</v>
      </c>
      <c r="D14" s="18">
        <v>6886.2</v>
      </c>
      <c r="E14" s="18">
        <v>6898.2</v>
      </c>
      <c r="F14" s="18">
        <v>192.5</v>
      </c>
      <c r="G14" s="18">
        <v>192.1</v>
      </c>
      <c r="H14" s="18">
        <v>727609.6</v>
      </c>
      <c r="I14" s="18">
        <v>557474</v>
      </c>
      <c r="J14" s="18">
        <v>49299.3</v>
      </c>
      <c r="K14" s="4">
        <v>737784</v>
      </c>
      <c r="L14" s="4">
        <v>564056</v>
      </c>
      <c r="M14" s="18">
        <v>29355</v>
      </c>
      <c r="N14" s="18"/>
      <c r="O14" s="18"/>
      <c r="P14" s="18"/>
      <c r="Q14" s="18"/>
      <c r="R14" s="24"/>
      <c r="S14" s="18">
        <f t="shared" si="3"/>
        <v>7443</v>
      </c>
      <c r="T14" s="18">
        <f t="shared" si="1"/>
        <v>5546</v>
      </c>
      <c r="U14" s="18">
        <f t="shared" si="2"/>
        <v>208</v>
      </c>
      <c r="X14" s="428"/>
      <c r="AC14" s="277"/>
      <c r="AE14" s="277"/>
      <c r="AF14" s="424"/>
    </row>
    <row r="15" spans="1:38" ht="13.2" customHeight="1" x14ac:dyDescent="0.25">
      <c r="A15" s="3">
        <v>42339</v>
      </c>
      <c r="B15" s="1">
        <f t="shared" si="0"/>
        <v>2015</v>
      </c>
      <c r="C15" s="1" t="s">
        <v>134</v>
      </c>
      <c r="D15" s="18">
        <v>6895.6</v>
      </c>
      <c r="E15" s="18">
        <v>6902.3</v>
      </c>
      <c r="F15" s="18">
        <v>199.4</v>
      </c>
      <c r="G15" s="18">
        <v>199.5</v>
      </c>
      <c r="H15" s="18">
        <v>727609.6</v>
      </c>
      <c r="I15" s="18">
        <v>557474</v>
      </c>
      <c r="J15" s="18">
        <v>49299.3</v>
      </c>
      <c r="K15" s="4">
        <v>737784</v>
      </c>
      <c r="L15" s="4">
        <v>564056</v>
      </c>
      <c r="M15" s="18">
        <v>29355</v>
      </c>
      <c r="N15" s="18"/>
      <c r="O15" s="18"/>
      <c r="P15" s="18"/>
      <c r="Q15" s="18"/>
      <c r="R15" s="24"/>
      <c r="S15" s="18">
        <f t="shared" si="3"/>
        <v>7443</v>
      </c>
      <c r="T15" s="18">
        <f t="shared" si="1"/>
        <v>5546</v>
      </c>
      <c r="U15" s="18">
        <f t="shared" si="2"/>
        <v>208</v>
      </c>
      <c r="W15" s="246"/>
      <c r="X15" s="421"/>
      <c r="Y15" s="422">
        <v>45744</v>
      </c>
      <c r="Z15" s="422">
        <v>45729</v>
      </c>
      <c r="AA15" s="422">
        <v>45734</v>
      </c>
      <c r="AB15" s="422">
        <v>45735</v>
      </c>
      <c r="AC15" s="422"/>
      <c r="AD15" s="423"/>
      <c r="AF15" s="425"/>
    </row>
    <row r="16" spans="1:38" ht="13.2" customHeight="1" x14ac:dyDescent="0.25">
      <c r="A16" s="3">
        <v>42370</v>
      </c>
      <c r="B16" s="1">
        <f t="shared" si="0"/>
        <v>2016</v>
      </c>
      <c r="C16" s="1" t="str">
        <f>C4</f>
        <v>Q1</v>
      </c>
      <c r="D16" s="18">
        <v>6908.4</v>
      </c>
      <c r="E16" s="18">
        <v>6871.2</v>
      </c>
      <c r="F16" s="18">
        <v>204.2</v>
      </c>
      <c r="G16" s="18">
        <v>203.8</v>
      </c>
      <c r="H16" s="18">
        <v>743976.2</v>
      </c>
      <c r="I16" s="18">
        <v>571846.40000000002</v>
      </c>
      <c r="J16" s="18">
        <v>51922</v>
      </c>
      <c r="K16" s="4">
        <v>743287</v>
      </c>
      <c r="L16" s="4">
        <v>568664</v>
      </c>
      <c r="M16" s="18">
        <v>29546</v>
      </c>
      <c r="N16" s="18">
        <f t="shared" ref="N16:N47" si="4">D16-D4</f>
        <v>57.299999999999272</v>
      </c>
      <c r="O16" s="18">
        <f t="shared" ref="O16:O47" si="5">E16-E4</f>
        <v>61.5</v>
      </c>
      <c r="P16" s="18">
        <f t="shared" ref="P16:P47" si="6">F16-F4</f>
        <v>2.2999999999999829</v>
      </c>
      <c r="Q16" s="18">
        <f t="shared" ref="Q16:Q47" si="7">G16-G4</f>
        <v>2.2000000000000171</v>
      </c>
      <c r="R16" s="24">
        <f t="shared" ref="R16:R72" si="8">H16-H4</f>
        <v>16366.599999999977</v>
      </c>
      <c r="S16" s="18">
        <f t="shared" si="3"/>
        <v>5503</v>
      </c>
      <c r="T16" s="18">
        <f t="shared" si="1"/>
        <v>4608</v>
      </c>
      <c r="U16" s="18">
        <f t="shared" si="2"/>
        <v>191</v>
      </c>
      <c r="W16" s="246"/>
      <c r="X16" s="421">
        <v>2023</v>
      </c>
      <c r="Y16" s="395">
        <v>2.4E-2</v>
      </c>
      <c r="Z16" s="395">
        <v>2.4E-2</v>
      </c>
      <c r="AA16" s="395">
        <v>3.1E-2</v>
      </c>
      <c r="AB16" s="395"/>
      <c r="AC16" s="395">
        <v>2.4E-2</v>
      </c>
      <c r="AD16" s="395"/>
      <c r="AE16" s="277">
        <f>AVERAGE(Y16:AB16)</f>
        <v>2.6333333333333334E-2</v>
      </c>
      <c r="AF16" s="425"/>
    </row>
    <row r="17" spans="1:32" ht="13.2" customHeight="1" x14ac:dyDescent="0.25">
      <c r="A17" s="3">
        <v>42401</v>
      </c>
      <c r="B17" s="1">
        <f t="shared" si="0"/>
        <v>2016</v>
      </c>
      <c r="C17" s="1" t="str">
        <f t="shared" ref="C17:C80" si="9">C5</f>
        <v>Q1</v>
      </c>
      <c r="D17" s="18">
        <v>6922.3</v>
      </c>
      <c r="E17" s="18">
        <v>6850.4</v>
      </c>
      <c r="F17" s="18">
        <v>205.6</v>
      </c>
      <c r="G17" s="18">
        <v>204.2</v>
      </c>
      <c r="H17" s="18">
        <v>743976.2</v>
      </c>
      <c r="I17" s="18">
        <v>571846.40000000002</v>
      </c>
      <c r="J17" s="18">
        <v>51922</v>
      </c>
      <c r="K17" s="4">
        <v>743287</v>
      </c>
      <c r="L17" s="4">
        <v>568664</v>
      </c>
      <c r="M17" s="18">
        <v>29546</v>
      </c>
      <c r="N17" s="18">
        <f t="shared" si="4"/>
        <v>63.100000000000364</v>
      </c>
      <c r="O17" s="18">
        <f t="shared" si="5"/>
        <v>67.699999999999818</v>
      </c>
      <c r="P17" s="18">
        <f t="shared" si="6"/>
        <v>5.4000000000000057</v>
      </c>
      <c r="Q17" s="18">
        <f t="shared" si="7"/>
        <v>5.3999999999999773</v>
      </c>
      <c r="R17" s="24">
        <f t="shared" si="8"/>
        <v>16366.599999999977</v>
      </c>
      <c r="S17" s="18">
        <f t="shared" si="3"/>
        <v>5503</v>
      </c>
      <c r="T17" s="18">
        <f t="shared" si="1"/>
        <v>4608</v>
      </c>
      <c r="U17" s="18">
        <f t="shared" si="2"/>
        <v>191</v>
      </c>
      <c r="W17" s="246" t="s">
        <v>135</v>
      </c>
      <c r="X17" s="421">
        <v>2024</v>
      </c>
      <c r="Y17" s="395">
        <v>1.6E-2</v>
      </c>
      <c r="Z17" s="395">
        <v>1.7000000000000001E-2</v>
      </c>
      <c r="AA17" s="395">
        <v>1.7000000000000001E-2</v>
      </c>
      <c r="AB17" s="395">
        <v>1.7000000000000001E-2</v>
      </c>
      <c r="AC17" s="395">
        <v>8.0000000000000002E-3</v>
      </c>
      <c r="AD17" s="286"/>
      <c r="AE17" s="277">
        <f>AVERAGE(Y17:AB17)</f>
        <v>1.6750000000000001E-2</v>
      </c>
      <c r="AF17" s="425"/>
    </row>
    <row r="18" spans="1:32" ht="13.2" customHeight="1" x14ac:dyDescent="0.25">
      <c r="A18" s="3">
        <v>42430</v>
      </c>
      <c r="B18" s="1">
        <f t="shared" si="0"/>
        <v>2016</v>
      </c>
      <c r="C18" s="1" t="str">
        <f t="shared" si="9"/>
        <v>Q1</v>
      </c>
      <c r="D18" s="18">
        <v>6930.2</v>
      </c>
      <c r="E18" s="18">
        <v>6827.3</v>
      </c>
      <c r="F18" s="18">
        <v>206.5</v>
      </c>
      <c r="G18" s="18">
        <v>204.2</v>
      </c>
      <c r="H18" s="18">
        <v>743976.2</v>
      </c>
      <c r="I18" s="18">
        <v>571846.40000000002</v>
      </c>
      <c r="J18" s="18">
        <v>51922</v>
      </c>
      <c r="K18" s="4">
        <v>743287</v>
      </c>
      <c r="L18" s="4">
        <v>568664</v>
      </c>
      <c r="M18" s="18">
        <v>29546</v>
      </c>
      <c r="N18" s="18">
        <f t="shared" si="4"/>
        <v>60.199999999999818</v>
      </c>
      <c r="O18" s="18">
        <f t="shared" si="5"/>
        <v>65.5</v>
      </c>
      <c r="P18" s="18">
        <f t="shared" si="6"/>
        <v>8.0999999999999943</v>
      </c>
      <c r="Q18" s="18">
        <f t="shared" si="7"/>
        <v>8.1999999999999886</v>
      </c>
      <c r="R18" s="24">
        <f t="shared" si="8"/>
        <v>16366.599999999977</v>
      </c>
      <c r="S18" s="18">
        <f t="shared" si="3"/>
        <v>5503</v>
      </c>
      <c r="T18" s="18">
        <f t="shared" si="1"/>
        <v>4608</v>
      </c>
      <c r="U18" s="18">
        <f t="shared" si="2"/>
        <v>191</v>
      </c>
      <c r="W18" s="246"/>
      <c r="X18" s="421">
        <v>2025</v>
      </c>
      <c r="Y18" s="395">
        <v>6.0000000000000001E-3</v>
      </c>
      <c r="Z18" s="395">
        <v>1.4E-2</v>
      </c>
      <c r="AA18" s="395">
        <v>1.2999999999999999E-2</v>
      </c>
      <c r="AB18" s="395">
        <v>1.4E-2</v>
      </c>
      <c r="AC18" s="395">
        <v>1.7000000000000001E-2</v>
      </c>
      <c r="AD18" s="395"/>
      <c r="AE18" s="277">
        <f>AVERAGE(Y18:AB18)</f>
        <v>1.175E-2</v>
      </c>
      <c r="AF18" s="425"/>
    </row>
    <row r="19" spans="1:32" ht="13.2" customHeight="1" x14ac:dyDescent="0.25">
      <c r="A19" s="3">
        <v>42461</v>
      </c>
      <c r="B19" s="1">
        <f t="shared" si="0"/>
        <v>2016</v>
      </c>
      <c r="C19" s="1" t="str">
        <f t="shared" si="9"/>
        <v>Q2</v>
      </c>
      <c r="D19" s="18">
        <v>6931.9</v>
      </c>
      <c r="E19" s="18">
        <v>6843.7</v>
      </c>
      <c r="F19" s="18">
        <v>205.8</v>
      </c>
      <c r="G19" s="18">
        <v>204</v>
      </c>
      <c r="H19" s="18">
        <v>743976.2</v>
      </c>
      <c r="I19" s="18">
        <v>571846.40000000002</v>
      </c>
      <c r="J19" s="18">
        <v>51922</v>
      </c>
      <c r="K19" s="4">
        <v>740632</v>
      </c>
      <c r="L19" s="4">
        <v>569815</v>
      </c>
      <c r="M19" s="18">
        <v>29474</v>
      </c>
      <c r="N19" s="18">
        <f t="shared" si="4"/>
        <v>55.099999999999454</v>
      </c>
      <c r="O19" s="18">
        <f t="shared" si="5"/>
        <v>57.300000000000182</v>
      </c>
      <c r="P19" s="18">
        <f t="shared" si="6"/>
        <v>10.300000000000011</v>
      </c>
      <c r="Q19" s="18">
        <f t="shared" si="7"/>
        <v>10.800000000000011</v>
      </c>
      <c r="R19" s="24">
        <f t="shared" si="8"/>
        <v>16366.599999999977</v>
      </c>
      <c r="S19" s="18">
        <f t="shared" si="3"/>
        <v>-2655</v>
      </c>
      <c r="T19" s="18">
        <f t="shared" si="1"/>
        <v>1151</v>
      </c>
      <c r="U19" s="18">
        <f t="shared" si="2"/>
        <v>-72</v>
      </c>
      <c r="W19" s="246"/>
      <c r="X19" s="421">
        <v>2026</v>
      </c>
      <c r="Y19" s="395">
        <v>6.0000000000000001E-3</v>
      </c>
      <c r="Z19" s="395">
        <v>2E-3</v>
      </c>
      <c r="AA19" s="395">
        <v>7.0000000000000001E-3</v>
      </c>
      <c r="AB19" s="395">
        <v>3.0000000000000001E-3</v>
      </c>
      <c r="AC19" s="395">
        <v>1.4E-2</v>
      </c>
      <c r="AD19" s="395"/>
      <c r="AE19" s="277">
        <f>AVERAGE(Y19:AB19)</f>
        <v>4.4999999999999997E-3</v>
      </c>
      <c r="AF19" s="425"/>
    </row>
    <row r="20" spans="1:32" ht="13.2" customHeight="1" x14ac:dyDescent="0.25">
      <c r="A20" s="3">
        <v>42491</v>
      </c>
      <c r="B20" s="1">
        <f t="shared" si="0"/>
        <v>2016</v>
      </c>
      <c r="C20" s="1" t="str">
        <f t="shared" si="9"/>
        <v>Q2</v>
      </c>
      <c r="D20" s="18">
        <v>6944.7</v>
      </c>
      <c r="E20" s="18">
        <v>6913.7</v>
      </c>
      <c r="F20" s="18">
        <v>206.1</v>
      </c>
      <c r="G20" s="18">
        <v>206.1</v>
      </c>
      <c r="H20" s="18">
        <v>743976.2</v>
      </c>
      <c r="I20" s="18">
        <v>571846.40000000002</v>
      </c>
      <c r="J20" s="18">
        <v>51922</v>
      </c>
      <c r="K20" s="4">
        <v>740632</v>
      </c>
      <c r="L20" s="4">
        <v>569815</v>
      </c>
      <c r="M20" s="18">
        <v>29474</v>
      </c>
      <c r="N20" s="18">
        <f t="shared" si="4"/>
        <v>61.399999999999636</v>
      </c>
      <c r="O20" s="18">
        <f t="shared" si="5"/>
        <v>65.599999999999454</v>
      </c>
      <c r="P20" s="18">
        <f t="shared" si="6"/>
        <v>12.799999999999983</v>
      </c>
      <c r="Q20" s="18">
        <f t="shared" si="7"/>
        <v>13.5</v>
      </c>
      <c r="R20" s="24">
        <f t="shared" si="8"/>
        <v>16366.599999999977</v>
      </c>
      <c r="S20" s="18">
        <f t="shared" si="3"/>
        <v>-2655</v>
      </c>
      <c r="T20" s="18">
        <f t="shared" si="1"/>
        <v>1151</v>
      </c>
      <c r="U20" s="18">
        <f t="shared" si="2"/>
        <v>-72</v>
      </c>
      <c r="X20" s="429"/>
      <c r="Y20" s="430"/>
      <c r="Z20" s="430"/>
      <c r="AA20" s="430"/>
      <c r="AB20" s="430"/>
      <c r="AC20" s="430"/>
      <c r="AD20" s="431"/>
      <c r="AE20" s="432"/>
      <c r="AF20" s="433"/>
    </row>
    <row r="21" spans="1:32" ht="13.2" customHeight="1" x14ac:dyDescent="0.25">
      <c r="A21" s="3">
        <v>42522</v>
      </c>
      <c r="B21" s="1">
        <f t="shared" si="0"/>
        <v>2016</v>
      </c>
      <c r="C21" s="1" t="str">
        <f t="shared" si="9"/>
        <v>Q2</v>
      </c>
      <c r="D21" s="18">
        <v>6955.5</v>
      </c>
      <c r="E21" s="18">
        <v>7000.2</v>
      </c>
      <c r="F21" s="18">
        <v>204.7</v>
      </c>
      <c r="G21" s="18">
        <v>206.7</v>
      </c>
      <c r="H21" s="18">
        <v>743976.2</v>
      </c>
      <c r="I21" s="18">
        <v>571846.40000000002</v>
      </c>
      <c r="J21" s="18">
        <v>51922</v>
      </c>
      <c r="K21" s="4">
        <v>740632</v>
      </c>
      <c r="L21" s="4">
        <v>569815</v>
      </c>
      <c r="M21" s="18">
        <v>29474</v>
      </c>
      <c r="N21" s="18">
        <f t="shared" si="4"/>
        <v>71.899999999999636</v>
      </c>
      <c r="O21" s="18">
        <f t="shared" si="5"/>
        <v>70.099999999999454</v>
      </c>
      <c r="P21" s="18">
        <f t="shared" si="6"/>
        <v>13.899999999999977</v>
      </c>
      <c r="Q21" s="18">
        <f t="shared" si="7"/>
        <v>14.799999999999983</v>
      </c>
      <c r="R21" s="24">
        <f t="shared" si="8"/>
        <v>16366.599999999977</v>
      </c>
      <c r="S21" s="18">
        <f t="shared" si="3"/>
        <v>-2655</v>
      </c>
      <c r="T21" s="18">
        <f t="shared" si="1"/>
        <v>1151</v>
      </c>
      <c r="U21" s="18">
        <f t="shared" si="2"/>
        <v>-72</v>
      </c>
    </row>
    <row r="22" spans="1:32" ht="13.2" customHeight="1" x14ac:dyDescent="0.25">
      <c r="A22" s="3">
        <v>42552</v>
      </c>
      <c r="B22" s="1">
        <f t="shared" si="0"/>
        <v>2016</v>
      </c>
      <c r="C22" s="1" t="str">
        <f t="shared" si="9"/>
        <v>Q3</v>
      </c>
      <c r="D22" s="18">
        <v>6956.3</v>
      </c>
      <c r="E22" s="18">
        <v>7049.5</v>
      </c>
      <c r="F22" s="18">
        <v>206.5</v>
      </c>
      <c r="G22" s="18">
        <v>209.2</v>
      </c>
      <c r="H22" s="18">
        <v>743976.2</v>
      </c>
      <c r="I22" s="18">
        <v>571846.40000000002</v>
      </c>
      <c r="J22" s="18">
        <v>51922</v>
      </c>
      <c r="K22" s="4">
        <v>746606</v>
      </c>
      <c r="L22" s="4">
        <v>574136</v>
      </c>
      <c r="M22" s="18">
        <v>30035</v>
      </c>
      <c r="N22" s="18">
        <f t="shared" si="4"/>
        <v>64.600000000000364</v>
      </c>
      <c r="O22" s="18">
        <f t="shared" si="5"/>
        <v>63.399999999999636</v>
      </c>
      <c r="P22" s="18">
        <f t="shared" si="6"/>
        <v>20.599999999999994</v>
      </c>
      <c r="Q22" s="18">
        <f t="shared" si="7"/>
        <v>20.699999999999989</v>
      </c>
      <c r="R22" s="24">
        <f t="shared" si="8"/>
        <v>16366.599999999977</v>
      </c>
      <c r="S22" s="18">
        <f t="shared" si="3"/>
        <v>5974</v>
      </c>
      <c r="T22" s="18">
        <f t="shared" si="1"/>
        <v>4321</v>
      </c>
      <c r="U22" s="18">
        <f t="shared" si="2"/>
        <v>561</v>
      </c>
      <c r="W22" s="434"/>
      <c r="X22" s="435"/>
      <c r="Y22" s="436" t="s">
        <v>136</v>
      </c>
      <c r="Z22" s="437" t="s">
        <v>137</v>
      </c>
      <c r="AA22" s="437" t="s">
        <v>138</v>
      </c>
      <c r="AB22" s="437" t="s">
        <v>139</v>
      </c>
      <c r="AC22" s="437"/>
      <c r="AD22" s="437" t="s">
        <v>140</v>
      </c>
      <c r="AE22" s="437"/>
      <c r="AF22" s="437"/>
    </row>
    <row r="23" spans="1:32" ht="13.2" customHeight="1" x14ac:dyDescent="0.25">
      <c r="A23" s="3">
        <v>42583</v>
      </c>
      <c r="B23" s="1">
        <f t="shared" si="0"/>
        <v>2016</v>
      </c>
      <c r="C23" s="1" t="str">
        <f t="shared" si="9"/>
        <v>Q3</v>
      </c>
      <c r="D23" s="18">
        <v>6953.5</v>
      </c>
      <c r="E23" s="18">
        <v>7045.6</v>
      </c>
      <c r="F23" s="18">
        <v>209.3</v>
      </c>
      <c r="G23" s="18">
        <v>211.2</v>
      </c>
      <c r="H23" s="18">
        <v>743976.2</v>
      </c>
      <c r="I23" s="18">
        <v>571846.40000000002</v>
      </c>
      <c r="J23" s="18">
        <v>51922</v>
      </c>
      <c r="K23" s="4">
        <v>746606</v>
      </c>
      <c r="L23" s="4">
        <v>574136</v>
      </c>
      <c r="M23" s="18">
        <v>30035</v>
      </c>
      <c r="N23" s="18">
        <f t="shared" si="4"/>
        <v>56.699999999999818</v>
      </c>
      <c r="O23" s="18">
        <f t="shared" si="5"/>
        <v>45.400000000000546</v>
      </c>
      <c r="P23" s="18">
        <f t="shared" si="6"/>
        <v>26.300000000000011</v>
      </c>
      <c r="Q23" s="18">
        <f t="shared" si="7"/>
        <v>25.399999999999977</v>
      </c>
      <c r="R23" s="24">
        <f t="shared" si="8"/>
        <v>16366.599999999977</v>
      </c>
      <c r="S23" s="18">
        <f t="shared" si="3"/>
        <v>5974</v>
      </c>
      <c r="T23" s="18">
        <f t="shared" si="1"/>
        <v>4321</v>
      </c>
      <c r="U23" s="18">
        <f t="shared" si="2"/>
        <v>561</v>
      </c>
      <c r="X23" s="438"/>
      <c r="Y23" s="437"/>
      <c r="Z23" s="437"/>
      <c r="AA23" s="437"/>
      <c r="AB23" s="437"/>
      <c r="AC23" s="437"/>
      <c r="AD23" s="437" t="s">
        <v>141</v>
      </c>
      <c r="AE23" s="437"/>
      <c r="AF23" s="437"/>
    </row>
    <row r="24" spans="1:32" ht="13.2" customHeight="1" x14ac:dyDescent="0.25">
      <c r="A24" s="3">
        <v>42614</v>
      </c>
      <c r="B24" s="1">
        <f t="shared" si="0"/>
        <v>2016</v>
      </c>
      <c r="C24" s="1" t="str">
        <f t="shared" si="9"/>
        <v>Q3</v>
      </c>
      <c r="D24" s="18">
        <v>6950.1</v>
      </c>
      <c r="E24" s="18">
        <v>6998.1</v>
      </c>
      <c r="F24" s="18">
        <v>213.5</v>
      </c>
      <c r="G24" s="18">
        <v>213.3</v>
      </c>
      <c r="H24" s="18">
        <v>743976.2</v>
      </c>
      <c r="I24" s="18">
        <v>571846.40000000002</v>
      </c>
      <c r="J24" s="18">
        <v>51922</v>
      </c>
      <c r="K24" s="4">
        <v>746606</v>
      </c>
      <c r="L24" s="4">
        <v>574136</v>
      </c>
      <c r="M24" s="18">
        <v>30035</v>
      </c>
      <c r="N24" s="18">
        <f t="shared" si="4"/>
        <v>57</v>
      </c>
      <c r="O24" s="18">
        <f t="shared" si="5"/>
        <v>44.400000000000546</v>
      </c>
      <c r="P24" s="18">
        <f t="shared" si="6"/>
        <v>31.800000000000011</v>
      </c>
      <c r="Q24" s="18">
        <f t="shared" si="7"/>
        <v>30.300000000000011</v>
      </c>
      <c r="R24" s="24">
        <f t="shared" si="8"/>
        <v>16366.599999999977</v>
      </c>
      <c r="S24" s="18">
        <f t="shared" si="3"/>
        <v>5974</v>
      </c>
      <c r="T24" s="18">
        <f t="shared" ref="T24:T87" si="10">L24-L21</f>
        <v>4321</v>
      </c>
      <c r="U24" s="18">
        <f t="shared" ref="U24:U87" si="11">M24-M21</f>
        <v>561</v>
      </c>
      <c r="W24" s="286"/>
      <c r="X24" s="439"/>
      <c r="Y24" s="437"/>
      <c r="Z24" s="437"/>
      <c r="AA24" s="437"/>
      <c r="AB24" s="437"/>
      <c r="AC24" s="437"/>
      <c r="AD24" s="437"/>
      <c r="AE24" s="437"/>
      <c r="AF24" s="437"/>
    </row>
    <row r="25" spans="1:32" ht="13.2" customHeight="1" x14ac:dyDescent="0.25">
      <c r="A25" s="3">
        <v>42644</v>
      </c>
      <c r="B25" s="1">
        <f t="shared" si="0"/>
        <v>2016</v>
      </c>
      <c r="C25" s="1" t="str">
        <f t="shared" si="9"/>
        <v>Q4</v>
      </c>
      <c r="D25" s="18">
        <v>6963.9</v>
      </c>
      <c r="E25" s="18">
        <v>6990.5</v>
      </c>
      <c r="F25" s="18">
        <v>214.3</v>
      </c>
      <c r="G25" s="18">
        <v>213.5</v>
      </c>
      <c r="H25" s="18">
        <v>743976.2</v>
      </c>
      <c r="I25" s="18">
        <v>571846.40000000002</v>
      </c>
      <c r="J25" s="18">
        <v>51922</v>
      </c>
      <c r="K25" s="4">
        <v>745380</v>
      </c>
      <c r="L25" s="4">
        <v>574771</v>
      </c>
      <c r="M25" s="18">
        <v>30202</v>
      </c>
      <c r="N25" s="18">
        <f t="shared" si="4"/>
        <v>71</v>
      </c>
      <c r="O25" s="18">
        <f t="shared" si="5"/>
        <v>57.699999999999818</v>
      </c>
      <c r="P25" s="18">
        <f t="shared" si="6"/>
        <v>27.200000000000017</v>
      </c>
      <c r="Q25" s="18">
        <f t="shared" si="7"/>
        <v>26</v>
      </c>
      <c r="R25" s="24">
        <f t="shared" si="8"/>
        <v>16366.599999999977</v>
      </c>
      <c r="S25" s="18">
        <f t="shared" si="3"/>
        <v>-1226</v>
      </c>
      <c r="T25" s="18">
        <f t="shared" si="10"/>
        <v>635</v>
      </c>
      <c r="U25" s="18">
        <f t="shared" si="11"/>
        <v>167</v>
      </c>
    </row>
    <row r="26" spans="1:32" ht="13.2" customHeight="1" x14ac:dyDescent="0.25">
      <c r="A26" s="3">
        <v>42675</v>
      </c>
      <c r="B26" s="1">
        <f t="shared" si="0"/>
        <v>2016</v>
      </c>
      <c r="C26" s="1" t="str">
        <f t="shared" si="9"/>
        <v>Q4</v>
      </c>
      <c r="D26" s="18">
        <v>6977.8</v>
      </c>
      <c r="E26" s="18">
        <v>6983.4</v>
      </c>
      <c r="F26" s="18">
        <v>215.1</v>
      </c>
      <c r="G26" s="18">
        <v>214.1</v>
      </c>
      <c r="H26" s="18">
        <v>743976.2</v>
      </c>
      <c r="I26" s="18">
        <v>571846.40000000002</v>
      </c>
      <c r="J26" s="18">
        <v>51922</v>
      </c>
      <c r="K26" s="4">
        <v>745380</v>
      </c>
      <c r="L26" s="4">
        <v>574771</v>
      </c>
      <c r="M26" s="18">
        <v>30202</v>
      </c>
      <c r="N26" s="18">
        <f t="shared" si="4"/>
        <v>91.600000000000364</v>
      </c>
      <c r="O26" s="18">
        <f t="shared" si="5"/>
        <v>85.199999999999818</v>
      </c>
      <c r="P26" s="18">
        <f t="shared" si="6"/>
        <v>22.599999999999994</v>
      </c>
      <c r="Q26" s="18">
        <f t="shared" si="7"/>
        <v>22</v>
      </c>
      <c r="R26" s="24">
        <f t="shared" si="8"/>
        <v>16366.599999999977</v>
      </c>
      <c r="S26" s="18">
        <f t="shared" si="3"/>
        <v>-1226</v>
      </c>
      <c r="T26" s="18">
        <f t="shared" si="10"/>
        <v>635</v>
      </c>
      <c r="U26" s="18">
        <f t="shared" si="11"/>
        <v>167</v>
      </c>
      <c r="AE26" s="440"/>
    </row>
    <row r="27" spans="1:32" ht="13.2" customHeight="1" x14ac:dyDescent="0.25">
      <c r="A27" s="3">
        <v>42705</v>
      </c>
      <c r="B27" s="1">
        <f t="shared" si="0"/>
        <v>2016</v>
      </c>
      <c r="C27" s="1" t="str">
        <f t="shared" si="9"/>
        <v>Q4</v>
      </c>
      <c r="D27" s="18">
        <v>6992.4</v>
      </c>
      <c r="E27" s="18">
        <v>6999.9</v>
      </c>
      <c r="F27" s="18">
        <v>215.7</v>
      </c>
      <c r="G27" s="18">
        <v>215.4</v>
      </c>
      <c r="H27" s="18">
        <v>743976.2</v>
      </c>
      <c r="I27" s="18">
        <v>571846.40000000002</v>
      </c>
      <c r="J27" s="18">
        <v>51922</v>
      </c>
      <c r="K27" s="4">
        <v>745380</v>
      </c>
      <c r="L27" s="4">
        <v>574771</v>
      </c>
      <c r="M27" s="18">
        <v>30202</v>
      </c>
      <c r="N27" s="18">
        <f t="shared" si="4"/>
        <v>96.799999999999272</v>
      </c>
      <c r="O27" s="18">
        <f t="shared" si="5"/>
        <v>97.599999999999454</v>
      </c>
      <c r="P27" s="18">
        <f t="shared" si="6"/>
        <v>16.299999999999983</v>
      </c>
      <c r="Q27" s="18">
        <f t="shared" si="7"/>
        <v>15.900000000000006</v>
      </c>
      <c r="R27" s="24">
        <f t="shared" si="8"/>
        <v>16366.599999999977</v>
      </c>
      <c r="S27" s="18">
        <f t="shared" si="3"/>
        <v>-1226</v>
      </c>
      <c r="T27" s="18">
        <f t="shared" si="10"/>
        <v>635</v>
      </c>
      <c r="U27" s="18">
        <f t="shared" si="11"/>
        <v>167</v>
      </c>
    </row>
    <row r="28" spans="1:32" ht="13.2" customHeight="1" x14ac:dyDescent="0.25">
      <c r="A28" s="3">
        <v>42736</v>
      </c>
      <c r="B28" s="1">
        <f t="shared" si="0"/>
        <v>2017</v>
      </c>
      <c r="C28" s="1" t="str">
        <f t="shared" si="9"/>
        <v>Q1</v>
      </c>
      <c r="D28" s="18">
        <v>7014.6</v>
      </c>
      <c r="E28" s="18">
        <v>6982.5</v>
      </c>
      <c r="F28" s="18">
        <v>215.5</v>
      </c>
      <c r="G28" s="18">
        <v>214.4</v>
      </c>
      <c r="H28" s="18">
        <v>764464.8</v>
      </c>
      <c r="I28" s="18">
        <v>590729.4</v>
      </c>
      <c r="J28" s="18">
        <v>53985.7</v>
      </c>
      <c r="K28" s="4">
        <v>756702</v>
      </c>
      <c r="L28" s="4">
        <v>583158</v>
      </c>
      <c r="M28" s="18">
        <v>30665</v>
      </c>
      <c r="N28" s="18">
        <f t="shared" si="4"/>
        <v>106.20000000000073</v>
      </c>
      <c r="O28" s="18">
        <f t="shared" si="5"/>
        <v>111.30000000000018</v>
      </c>
      <c r="P28" s="18">
        <f t="shared" si="6"/>
        <v>11.300000000000011</v>
      </c>
      <c r="Q28" s="18">
        <f t="shared" si="7"/>
        <v>10.599999999999994</v>
      </c>
      <c r="R28" s="24">
        <f t="shared" si="8"/>
        <v>20488.600000000093</v>
      </c>
      <c r="S28" s="18">
        <f t="shared" si="3"/>
        <v>11322</v>
      </c>
      <c r="T28" s="18">
        <f t="shared" si="10"/>
        <v>8387</v>
      </c>
      <c r="U28" s="18">
        <f t="shared" si="11"/>
        <v>463</v>
      </c>
      <c r="AD28" s="3"/>
    </row>
    <row r="29" spans="1:32" ht="13.2" customHeight="1" x14ac:dyDescent="0.25">
      <c r="A29" s="3">
        <v>42767</v>
      </c>
      <c r="B29" s="1">
        <f t="shared" si="0"/>
        <v>2017</v>
      </c>
      <c r="C29" s="1" t="str">
        <f t="shared" si="9"/>
        <v>Q1</v>
      </c>
      <c r="D29" s="18">
        <v>7031.3</v>
      </c>
      <c r="E29" s="18">
        <v>6962.5</v>
      </c>
      <c r="F29" s="18">
        <v>209.8</v>
      </c>
      <c r="G29" s="18">
        <v>208</v>
      </c>
      <c r="H29" s="18">
        <v>764464.8</v>
      </c>
      <c r="I29" s="18">
        <v>590729.4</v>
      </c>
      <c r="J29" s="18">
        <v>53985.7</v>
      </c>
      <c r="K29" s="4">
        <v>756702</v>
      </c>
      <c r="L29" s="4">
        <v>583158</v>
      </c>
      <c r="M29" s="18">
        <v>30665</v>
      </c>
      <c r="N29" s="18">
        <f t="shared" si="4"/>
        <v>109</v>
      </c>
      <c r="O29" s="18">
        <f t="shared" si="5"/>
        <v>112.10000000000036</v>
      </c>
      <c r="P29" s="18">
        <f t="shared" si="6"/>
        <v>4.2000000000000171</v>
      </c>
      <c r="Q29" s="18">
        <f t="shared" si="7"/>
        <v>3.8000000000000114</v>
      </c>
      <c r="R29" s="24">
        <f t="shared" si="8"/>
        <v>20488.600000000093</v>
      </c>
      <c r="S29" s="18">
        <f t="shared" si="3"/>
        <v>11322</v>
      </c>
      <c r="T29" s="18">
        <f t="shared" si="10"/>
        <v>8387</v>
      </c>
      <c r="U29" s="18">
        <f t="shared" si="11"/>
        <v>463</v>
      </c>
      <c r="AD29" s="3"/>
    </row>
    <row r="30" spans="1:32" ht="13.2" customHeight="1" x14ac:dyDescent="0.25">
      <c r="A30" s="3">
        <v>42795</v>
      </c>
      <c r="B30" s="1">
        <f t="shared" si="0"/>
        <v>2017</v>
      </c>
      <c r="C30" s="1" t="str">
        <f t="shared" si="9"/>
        <v>Q1</v>
      </c>
      <c r="D30" s="18">
        <v>7049</v>
      </c>
      <c r="E30" s="18">
        <v>6946</v>
      </c>
      <c r="F30" s="18">
        <v>203.2</v>
      </c>
      <c r="G30" s="18">
        <v>200.9</v>
      </c>
      <c r="H30" s="18">
        <v>764464.8</v>
      </c>
      <c r="I30" s="18">
        <v>590729.4</v>
      </c>
      <c r="J30" s="18">
        <v>53985.7</v>
      </c>
      <c r="K30" s="4">
        <v>756702</v>
      </c>
      <c r="L30" s="4">
        <v>583158</v>
      </c>
      <c r="M30" s="18">
        <v>30665</v>
      </c>
      <c r="N30" s="18">
        <f t="shared" si="4"/>
        <v>118.80000000000018</v>
      </c>
      <c r="O30" s="18">
        <f t="shared" si="5"/>
        <v>118.69999999999982</v>
      </c>
      <c r="P30" s="18">
        <f t="shared" si="6"/>
        <v>-3.3000000000000114</v>
      </c>
      <c r="Q30" s="18">
        <f t="shared" si="7"/>
        <v>-3.2999999999999829</v>
      </c>
      <c r="R30" s="24">
        <f t="shared" si="8"/>
        <v>20488.600000000093</v>
      </c>
      <c r="S30" s="18">
        <f t="shared" si="3"/>
        <v>11322</v>
      </c>
      <c r="T30" s="18">
        <f t="shared" si="10"/>
        <v>8387</v>
      </c>
      <c r="U30" s="18">
        <f t="shared" si="11"/>
        <v>463</v>
      </c>
      <c r="AD30" s="3"/>
    </row>
    <row r="31" spans="1:32" ht="13.2" customHeight="1" x14ac:dyDescent="0.25">
      <c r="A31" s="3">
        <v>42826</v>
      </c>
      <c r="B31" s="1">
        <f t="shared" si="0"/>
        <v>2017</v>
      </c>
      <c r="C31" s="1" t="str">
        <f t="shared" si="9"/>
        <v>Q2</v>
      </c>
      <c r="D31" s="18">
        <v>7055.1</v>
      </c>
      <c r="E31" s="18">
        <v>6963.6</v>
      </c>
      <c r="F31" s="18">
        <v>200</v>
      </c>
      <c r="G31" s="18">
        <v>198.9</v>
      </c>
      <c r="H31" s="18">
        <v>764464.8</v>
      </c>
      <c r="I31" s="18">
        <v>590729.4</v>
      </c>
      <c r="J31" s="18">
        <v>53985.7</v>
      </c>
      <c r="K31" s="4">
        <v>764644</v>
      </c>
      <c r="L31" s="4">
        <v>590485</v>
      </c>
      <c r="M31" s="18">
        <v>31148</v>
      </c>
      <c r="N31" s="18">
        <f t="shared" si="4"/>
        <v>123.20000000000073</v>
      </c>
      <c r="O31" s="18">
        <f t="shared" si="5"/>
        <v>119.90000000000055</v>
      </c>
      <c r="P31" s="18">
        <f t="shared" si="6"/>
        <v>-5.8000000000000114</v>
      </c>
      <c r="Q31" s="18">
        <f t="shared" si="7"/>
        <v>-5.0999999999999943</v>
      </c>
      <c r="R31" s="24">
        <f t="shared" si="8"/>
        <v>20488.600000000093</v>
      </c>
      <c r="S31" s="18">
        <f t="shared" si="3"/>
        <v>7942</v>
      </c>
      <c r="T31" s="18">
        <f t="shared" si="10"/>
        <v>7327</v>
      </c>
      <c r="U31" s="18">
        <f t="shared" si="11"/>
        <v>483</v>
      </c>
      <c r="AD31" s="3"/>
    </row>
    <row r="32" spans="1:32" ht="13.2" customHeight="1" x14ac:dyDescent="0.25">
      <c r="A32" s="3">
        <v>42856</v>
      </c>
      <c r="B32" s="1">
        <f t="shared" si="0"/>
        <v>2017</v>
      </c>
      <c r="C32" s="1" t="str">
        <f t="shared" si="9"/>
        <v>Q2</v>
      </c>
      <c r="D32" s="18">
        <v>7066.7</v>
      </c>
      <c r="E32" s="18">
        <v>7033.4</v>
      </c>
      <c r="F32" s="18">
        <v>202.9</v>
      </c>
      <c r="G32" s="18">
        <v>203.9</v>
      </c>
      <c r="H32" s="18">
        <v>764464.8</v>
      </c>
      <c r="I32" s="18">
        <v>590729.4</v>
      </c>
      <c r="J32" s="18">
        <v>53985.7</v>
      </c>
      <c r="K32" s="4">
        <v>764644</v>
      </c>
      <c r="L32" s="4">
        <v>590485</v>
      </c>
      <c r="M32" s="18">
        <v>31148</v>
      </c>
      <c r="N32" s="18">
        <f t="shared" si="4"/>
        <v>122</v>
      </c>
      <c r="O32" s="18">
        <f t="shared" si="5"/>
        <v>119.69999999999982</v>
      </c>
      <c r="P32" s="18">
        <f t="shared" si="6"/>
        <v>-3.1999999999999886</v>
      </c>
      <c r="Q32" s="18">
        <f t="shared" si="7"/>
        <v>-2.1999999999999886</v>
      </c>
      <c r="R32" s="24">
        <f t="shared" si="8"/>
        <v>20488.600000000093</v>
      </c>
      <c r="S32" s="18">
        <f t="shared" si="3"/>
        <v>7942</v>
      </c>
      <c r="T32" s="18">
        <f t="shared" si="10"/>
        <v>7327</v>
      </c>
      <c r="U32" s="18">
        <f t="shared" si="11"/>
        <v>483</v>
      </c>
      <c r="AD32" s="3"/>
    </row>
    <row r="33" spans="1:30" ht="13.2" customHeight="1" x14ac:dyDescent="0.25">
      <c r="A33" s="3">
        <v>42887</v>
      </c>
      <c r="B33" s="1">
        <f t="shared" si="0"/>
        <v>2017</v>
      </c>
      <c r="C33" s="1" t="str">
        <f t="shared" si="9"/>
        <v>Q2</v>
      </c>
      <c r="D33" s="18">
        <v>7079.8</v>
      </c>
      <c r="E33" s="18">
        <v>7123</v>
      </c>
      <c r="F33" s="18">
        <v>206.7</v>
      </c>
      <c r="G33" s="18">
        <v>209.8</v>
      </c>
      <c r="H33" s="18">
        <v>764464.8</v>
      </c>
      <c r="I33" s="18">
        <v>590729.4</v>
      </c>
      <c r="J33" s="18">
        <v>53985.7</v>
      </c>
      <c r="K33" s="4">
        <v>764644</v>
      </c>
      <c r="L33" s="4">
        <v>590485</v>
      </c>
      <c r="M33" s="18">
        <v>31148</v>
      </c>
      <c r="N33" s="18">
        <f t="shared" si="4"/>
        <v>124.30000000000018</v>
      </c>
      <c r="O33" s="18">
        <f t="shared" si="5"/>
        <v>122.80000000000018</v>
      </c>
      <c r="P33" s="18">
        <f t="shared" si="6"/>
        <v>2</v>
      </c>
      <c r="Q33" s="18">
        <f t="shared" si="7"/>
        <v>3.1000000000000227</v>
      </c>
      <c r="R33" s="24">
        <f t="shared" si="8"/>
        <v>20488.600000000093</v>
      </c>
      <c r="S33" s="18">
        <f t="shared" si="3"/>
        <v>7942</v>
      </c>
      <c r="T33" s="18">
        <f t="shared" si="10"/>
        <v>7327</v>
      </c>
      <c r="U33" s="18">
        <f t="shared" si="11"/>
        <v>483</v>
      </c>
      <c r="AD33" s="3"/>
    </row>
    <row r="34" spans="1:30" ht="13.2" customHeight="1" x14ac:dyDescent="0.25">
      <c r="A34" s="3">
        <v>42917</v>
      </c>
      <c r="B34" s="1">
        <f t="shared" si="0"/>
        <v>2017</v>
      </c>
      <c r="C34" s="1" t="str">
        <f t="shared" si="9"/>
        <v>Q3</v>
      </c>
      <c r="D34" s="18">
        <v>7101.9</v>
      </c>
      <c r="E34" s="18">
        <v>7196</v>
      </c>
      <c r="F34" s="18">
        <v>207</v>
      </c>
      <c r="G34" s="18">
        <v>209.9</v>
      </c>
      <c r="H34" s="18">
        <v>764464.8</v>
      </c>
      <c r="I34" s="18">
        <v>590729.4</v>
      </c>
      <c r="J34" s="18">
        <v>53985.7</v>
      </c>
      <c r="K34" s="4">
        <v>765060</v>
      </c>
      <c r="L34" s="4">
        <v>592461</v>
      </c>
      <c r="M34" s="18">
        <v>31156</v>
      </c>
      <c r="N34" s="18">
        <f t="shared" si="4"/>
        <v>145.59999999999945</v>
      </c>
      <c r="O34" s="18">
        <f t="shared" si="5"/>
        <v>146.5</v>
      </c>
      <c r="P34" s="18">
        <f t="shared" si="6"/>
        <v>0.5</v>
      </c>
      <c r="Q34" s="18">
        <f t="shared" si="7"/>
        <v>0.70000000000001705</v>
      </c>
      <c r="R34" s="24">
        <f t="shared" si="8"/>
        <v>20488.600000000093</v>
      </c>
      <c r="S34" s="18">
        <f t="shared" si="3"/>
        <v>416</v>
      </c>
      <c r="T34" s="18">
        <f t="shared" si="10"/>
        <v>1976</v>
      </c>
      <c r="U34" s="18">
        <f t="shared" si="11"/>
        <v>8</v>
      </c>
      <c r="AD34" s="3"/>
    </row>
    <row r="35" spans="1:30" ht="13.2" customHeight="1" x14ac:dyDescent="0.25">
      <c r="A35" s="3">
        <v>42948</v>
      </c>
      <c r="B35" s="1">
        <f t="shared" si="0"/>
        <v>2017</v>
      </c>
      <c r="C35" s="1" t="str">
        <f t="shared" si="9"/>
        <v>Q3</v>
      </c>
      <c r="D35" s="18">
        <v>7121.1</v>
      </c>
      <c r="E35" s="18">
        <v>7216.7</v>
      </c>
      <c r="F35" s="18">
        <v>208.1</v>
      </c>
      <c r="G35" s="18">
        <v>210</v>
      </c>
      <c r="H35" s="18">
        <v>764464.8</v>
      </c>
      <c r="I35" s="18">
        <v>590729.4</v>
      </c>
      <c r="J35" s="18">
        <v>53985.7</v>
      </c>
      <c r="K35" s="4">
        <v>765060</v>
      </c>
      <c r="L35" s="4">
        <v>592461</v>
      </c>
      <c r="M35" s="18">
        <v>31156</v>
      </c>
      <c r="N35" s="18">
        <f t="shared" si="4"/>
        <v>167.60000000000036</v>
      </c>
      <c r="O35" s="18">
        <f t="shared" si="5"/>
        <v>171.09999999999945</v>
      </c>
      <c r="P35" s="18">
        <f t="shared" si="6"/>
        <v>-1.2000000000000171</v>
      </c>
      <c r="Q35" s="18">
        <f t="shared" si="7"/>
        <v>-1.1999999999999886</v>
      </c>
      <c r="R35" s="24">
        <f t="shared" si="8"/>
        <v>20488.600000000093</v>
      </c>
      <c r="S35" s="18">
        <f t="shared" si="3"/>
        <v>416</v>
      </c>
      <c r="T35" s="18">
        <f t="shared" si="10"/>
        <v>1976</v>
      </c>
      <c r="U35" s="18">
        <f t="shared" si="11"/>
        <v>8</v>
      </c>
      <c r="AD35" s="3"/>
    </row>
    <row r="36" spans="1:30" ht="13.2" customHeight="1" x14ac:dyDescent="0.25">
      <c r="A36" s="3">
        <v>42979</v>
      </c>
      <c r="B36" s="1">
        <f t="shared" si="0"/>
        <v>2017</v>
      </c>
      <c r="C36" s="1" t="str">
        <f t="shared" si="9"/>
        <v>Q3</v>
      </c>
      <c r="D36" s="18">
        <v>7144.8</v>
      </c>
      <c r="E36" s="18">
        <v>7193.4</v>
      </c>
      <c r="F36" s="18">
        <v>208.1</v>
      </c>
      <c r="G36" s="18">
        <v>207.7</v>
      </c>
      <c r="H36" s="18">
        <v>764464.8</v>
      </c>
      <c r="I36" s="18">
        <v>590729.4</v>
      </c>
      <c r="J36" s="18">
        <v>53985.7</v>
      </c>
      <c r="K36" s="4">
        <v>765060</v>
      </c>
      <c r="L36" s="4">
        <v>592461</v>
      </c>
      <c r="M36" s="18">
        <v>31156</v>
      </c>
      <c r="N36" s="18">
        <f t="shared" si="4"/>
        <v>194.69999999999982</v>
      </c>
      <c r="O36" s="18">
        <f t="shared" si="5"/>
        <v>195.29999999999927</v>
      </c>
      <c r="P36" s="18">
        <f t="shared" si="6"/>
        <v>-5.4000000000000057</v>
      </c>
      <c r="Q36" s="18">
        <f t="shared" si="7"/>
        <v>-5.6000000000000227</v>
      </c>
      <c r="R36" s="24">
        <f t="shared" si="8"/>
        <v>20488.600000000093</v>
      </c>
      <c r="S36" s="18">
        <f t="shared" si="3"/>
        <v>416</v>
      </c>
      <c r="T36" s="18">
        <f t="shared" si="10"/>
        <v>1976</v>
      </c>
      <c r="U36" s="18">
        <f t="shared" si="11"/>
        <v>8</v>
      </c>
      <c r="AD36" s="3"/>
    </row>
    <row r="37" spans="1:30" ht="13.2" customHeight="1" x14ac:dyDescent="0.25">
      <c r="A37" s="3">
        <v>43009</v>
      </c>
      <c r="B37" s="1">
        <f t="shared" si="0"/>
        <v>2017</v>
      </c>
      <c r="C37" s="1" t="str">
        <f t="shared" si="9"/>
        <v>Q4</v>
      </c>
      <c r="D37" s="18">
        <v>7161</v>
      </c>
      <c r="E37" s="18">
        <v>7185.2</v>
      </c>
      <c r="F37" s="18">
        <v>209.9</v>
      </c>
      <c r="G37" s="18">
        <v>208.8</v>
      </c>
      <c r="H37" s="18">
        <v>764464.8</v>
      </c>
      <c r="I37" s="18">
        <v>590729.4</v>
      </c>
      <c r="J37" s="18">
        <v>53985.7</v>
      </c>
      <c r="K37" s="4">
        <v>771453</v>
      </c>
      <c r="L37" s="4">
        <v>596813</v>
      </c>
      <c r="M37" s="18">
        <v>31522</v>
      </c>
      <c r="N37" s="18">
        <f t="shared" si="4"/>
        <v>197.10000000000036</v>
      </c>
      <c r="O37" s="18">
        <f t="shared" si="5"/>
        <v>194.69999999999982</v>
      </c>
      <c r="P37" s="18">
        <f t="shared" si="6"/>
        <v>-4.4000000000000057</v>
      </c>
      <c r="Q37" s="18">
        <f t="shared" si="7"/>
        <v>-4.6999999999999886</v>
      </c>
      <c r="R37" s="24">
        <f t="shared" si="8"/>
        <v>20488.600000000093</v>
      </c>
      <c r="S37" s="18">
        <f t="shared" si="3"/>
        <v>6393</v>
      </c>
      <c r="T37" s="18">
        <f t="shared" si="10"/>
        <v>4352</v>
      </c>
      <c r="U37" s="18">
        <f t="shared" si="11"/>
        <v>366</v>
      </c>
      <c r="AD37" s="3"/>
    </row>
    <row r="38" spans="1:30" ht="13.2" customHeight="1" x14ac:dyDescent="0.25">
      <c r="A38" s="3">
        <v>43040</v>
      </c>
      <c r="B38" s="1">
        <f t="shared" si="0"/>
        <v>2017</v>
      </c>
      <c r="C38" s="1" t="str">
        <f t="shared" si="9"/>
        <v>Q4</v>
      </c>
      <c r="D38" s="18">
        <v>7184.7</v>
      </c>
      <c r="E38" s="18">
        <v>7186</v>
      </c>
      <c r="F38" s="18">
        <v>209</v>
      </c>
      <c r="G38" s="18">
        <v>207.6</v>
      </c>
      <c r="H38" s="18">
        <v>764464.8</v>
      </c>
      <c r="I38" s="18">
        <v>590729.4</v>
      </c>
      <c r="J38" s="18">
        <v>53985.7</v>
      </c>
      <c r="K38" s="4">
        <v>771453</v>
      </c>
      <c r="L38" s="4">
        <v>596813</v>
      </c>
      <c r="M38" s="18">
        <v>31522</v>
      </c>
      <c r="N38" s="18">
        <f t="shared" si="4"/>
        <v>206.89999999999964</v>
      </c>
      <c r="O38" s="18">
        <f t="shared" si="5"/>
        <v>202.60000000000036</v>
      </c>
      <c r="P38" s="18">
        <f t="shared" si="6"/>
        <v>-6.0999999999999943</v>
      </c>
      <c r="Q38" s="18">
        <f t="shared" si="7"/>
        <v>-6.5</v>
      </c>
      <c r="R38" s="24">
        <f t="shared" si="8"/>
        <v>20488.600000000093</v>
      </c>
      <c r="S38" s="18">
        <f t="shared" si="3"/>
        <v>6393</v>
      </c>
      <c r="T38" s="18">
        <f t="shared" si="10"/>
        <v>4352</v>
      </c>
      <c r="U38" s="18">
        <f t="shared" si="11"/>
        <v>366</v>
      </c>
      <c r="AD38" s="3"/>
    </row>
    <row r="39" spans="1:30" ht="13.2" customHeight="1" x14ac:dyDescent="0.25">
      <c r="A39" s="3">
        <v>43070</v>
      </c>
      <c r="B39" s="1">
        <f t="shared" si="0"/>
        <v>2017</v>
      </c>
      <c r="C39" s="1" t="str">
        <f t="shared" si="9"/>
        <v>Q4</v>
      </c>
      <c r="D39" s="18">
        <v>7199.5</v>
      </c>
      <c r="E39" s="18">
        <v>7206.8</v>
      </c>
      <c r="F39" s="18">
        <v>208</v>
      </c>
      <c r="G39" s="18">
        <v>207.1</v>
      </c>
      <c r="H39" s="18">
        <v>764464.8</v>
      </c>
      <c r="I39" s="18">
        <v>590729.4</v>
      </c>
      <c r="J39" s="18">
        <v>53985.7</v>
      </c>
      <c r="K39" s="4">
        <v>771453</v>
      </c>
      <c r="L39" s="4">
        <v>596813</v>
      </c>
      <c r="M39" s="18">
        <v>31522</v>
      </c>
      <c r="N39" s="18">
        <f t="shared" si="4"/>
        <v>207.10000000000036</v>
      </c>
      <c r="O39" s="18">
        <f t="shared" si="5"/>
        <v>206.90000000000055</v>
      </c>
      <c r="P39" s="18">
        <f t="shared" si="6"/>
        <v>-7.6999999999999886</v>
      </c>
      <c r="Q39" s="18">
        <f t="shared" si="7"/>
        <v>-8.3000000000000114</v>
      </c>
      <c r="R39" s="24">
        <f t="shared" si="8"/>
        <v>20488.600000000093</v>
      </c>
      <c r="S39" s="18">
        <f t="shared" si="3"/>
        <v>6393</v>
      </c>
      <c r="T39" s="18">
        <f t="shared" si="10"/>
        <v>4352</v>
      </c>
      <c r="U39" s="18">
        <f t="shared" si="11"/>
        <v>366</v>
      </c>
      <c r="AD39" s="3"/>
    </row>
    <row r="40" spans="1:30" ht="13.2" customHeight="1" x14ac:dyDescent="0.25">
      <c r="A40" s="3">
        <v>43101</v>
      </c>
      <c r="B40" s="1">
        <f t="shared" si="0"/>
        <v>2018</v>
      </c>
      <c r="C40" s="1" t="str">
        <f t="shared" si="9"/>
        <v>Q1</v>
      </c>
      <c r="D40" s="18">
        <v>7199.4</v>
      </c>
      <c r="E40" s="18">
        <v>7167.3</v>
      </c>
      <c r="F40" s="18">
        <v>206.9</v>
      </c>
      <c r="G40" s="18">
        <v>205.4</v>
      </c>
      <c r="H40" s="18">
        <v>789531.6</v>
      </c>
      <c r="I40" s="18">
        <v>608429.30000000005</v>
      </c>
      <c r="J40" s="18">
        <v>57334.6</v>
      </c>
      <c r="K40" s="4">
        <v>779459</v>
      </c>
      <c r="L40" s="4">
        <v>600187</v>
      </c>
      <c r="M40" s="18">
        <v>31723</v>
      </c>
      <c r="N40" s="18">
        <f t="shared" si="4"/>
        <v>184.79999999999927</v>
      </c>
      <c r="O40" s="18">
        <f t="shared" si="5"/>
        <v>184.80000000000018</v>
      </c>
      <c r="P40" s="18">
        <f t="shared" si="6"/>
        <v>-8.5999999999999943</v>
      </c>
      <c r="Q40" s="18">
        <f t="shared" si="7"/>
        <v>-9</v>
      </c>
      <c r="R40" s="24">
        <f t="shared" si="8"/>
        <v>25066.79999999993</v>
      </c>
      <c r="S40" s="18">
        <f t="shared" si="3"/>
        <v>8006</v>
      </c>
      <c r="T40" s="18">
        <f t="shared" si="10"/>
        <v>3374</v>
      </c>
      <c r="U40" s="18">
        <f t="shared" si="11"/>
        <v>201</v>
      </c>
      <c r="AD40" s="3"/>
    </row>
    <row r="41" spans="1:30" ht="13.2" customHeight="1" x14ac:dyDescent="0.25">
      <c r="A41" s="3">
        <v>43132</v>
      </c>
      <c r="B41" s="1">
        <f t="shared" si="0"/>
        <v>2018</v>
      </c>
      <c r="C41" s="1" t="str">
        <f t="shared" si="9"/>
        <v>Q1</v>
      </c>
      <c r="D41" s="18">
        <v>7188.9</v>
      </c>
      <c r="E41" s="18">
        <v>7120.1</v>
      </c>
      <c r="F41" s="18">
        <v>207.4</v>
      </c>
      <c r="G41" s="18">
        <v>205.6</v>
      </c>
      <c r="H41" s="18">
        <v>789531.6</v>
      </c>
      <c r="I41" s="18">
        <v>608429.30000000005</v>
      </c>
      <c r="J41" s="18">
        <v>57334.6</v>
      </c>
      <c r="K41" s="4">
        <v>779459</v>
      </c>
      <c r="L41" s="4">
        <v>600187</v>
      </c>
      <c r="M41" s="18">
        <v>31723</v>
      </c>
      <c r="N41" s="18">
        <f t="shared" si="4"/>
        <v>157.59999999999945</v>
      </c>
      <c r="O41" s="18">
        <f t="shared" si="5"/>
        <v>157.60000000000036</v>
      </c>
      <c r="P41" s="18">
        <f t="shared" si="6"/>
        <v>-2.4000000000000057</v>
      </c>
      <c r="Q41" s="18">
        <f t="shared" si="7"/>
        <v>-2.4000000000000057</v>
      </c>
      <c r="R41" s="24">
        <f t="shared" si="8"/>
        <v>25066.79999999993</v>
      </c>
      <c r="S41" s="18">
        <f t="shared" si="3"/>
        <v>8006</v>
      </c>
      <c r="T41" s="18">
        <f t="shared" si="10"/>
        <v>3374</v>
      </c>
      <c r="U41" s="18">
        <f t="shared" si="11"/>
        <v>201</v>
      </c>
      <c r="AD41" s="3"/>
    </row>
    <row r="42" spans="1:30" ht="13.2" customHeight="1" x14ac:dyDescent="0.25">
      <c r="A42" s="3">
        <v>43160</v>
      </c>
      <c r="B42" s="1">
        <f t="shared" si="0"/>
        <v>2018</v>
      </c>
      <c r="C42" s="1" t="str">
        <f t="shared" si="9"/>
        <v>Q1</v>
      </c>
      <c r="D42" s="18">
        <v>7188.8</v>
      </c>
      <c r="E42" s="18">
        <v>7084.1</v>
      </c>
      <c r="F42" s="18">
        <v>210.4</v>
      </c>
      <c r="G42" s="18">
        <v>208.3</v>
      </c>
      <c r="H42" s="18">
        <v>789531.6</v>
      </c>
      <c r="I42" s="18">
        <v>608429.30000000005</v>
      </c>
      <c r="J42" s="18">
        <v>57334.6</v>
      </c>
      <c r="K42" s="4">
        <v>779459</v>
      </c>
      <c r="L42" s="4">
        <v>600187</v>
      </c>
      <c r="M42" s="18">
        <v>31723</v>
      </c>
      <c r="N42" s="18">
        <f t="shared" si="4"/>
        <v>139.80000000000018</v>
      </c>
      <c r="O42" s="18">
        <f t="shared" si="5"/>
        <v>138.10000000000036</v>
      </c>
      <c r="P42" s="18">
        <f t="shared" si="6"/>
        <v>7.2000000000000171</v>
      </c>
      <c r="Q42" s="18">
        <f t="shared" si="7"/>
        <v>7.4000000000000057</v>
      </c>
      <c r="R42" s="24">
        <f t="shared" si="8"/>
        <v>25066.79999999993</v>
      </c>
      <c r="S42" s="18">
        <f t="shared" si="3"/>
        <v>8006</v>
      </c>
      <c r="T42" s="18">
        <f t="shared" si="10"/>
        <v>3374</v>
      </c>
      <c r="U42" s="18">
        <f t="shared" si="11"/>
        <v>201</v>
      </c>
      <c r="AD42" s="3"/>
    </row>
    <row r="43" spans="1:30" ht="13.2" customHeight="1" x14ac:dyDescent="0.25">
      <c r="A43" s="3">
        <v>43191</v>
      </c>
      <c r="B43" s="1">
        <f t="shared" si="0"/>
        <v>2018</v>
      </c>
      <c r="C43" s="1" t="str">
        <f t="shared" si="9"/>
        <v>Q2</v>
      </c>
      <c r="D43" s="18">
        <v>7201.1</v>
      </c>
      <c r="E43" s="18">
        <v>7111.6</v>
      </c>
      <c r="F43" s="18">
        <v>214.5</v>
      </c>
      <c r="G43" s="18">
        <v>213.3</v>
      </c>
      <c r="H43" s="18">
        <v>789531.6</v>
      </c>
      <c r="I43" s="18">
        <v>608429.30000000005</v>
      </c>
      <c r="J43" s="18">
        <v>57334.6</v>
      </c>
      <c r="K43" s="4">
        <v>784896</v>
      </c>
      <c r="L43" s="4">
        <v>604446</v>
      </c>
      <c r="M43" s="18">
        <v>31589</v>
      </c>
      <c r="N43" s="18">
        <f t="shared" si="4"/>
        <v>146</v>
      </c>
      <c r="O43" s="18">
        <f t="shared" si="5"/>
        <v>148</v>
      </c>
      <c r="P43" s="18">
        <f t="shared" si="6"/>
        <v>14.5</v>
      </c>
      <c r="Q43" s="18">
        <f t="shared" si="7"/>
        <v>14.400000000000006</v>
      </c>
      <c r="R43" s="24">
        <f t="shared" si="8"/>
        <v>25066.79999999993</v>
      </c>
      <c r="S43" s="18">
        <f t="shared" si="3"/>
        <v>5437</v>
      </c>
      <c r="T43" s="18">
        <f t="shared" si="10"/>
        <v>4259</v>
      </c>
      <c r="U43" s="18">
        <f t="shared" si="11"/>
        <v>-134</v>
      </c>
      <c r="AD43" s="3"/>
    </row>
    <row r="44" spans="1:30" ht="13.2" customHeight="1" x14ac:dyDescent="0.25">
      <c r="A44" s="3">
        <v>43221</v>
      </c>
      <c r="B44" s="1">
        <f t="shared" si="0"/>
        <v>2018</v>
      </c>
      <c r="C44" s="1" t="str">
        <f t="shared" si="9"/>
        <v>Q2</v>
      </c>
      <c r="D44" s="18">
        <v>7208.5</v>
      </c>
      <c r="E44" s="18">
        <v>7176</v>
      </c>
      <c r="F44" s="18">
        <v>218.3</v>
      </c>
      <c r="G44" s="18">
        <v>219.3</v>
      </c>
      <c r="H44" s="18">
        <v>789531.6</v>
      </c>
      <c r="I44" s="18">
        <v>608429.30000000005</v>
      </c>
      <c r="J44" s="18">
        <v>57334.6</v>
      </c>
      <c r="K44" s="4">
        <v>784896</v>
      </c>
      <c r="L44" s="4">
        <v>604446</v>
      </c>
      <c r="M44" s="18">
        <v>31589</v>
      </c>
      <c r="N44" s="18">
        <f t="shared" si="4"/>
        <v>141.80000000000018</v>
      </c>
      <c r="O44" s="18">
        <f t="shared" si="5"/>
        <v>142.60000000000036</v>
      </c>
      <c r="P44" s="18">
        <f t="shared" si="6"/>
        <v>15.400000000000006</v>
      </c>
      <c r="Q44" s="18">
        <f t="shared" si="7"/>
        <v>15.400000000000006</v>
      </c>
      <c r="R44" s="24">
        <f t="shared" si="8"/>
        <v>25066.79999999993</v>
      </c>
      <c r="S44" s="18">
        <f t="shared" si="3"/>
        <v>5437</v>
      </c>
      <c r="T44" s="18">
        <f t="shared" si="10"/>
        <v>4259</v>
      </c>
      <c r="U44" s="18">
        <f t="shared" si="11"/>
        <v>-134</v>
      </c>
      <c r="AD44" s="3"/>
    </row>
    <row r="45" spans="1:30" ht="13.2" customHeight="1" x14ac:dyDescent="0.25">
      <c r="A45" s="3">
        <v>43252</v>
      </c>
      <c r="B45" s="1">
        <f t="shared" si="0"/>
        <v>2018</v>
      </c>
      <c r="C45" s="1" t="str">
        <f t="shared" si="9"/>
        <v>Q2</v>
      </c>
      <c r="D45" s="18">
        <v>7221.1</v>
      </c>
      <c r="E45" s="18">
        <v>7264.3</v>
      </c>
      <c r="F45" s="18">
        <v>220.4</v>
      </c>
      <c r="G45" s="18">
        <v>223.6</v>
      </c>
      <c r="H45" s="18">
        <v>789531.6</v>
      </c>
      <c r="I45" s="18">
        <v>608429.30000000005</v>
      </c>
      <c r="J45" s="18">
        <v>57334.6</v>
      </c>
      <c r="K45" s="4">
        <v>784896</v>
      </c>
      <c r="L45" s="4">
        <v>604446</v>
      </c>
      <c r="M45" s="18">
        <v>31589</v>
      </c>
      <c r="N45" s="18">
        <f t="shared" si="4"/>
        <v>141.30000000000018</v>
      </c>
      <c r="O45" s="18">
        <f t="shared" si="5"/>
        <v>141.30000000000018</v>
      </c>
      <c r="P45" s="18">
        <f t="shared" si="6"/>
        <v>13.700000000000017</v>
      </c>
      <c r="Q45" s="18">
        <f t="shared" si="7"/>
        <v>13.799999999999983</v>
      </c>
      <c r="R45" s="24">
        <f t="shared" si="8"/>
        <v>25066.79999999993</v>
      </c>
      <c r="S45" s="18">
        <f t="shared" si="3"/>
        <v>5437</v>
      </c>
      <c r="T45" s="18">
        <f t="shared" si="10"/>
        <v>4259</v>
      </c>
      <c r="U45" s="18">
        <f t="shared" si="11"/>
        <v>-134</v>
      </c>
      <c r="AD45" s="3"/>
    </row>
    <row r="46" spans="1:30" ht="13.2" customHeight="1" x14ac:dyDescent="0.25">
      <c r="A46" s="3">
        <v>43282</v>
      </c>
      <c r="B46" s="1">
        <f t="shared" si="0"/>
        <v>2018</v>
      </c>
      <c r="C46" s="1" t="str">
        <f t="shared" si="9"/>
        <v>Q3</v>
      </c>
      <c r="D46" s="18">
        <v>7255</v>
      </c>
      <c r="E46" s="18">
        <v>7345.7</v>
      </c>
      <c r="F46" s="18">
        <v>219.9</v>
      </c>
      <c r="G46" s="18">
        <v>224.7</v>
      </c>
      <c r="H46" s="18">
        <v>789531.6</v>
      </c>
      <c r="I46" s="18">
        <v>608429.30000000005</v>
      </c>
      <c r="J46" s="18">
        <v>57334.6</v>
      </c>
      <c r="K46" s="4">
        <v>794140</v>
      </c>
      <c r="L46" s="4">
        <v>611579</v>
      </c>
      <c r="M46" s="18">
        <v>31769</v>
      </c>
      <c r="N46" s="18">
        <f t="shared" si="4"/>
        <v>153.10000000000036</v>
      </c>
      <c r="O46" s="18">
        <f t="shared" si="5"/>
        <v>149.69999999999982</v>
      </c>
      <c r="P46" s="18">
        <f t="shared" si="6"/>
        <v>12.900000000000006</v>
      </c>
      <c r="Q46" s="18">
        <f t="shared" si="7"/>
        <v>14.799999999999983</v>
      </c>
      <c r="R46" s="24">
        <f t="shared" si="8"/>
        <v>25066.79999999993</v>
      </c>
      <c r="S46" s="18">
        <f t="shared" si="3"/>
        <v>9244</v>
      </c>
      <c r="T46" s="18">
        <f t="shared" si="10"/>
        <v>7133</v>
      </c>
      <c r="U46" s="18">
        <f t="shared" si="11"/>
        <v>180</v>
      </c>
      <c r="AD46" s="3"/>
    </row>
    <row r="47" spans="1:30" ht="13.2" customHeight="1" x14ac:dyDescent="0.25">
      <c r="A47" s="3">
        <v>43313</v>
      </c>
      <c r="B47" s="1">
        <f t="shared" si="0"/>
        <v>2018</v>
      </c>
      <c r="C47" s="1" t="str">
        <f t="shared" si="9"/>
        <v>Q3</v>
      </c>
      <c r="D47" s="18">
        <v>7266.2</v>
      </c>
      <c r="E47" s="18">
        <v>7359.5</v>
      </c>
      <c r="F47" s="18">
        <v>218.3</v>
      </c>
      <c r="G47" s="18">
        <v>221.7</v>
      </c>
      <c r="H47" s="18">
        <v>789531.6</v>
      </c>
      <c r="I47" s="18">
        <v>608429.30000000005</v>
      </c>
      <c r="J47" s="18">
        <v>57334.6</v>
      </c>
      <c r="K47" s="4">
        <v>794140</v>
      </c>
      <c r="L47" s="4">
        <v>611579</v>
      </c>
      <c r="M47" s="18">
        <v>31769</v>
      </c>
      <c r="N47" s="18">
        <f t="shared" si="4"/>
        <v>145.09999999999945</v>
      </c>
      <c r="O47" s="18">
        <f t="shared" si="5"/>
        <v>142.80000000000018</v>
      </c>
      <c r="P47" s="18">
        <f t="shared" si="6"/>
        <v>10.200000000000017</v>
      </c>
      <c r="Q47" s="18">
        <f t="shared" si="7"/>
        <v>11.699999999999989</v>
      </c>
      <c r="R47" s="24">
        <f t="shared" si="8"/>
        <v>25066.79999999993</v>
      </c>
      <c r="S47" s="18">
        <f t="shared" si="3"/>
        <v>9244</v>
      </c>
      <c r="T47" s="18">
        <f t="shared" si="10"/>
        <v>7133</v>
      </c>
      <c r="U47" s="18">
        <f t="shared" si="11"/>
        <v>180</v>
      </c>
      <c r="AD47" s="3"/>
    </row>
    <row r="48" spans="1:30" ht="13.2" customHeight="1" x14ac:dyDescent="0.25">
      <c r="A48" s="3">
        <v>43344</v>
      </c>
      <c r="B48" s="1">
        <f t="shared" si="0"/>
        <v>2018</v>
      </c>
      <c r="C48" s="1" t="str">
        <f t="shared" si="9"/>
        <v>Q3</v>
      </c>
      <c r="D48" s="18">
        <v>7279.6</v>
      </c>
      <c r="E48" s="18">
        <v>7324.4</v>
      </c>
      <c r="F48" s="18">
        <v>216.6</v>
      </c>
      <c r="G48" s="18">
        <v>217.3</v>
      </c>
      <c r="H48" s="18">
        <v>789531.6</v>
      </c>
      <c r="I48" s="18">
        <v>608429.30000000005</v>
      </c>
      <c r="J48" s="18">
        <v>57334.6</v>
      </c>
      <c r="K48" s="4">
        <v>794140</v>
      </c>
      <c r="L48" s="4">
        <v>611579</v>
      </c>
      <c r="M48" s="18">
        <v>31769</v>
      </c>
      <c r="N48" s="18">
        <f t="shared" ref="N48:N79" si="12">D48-D36</f>
        <v>134.80000000000018</v>
      </c>
      <c r="O48" s="18">
        <f t="shared" ref="O48:O79" si="13">E48-E36</f>
        <v>131</v>
      </c>
      <c r="P48" s="18">
        <f t="shared" ref="P48:P79" si="14">F48-F36</f>
        <v>8.5</v>
      </c>
      <c r="Q48" s="18">
        <f t="shared" ref="Q48:Q79" si="15">G48-G36</f>
        <v>9.6000000000000227</v>
      </c>
      <c r="R48" s="24">
        <f t="shared" si="8"/>
        <v>25066.79999999993</v>
      </c>
      <c r="S48" s="18">
        <f t="shared" si="3"/>
        <v>9244</v>
      </c>
      <c r="T48" s="18">
        <f t="shared" si="10"/>
        <v>7133</v>
      </c>
      <c r="U48" s="18">
        <f t="shared" si="11"/>
        <v>180</v>
      </c>
      <c r="AD48" s="3"/>
    </row>
    <row r="49" spans="1:38" ht="13.2" customHeight="1" x14ac:dyDescent="0.25">
      <c r="A49" s="3">
        <v>43374</v>
      </c>
      <c r="B49" s="1">
        <f t="shared" si="0"/>
        <v>2018</v>
      </c>
      <c r="C49" s="1" t="str">
        <f t="shared" si="9"/>
        <v>Q4</v>
      </c>
      <c r="D49" s="18">
        <v>7270.3</v>
      </c>
      <c r="E49" s="18">
        <v>7290.6</v>
      </c>
      <c r="F49" s="18">
        <v>215.2</v>
      </c>
      <c r="G49" s="18">
        <v>214</v>
      </c>
      <c r="H49" s="18">
        <v>789531.6</v>
      </c>
      <c r="I49" s="18">
        <v>608429.30000000005</v>
      </c>
      <c r="J49" s="18">
        <v>57334.6</v>
      </c>
      <c r="K49" s="4">
        <v>799632</v>
      </c>
      <c r="L49" s="4">
        <v>617505</v>
      </c>
      <c r="M49" s="18">
        <v>31552</v>
      </c>
      <c r="N49" s="18">
        <f t="shared" si="12"/>
        <v>109.30000000000018</v>
      </c>
      <c r="O49" s="18">
        <f t="shared" si="13"/>
        <v>105.40000000000055</v>
      </c>
      <c r="P49" s="18">
        <f t="shared" si="14"/>
        <v>5.2999999999999829</v>
      </c>
      <c r="Q49" s="18">
        <f t="shared" si="15"/>
        <v>5.1999999999999886</v>
      </c>
      <c r="R49" s="24">
        <f t="shared" si="8"/>
        <v>25066.79999999993</v>
      </c>
      <c r="S49" s="18">
        <f t="shared" si="3"/>
        <v>5492</v>
      </c>
      <c r="T49" s="18">
        <f t="shared" si="10"/>
        <v>5926</v>
      </c>
      <c r="U49" s="18">
        <f t="shared" si="11"/>
        <v>-217</v>
      </c>
      <c r="AD49" s="3"/>
    </row>
    <row r="50" spans="1:38" ht="13.2" customHeight="1" x14ac:dyDescent="0.25">
      <c r="A50" s="3">
        <v>43405</v>
      </c>
      <c r="B50" s="1">
        <f t="shared" si="0"/>
        <v>2018</v>
      </c>
      <c r="C50" s="1" t="str">
        <f t="shared" si="9"/>
        <v>Q4</v>
      </c>
      <c r="D50" s="18">
        <v>7290</v>
      </c>
      <c r="E50" s="18">
        <v>7288.9</v>
      </c>
      <c r="F50" s="18">
        <v>215.3</v>
      </c>
      <c r="G50" s="18">
        <v>213.5</v>
      </c>
      <c r="H50" s="18">
        <v>789531.6</v>
      </c>
      <c r="I50" s="18">
        <v>608429.30000000005</v>
      </c>
      <c r="J50" s="18">
        <v>57334.6</v>
      </c>
      <c r="K50" s="4">
        <v>799632</v>
      </c>
      <c r="L50" s="4">
        <v>617505</v>
      </c>
      <c r="M50" s="18">
        <v>31552</v>
      </c>
      <c r="N50" s="18">
        <f t="shared" si="12"/>
        <v>105.30000000000018</v>
      </c>
      <c r="O50" s="18">
        <f t="shared" si="13"/>
        <v>102.89999999999964</v>
      </c>
      <c r="P50" s="18">
        <f t="shared" si="14"/>
        <v>6.3000000000000114</v>
      </c>
      <c r="Q50" s="18">
        <f t="shared" si="15"/>
        <v>5.9000000000000057</v>
      </c>
      <c r="R50" s="24">
        <f t="shared" si="8"/>
        <v>25066.79999999993</v>
      </c>
      <c r="S50" s="18">
        <f t="shared" si="3"/>
        <v>5492</v>
      </c>
      <c r="T50" s="18">
        <f t="shared" si="10"/>
        <v>5926</v>
      </c>
      <c r="U50" s="18">
        <f t="shared" si="11"/>
        <v>-217</v>
      </c>
      <c r="AD50" s="3"/>
    </row>
    <row r="51" spans="1:38" ht="13.2" customHeight="1" x14ac:dyDescent="0.25">
      <c r="A51" s="3">
        <v>43435</v>
      </c>
      <c r="B51" s="1">
        <f t="shared" si="0"/>
        <v>2018</v>
      </c>
      <c r="C51" s="1" t="str">
        <f t="shared" si="9"/>
        <v>Q4</v>
      </c>
      <c r="D51" s="18">
        <v>7300.1</v>
      </c>
      <c r="E51" s="18">
        <v>7310.7</v>
      </c>
      <c r="F51" s="18">
        <v>214.3</v>
      </c>
      <c r="G51" s="18">
        <v>212.8</v>
      </c>
      <c r="H51" s="18">
        <v>789531.6</v>
      </c>
      <c r="I51" s="18">
        <v>608429.30000000005</v>
      </c>
      <c r="J51" s="18">
        <v>57334.6</v>
      </c>
      <c r="K51" s="4">
        <v>799632</v>
      </c>
      <c r="L51" s="4">
        <v>617505</v>
      </c>
      <c r="M51" s="18">
        <v>31552</v>
      </c>
      <c r="N51" s="18">
        <f t="shared" si="12"/>
        <v>100.60000000000036</v>
      </c>
      <c r="O51" s="18">
        <f t="shared" si="13"/>
        <v>103.89999999999964</v>
      </c>
      <c r="P51" s="18">
        <f t="shared" si="14"/>
        <v>6.3000000000000114</v>
      </c>
      <c r="Q51" s="18">
        <f t="shared" si="15"/>
        <v>5.7000000000000171</v>
      </c>
      <c r="R51" s="24">
        <f t="shared" si="8"/>
        <v>25066.79999999993</v>
      </c>
      <c r="S51" s="18">
        <f t="shared" si="3"/>
        <v>5492</v>
      </c>
      <c r="T51" s="18">
        <f t="shared" si="10"/>
        <v>5926</v>
      </c>
      <c r="U51" s="18">
        <f t="shared" si="11"/>
        <v>-217</v>
      </c>
      <c r="AD51" s="3"/>
    </row>
    <row r="52" spans="1:38" ht="13.2" customHeight="1" x14ac:dyDescent="0.25">
      <c r="A52" s="3">
        <v>43466</v>
      </c>
      <c r="B52" s="1">
        <f t="shared" ref="B52:B111" si="16">YEAR(A52)</f>
        <v>2019</v>
      </c>
      <c r="C52" s="1" t="str">
        <f t="shared" si="9"/>
        <v>Q1</v>
      </c>
      <c r="D52" s="18">
        <v>7318</v>
      </c>
      <c r="E52" s="18">
        <v>7289.4</v>
      </c>
      <c r="F52" s="18">
        <v>217.1</v>
      </c>
      <c r="G52" s="18">
        <v>215</v>
      </c>
      <c r="H52" s="18">
        <v>807274.5</v>
      </c>
      <c r="I52" s="18">
        <v>626103.1</v>
      </c>
      <c r="J52" s="18">
        <v>59751.3</v>
      </c>
      <c r="K52" s="4">
        <v>800724</v>
      </c>
      <c r="L52" s="4">
        <v>619045</v>
      </c>
      <c r="M52" s="18">
        <v>31743</v>
      </c>
      <c r="N52" s="18">
        <f t="shared" si="12"/>
        <v>118.60000000000036</v>
      </c>
      <c r="O52" s="18">
        <f t="shared" si="13"/>
        <v>122.09999999999945</v>
      </c>
      <c r="P52" s="18">
        <f t="shared" si="14"/>
        <v>10.199999999999989</v>
      </c>
      <c r="Q52" s="18">
        <f t="shared" si="15"/>
        <v>9.5999999999999943</v>
      </c>
      <c r="R52" s="24">
        <f t="shared" si="8"/>
        <v>17742.900000000023</v>
      </c>
      <c r="S52" s="18">
        <f t="shared" si="3"/>
        <v>1092</v>
      </c>
      <c r="T52" s="18">
        <f t="shared" si="10"/>
        <v>1540</v>
      </c>
      <c r="U52" s="18">
        <f t="shared" si="11"/>
        <v>191</v>
      </c>
      <c r="AD52" s="3"/>
    </row>
    <row r="53" spans="1:38" ht="13.2" customHeight="1" x14ac:dyDescent="0.25">
      <c r="A53" s="3">
        <v>43497</v>
      </c>
      <c r="B53" s="1">
        <f t="shared" si="16"/>
        <v>2019</v>
      </c>
      <c r="C53" s="1" t="str">
        <f t="shared" si="9"/>
        <v>Q1</v>
      </c>
      <c r="D53" s="18">
        <v>7345.4</v>
      </c>
      <c r="E53" s="18">
        <v>7278.4</v>
      </c>
      <c r="F53" s="18">
        <v>219.1</v>
      </c>
      <c r="G53" s="18">
        <v>217</v>
      </c>
      <c r="H53" s="18">
        <v>807274.5</v>
      </c>
      <c r="I53" s="18">
        <v>626103.1</v>
      </c>
      <c r="J53" s="18">
        <v>59751.3</v>
      </c>
      <c r="K53" s="4">
        <v>800724</v>
      </c>
      <c r="L53" s="4">
        <v>619045</v>
      </c>
      <c r="M53" s="18">
        <v>31743</v>
      </c>
      <c r="N53" s="18">
        <f t="shared" si="12"/>
        <v>156.5</v>
      </c>
      <c r="O53" s="18">
        <f t="shared" si="13"/>
        <v>158.29999999999927</v>
      </c>
      <c r="P53" s="18">
        <f t="shared" si="14"/>
        <v>11.699999999999989</v>
      </c>
      <c r="Q53" s="18">
        <f t="shared" si="15"/>
        <v>11.400000000000006</v>
      </c>
      <c r="R53" s="24">
        <f t="shared" si="8"/>
        <v>17742.900000000023</v>
      </c>
      <c r="S53" s="18">
        <f t="shared" si="3"/>
        <v>1092</v>
      </c>
      <c r="T53" s="18">
        <f t="shared" si="10"/>
        <v>1540</v>
      </c>
      <c r="U53" s="18">
        <f t="shared" si="11"/>
        <v>191</v>
      </c>
      <c r="AD53" s="3"/>
    </row>
    <row r="54" spans="1:38" ht="13.2" customHeight="1" x14ac:dyDescent="0.25">
      <c r="A54" s="3">
        <v>43525</v>
      </c>
      <c r="B54" s="1">
        <f t="shared" si="16"/>
        <v>2019</v>
      </c>
      <c r="C54" s="1" t="str">
        <f t="shared" si="9"/>
        <v>Q1</v>
      </c>
      <c r="D54" s="18">
        <v>7361.3</v>
      </c>
      <c r="E54" s="18">
        <v>7256.9</v>
      </c>
      <c r="F54" s="18">
        <v>221.6</v>
      </c>
      <c r="G54" s="18">
        <v>219.6</v>
      </c>
      <c r="H54" s="18">
        <v>807274.5</v>
      </c>
      <c r="I54" s="18">
        <v>626103.1</v>
      </c>
      <c r="J54" s="18">
        <v>59751.3</v>
      </c>
      <c r="K54" s="4">
        <v>800724</v>
      </c>
      <c r="L54" s="4">
        <v>619045</v>
      </c>
      <c r="M54" s="18">
        <v>31743</v>
      </c>
      <c r="N54" s="18">
        <f t="shared" si="12"/>
        <v>172.5</v>
      </c>
      <c r="O54" s="18">
        <f t="shared" si="13"/>
        <v>172.79999999999927</v>
      </c>
      <c r="P54" s="18">
        <f t="shared" si="14"/>
        <v>11.199999999999989</v>
      </c>
      <c r="Q54" s="18">
        <f t="shared" si="15"/>
        <v>11.299999999999983</v>
      </c>
      <c r="R54" s="24">
        <f t="shared" si="8"/>
        <v>17742.900000000023</v>
      </c>
      <c r="S54" s="18">
        <f t="shared" si="3"/>
        <v>1092</v>
      </c>
      <c r="T54" s="18">
        <f t="shared" si="10"/>
        <v>1540</v>
      </c>
      <c r="U54" s="18">
        <f t="shared" si="11"/>
        <v>191</v>
      </c>
      <c r="AD54" s="3"/>
    </row>
    <row r="55" spans="1:38" ht="13.2" customHeight="1" x14ac:dyDescent="0.25">
      <c r="A55" s="3">
        <v>43556</v>
      </c>
      <c r="B55" s="1">
        <f t="shared" si="16"/>
        <v>2019</v>
      </c>
      <c r="C55" s="1" t="str">
        <f t="shared" si="9"/>
        <v>Q2</v>
      </c>
      <c r="D55" s="18">
        <v>7382.3</v>
      </c>
      <c r="E55" s="18">
        <v>7294</v>
      </c>
      <c r="F55" s="18">
        <v>220.7</v>
      </c>
      <c r="G55" s="18">
        <v>220.1</v>
      </c>
      <c r="H55" s="18">
        <v>807274.5</v>
      </c>
      <c r="I55" s="18">
        <v>626103.1</v>
      </c>
      <c r="J55" s="18">
        <v>59751.3</v>
      </c>
      <c r="K55" s="4">
        <v>806630</v>
      </c>
      <c r="L55" s="4">
        <v>624723</v>
      </c>
      <c r="M55" s="18">
        <v>32769</v>
      </c>
      <c r="N55" s="18">
        <f t="shared" si="12"/>
        <v>181.19999999999982</v>
      </c>
      <c r="O55" s="18">
        <f t="shared" si="13"/>
        <v>182.39999999999964</v>
      </c>
      <c r="P55" s="18">
        <f t="shared" si="14"/>
        <v>6.1999999999999886</v>
      </c>
      <c r="Q55" s="18">
        <f t="shared" si="15"/>
        <v>6.7999999999999829</v>
      </c>
      <c r="R55" s="24">
        <f t="shared" si="8"/>
        <v>17742.900000000023</v>
      </c>
      <c r="S55" s="18">
        <f t="shared" si="3"/>
        <v>5906</v>
      </c>
      <c r="T55" s="18">
        <f t="shared" si="10"/>
        <v>5678</v>
      </c>
      <c r="U55" s="18">
        <f t="shared" si="11"/>
        <v>1026</v>
      </c>
      <c r="W55" s="441"/>
      <c r="AD55" s="3"/>
    </row>
    <row r="56" spans="1:38" ht="13.2" customHeight="1" x14ac:dyDescent="0.25">
      <c r="A56" s="3">
        <v>43586</v>
      </c>
      <c r="B56" s="1">
        <f t="shared" si="16"/>
        <v>2019</v>
      </c>
      <c r="C56" s="1" t="str">
        <f t="shared" si="9"/>
        <v>Q2</v>
      </c>
      <c r="D56" s="18">
        <v>7398.9</v>
      </c>
      <c r="E56" s="18">
        <v>7366.8</v>
      </c>
      <c r="F56" s="18">
        <v>219.3</v>
      </c>
      <c r="G56" s="18">
        <v>220.9</v>
      </c>
      <c r="H56" s="18">
        <v>807274.5</v>
      </c>
      <c r="I56" s="18">
        <v>626103.1</v>
      </c>
      <c r="J56" s="18">
        <v>59751.3</v>
      </c>
      <c r="K56" s="4">
        <v>806630</v>
      </c>
      <c r="L56" s="4">
        <v>624723</v>
      </c>
      <c r="M56" s="18">
        <v>32769</v>
      </c>
      <c r="N56" s="18">
        <f t="shared" si="12"/>
        <v>190.39999999999964</v>
      </c>
      <c r="O56" s="18">
        <f t="shared" si="13"/>
        <v>190.80000000000018</v>
      </c>
      <c r="P56" s="18">
        <f t="shared" si="14"/>
        <v>1</v>
      </c>
      <c r="Q56" s="18">
        <f t="shared" si="15"/>
        <v>1.5999999999999943</v>
      </c>
      <c r="R56" s="24">
        <f t="shared" si="8"/>
        <v>17742.900000000023</v>
      </c>
      <c r="S56" s="18">
        <f t="shared" si="3"/>
        <v>5906</v>
      </c>
      <c r="T56" s="18">
        <f t="shared" si="10"/>
        <v>5678</v>
      </c>
      <c r="U56" s="18">
        <f t="shared" si="11"/>
        <v>1026</v>
      </c>
      <c r="W56" s="441"/>
      <c r="AD56" s="3"/>
    </row>
    <row r="57" spans="1:38" ht="13.2" customHeight="1" x14ac:dyDescent="0.25">
      <c r="A57" s="3">
        <v>43617</v>
      </c>
      <c r="B57" s="1">
        <f t="shared" si="16"/>
        <v>2019</v>
      </c>
      <c r="C57" s="1" t="str">
        <f t="shared" si="9"/>
        <v>Q2</v>
      </c>
      <c r="D57" s="18">
        <v>7420.3</v>
      </c>
      <c r="E57" s="18">
        <v>7460.9</v>
      </c>
      <c r="F57" s="18">
        <v>218.5</v>
      </c>
      <c r="G57" s="18">
        <v>222.2</v>
      </c>
      <c r="H57" s="18">
        <v>807274.5</v>
      </c>
      <c r="I57" s="18">
        <v>626103.1</v>
      </c>
      <c r="J57" s="18">
        <v>59751.3</v>
      </c>
      <c r="K57" s="4">
        <v>806630</v>
      </c>
      <c r="L57" s="4">
        <v>624723</v>
      </c>
      <c r="M57" s="18">
        <v>32769</v>
      </c>
      <c r="N57" s="18">
        <f t="shared" si="12"/>
        <v>199.19999999999982</v>
      </c>
      <c r="O57" s="18">
        <f t="shared" si="13"/>
        <v>196.59999999999945</v>
      </c>
      <c r="P57" s="18">
        <f t="shared" si="14"/>
        <v>-1.9000000000000057</v>
      </c>
      <c r="Q57" s="18">
        <f t="shared" si="15"/>
        <v>-1.4000000000000057</v>
      </c>
      <c r="R57" s="24">
        <f t="shared" si="8"/>
        <v>17742.900000000023</v>
      </c>
      <c r="S57" s="18">
        <f t="shared" si="3"/>
        <v>5906</v>
      </c>
      <c r="T57" s="18">
        <f t="shared" si="10"/>
        <v>5678</v>
      </c>
      <c r="U57" s="18">
        <f t="shared" si="11"/>
        <v>1026</v>
      </c>
      <c r="W57" s="441"/>
      <c r="AD57" s="3"/>
    </row>
    <row r="58" spans="1:38" ht="13.2" customHeight="1" x14ac:dyDescent="0.25">
      <c r="A58" s="3">
        <v>43647</v>
      </c>
      <c r="B58" s="1">
        <f t="shared" si="16"/>
        <v>2019</v>
      </c>
      <c r="C58" s="1" t="str">
        <f t="shared" si="9"/>
        <v>Q3</v>
      </c>
      <c r="D58" s="18">
        <v>7423.6</v>
      </c>
      <c r="E58" s="18">
        <v>7509.9</v>
      </c>
      <c r="F58" s="18">
        <v>217</v>
      </c>
      <c r="G58" s="18">
        <v>221.7</v>
      </c>
      <c r="H58" s="18">
        <v>807274.5</v>
      </c>
      <c r="I58" s="18">
        <v>626103.1</v>
      </c>
      <c r="J58" s="18">
        <v>59751.3</v>
      </c>
      <c r="K58" s="4">
        <v>810347</v>
      </c>
      <c r="L58" s="4">
        <v>628879</v>
      </c>
      <c r="M58" s="18">
        <v>33162</v>
      </c>
      <c r="N58" s="18">
        <f t="shared" si="12"/>
        <v>168.60000000000036</v>
      </c>
      <c r="O58" s="18">
        <f t="shared" si="13"/>
        <v>164.19999999999982</v>
      </c>
      <c r="P58" s="18">
        <f t="shared" si="14"/>
        <v>-2.9000000000000057</v>
      </c>
      <c r="Q58" s="18">
        <f t="shared" si="15"/>
        <v>-3</v>
      </c>
      <c r="R58" s="24">
        <f t="shared" si="8"/>
        <v>17742.900000000023</v>
      </c>
      <c r="S58" s="18">
        <f t="shared" si="3"/>
        <v>3717</v>
      </c>
      <c r="T58" s="18">
        <f t="shared" si="10"/>
        <v>4156</v>
      </c>
      <c r="U58" s="18">
        <f t="shared" si="11"/>
        <v>393</v>
      </c>
      <c r="AD58" s="3"/>
    </row>
    <row r="59" spans="1:38" ht="13.2" customHeight="1" x14ac:dyDescent="0.25">
      <c r="A59" s="3">
        <v>43678</v>
      </c>
      <c r="B59" s="1">
        <f t="shared" si="16"/>
        <v>2019</v>
      </c>
      <c r="C59" s="1" t="str">
        <f t="shared" si="9"/>
        <v>Q3</v>
      </c>
      <c r="D59" s="18">
        <v>7433.8</v>
      </c>
      <c r="E59" s="18">
        <v>7523.3</v>
      </c>
      <c r="F59" s="18">
        <v>214.2</v>
      </c>
      <c r="G59" s="18">
        <v>217.2</v>
      </c>
      <c r="H59" s="18">
        <v>807274.5</v>
      </c>
      <c r="I59" s="18">
        <v>626103.1</v>
      </c>
      <c r="J59" s="18">
        <v>59751.3</v>
      </c>
      <c r="K59" s="4">
        <v>810347</v>
      </c>
      <c r="L59" s="4">
        <v>628879</v>
      </c>
      <c r="M59" s="18">
        <v>33162</v>
      </c>
      <c r="N59" s="18">
        <f t="shared" si="12"/>
        <v>167.60000000000036</v>
      </c>
      <c r="O59" s="18">
        <f t="shared" si="13"/>
        <v>163.80000000000018</v>
      </c>
      <c r="P59" s="18">
        <f t="shared" si="14"/>
        <v>-4.1000000000000227</v>
      </c>
      <c r="Q59" s="18">
        <f t="shared" si="15"/>
        <v>-4.5</v>
      </c>
      <c r="R59" s="24">
        <f t="shared" si="8"/>
        <v>17742.900000000023</v>
      </c>
      <c r="S59" s="18">
        <f t="shared" si="3"/>
        <v>3717</v>
      </c>
      <c r="T59" s="18">
        <f t="shared" si="10"/>
        <v>4156</v>
      </c>
      <c r="U59" s="18">
        <f t="shared" si="11"/>
        <v>393</v>
      </c>
      <c r="AD59" s="3"/>
    </row>
    <row r="60" spans="1:38" ht="13.2" customHeight="1" x14ac:dyDescent="0.25">
      <c r="A60" s="3">
        <v>43709</v>
      </c>
      <c r="B60" s="1">
        <f t="shared" si="16"/>
        <v>2019</v>
      </c>
      <c r="C60" s="1" t="str">
        <f t="shared" si="9"/>
        <v>Q3</v>
      </c>
      <c r="D60" s="18">
        <v>7448.5</v>
      </c>
      <c r="E60" s="18">
        <v>7505.1</v>
      </c>
      <c r="F60" s="18">
        <v>210</v>
      </c>
      <c r="G60" s="18">
        <v>210.7</v>
      </c>
      <c r="H60" s="18">
        <v>807274.5</v>
      </c>
      <c r="I60" s="18">
        <v>626103.1</v>
      </c>
      <c r="J60" s="18">
        <v>59751.3</v>
      </c>
      <c r="K60" s="4">
        <v>810347</v>
      </c>
      <c r="L60" s="4">
        <v>628879</v>
      </c>
      <c r="M60" s="18">
        <v>33162</v>
      </c>
      <c r="N60" s="18">
        <f t="shared" si="12"/>
        <v>168.89999999999964</v>
      </c>
      <c r="O60" s="18">
        <f t="shared" si="13"/>
        <v>180.70000000000073</v>
      </c>
      <c r="P60" s="18">
        <f t="shared" si="14"/>
        <v>-6.5999999999999943</v>
      </c>
      <c r="Q60" s="18">
        <f t="shared" si="15"/>
        <v>-6.6000000000000227</v>
      </c>
      <c r="R60" s="24">
        <f t="shared" si="8"/>
        <v>17742.900000000023</v>
      </c>
      <c r="S60" s="18">
        <f t="shared" si="3"/>
        <v>3717</v>
      </c>
      <c r="T60" s="18">
        <f t="shared" si="10"/>
        <v>4156</v>
      </c>
      <c r="U60" s="18">
        <f t="shared" si="11"/>
        <v>393</v>
      </c>
      <c r="AD60" s="3"/>
    </row>
    <row r="61" spans="1:38" ht="13.2" customHeight="1" x14ac:dyDescent="0.25">
      <c r="A61" s="3">
        <v>43739</v>
      </c>
      <c r="B61" s="1">
        <f t="shared" si="16"/>
        <v>2019</v>
      </c>
      <c r="C61" s="1" t="str">
        <f t="shared" si="9"/>
        <v>Q4</v>
      </c>
      <c r="D61" s="18">
        <v>7462.2</v>
      </c>
      <c r="E61" s="18">
        <v>7501.2</v>
      </c>
      <c r="F61" s="18">
        <v>207.5</v>
      </c>
      <c r="G61" s="18">
        <v>206.1</v>
      </c>
      <c r="H61" s="18">
        <v>807274.5</v>
      </c>
      <c r="I61" s="18">
        <v>626103.1</v>
      </c>
      <c r="J61" s="18">
        <v>59751.3</v>
      </c>
      <c r="K61" s="4">
        <v>811397</v>
      </c>
      <c r="L61" s="4">
        <v>631766</v>
      </c>
      <c r="M61" s="18">
        <v>33770</v>
      </c>
      <c r="N61" s="18">
        <f t="shared" si="12"/>
        <v>191.89999999999964</v>
      </c>
      <c r="O61" s="18">
        <f t="shared" si="13"/>
        <v>210.59999999999945</v>
      </c>
      <c r="P61" s="18">
        <f t="shared" si="14"/>
        <v>-7.6999999999999886</v>
      </c>
      <c r="Q61" s="18">
        <f t="shared" si="15"/>
        <v>-7.9000000000000057</v>
      </c>
      <c r="R61" s="24">
        <f t="shared" si="8"/>
        <v>17742.900000000023</v>
      </c>
      <c r="S61" s="18">
        <f t="shared" si="3"/>
        <v>1050</v>
      </c>
      <c r="T61" s="18">
        <f t="shared" si="10"/>
        <v>2887</v>
      </c>
      <c r="U61" s="18">
        <f t="shared" si="11"/>
        <v>608</v>
      </c>
      <c r="AD61" s="3"/>
    </row>
    <row r="62" spans="1:38" ht="13.2" customHeight="1" x14ac:dyDescent="0.25">
      <c r="A62" s="3">
        <v>43770</v>
      </c>
      <c r="B62" s="1">
        <f t="shared" si="16"/>
        <v>2019</v>
      </c>
      <c r="C62" s="1" t="str">
        <f t="shared" si="9"/>
        <v>Q4</v>
      </c>
      <c r="D62" s="18">
        <v>7470.1</v>
      </c>
      <c r="E62" s="18">
        <v>7488.3</v>
      </c>
      <c r="F62" s="18">
        <v>206.3</v>
      </c>
      <c r="G62" s="18">
        <v>203.6</v>
      </c>
      <c r="H62" s="18">
        <v>807274.5</v>
      </c>
      <c r="I62" s="18">
        <v>626103.1</v>
      </c>
      <c r="J62" s="18">
        <v>59751.3</v>
      </c>
      <c r="K62" s="4">
        <v>811397</v>
      </c>
      <c r="L62" s="4">
        <v>631766</v>
      </c>
      <c r="M62" s="18">
        <v>33770</v>
      </c>
      <c r="N62" s="18">
        <f t="shared" si="12"/>
        <v>180.10000000000036</v>
      </c>
      <c r="O62" s="18">
        <f t="shared" si="13"/>
        <v>199.40000000000055</v>
      </c>
      <c r="P62" s="18">
        <f t="shared" si="14"/>
        <v>-9</v>
      </c>
      <c r="Q62" s="18">
        <f t="shared" si="15"/>
        <v>-9.9000000000000057</v>
      </c>
      <c r="R62" s="24">
        <f t="shared" si="8"/>
        <v>17742.900000000023</v>
      </c>
      <c r="S62" s="18">
        <f t="shared" si="3"/>
        <v>1050</v>
      </c>
      <c r="T62" s="18">
        <f t="shared" si="10"/>
        <v>2887</v>
      </c>
      <c r="U62" s="18">
        <f t="shared" si="11"/>
        <v>608</v>
      </c>
      <c r="AD62" s="3"/>
    </row>
    <row r="63" spans="1:38" ht="13.2" customHeight="1" x14ac:dyDescent="0.25">
      <c r="A63" s="3">
        <v>43800</v>
      </c>
      <c r="B63" s="1">
        <f t="shared" si="16"/>
        <v>2019</v>
      </c>
      <c r="C63" s="1" t="str">
        <f t="shared" si="9"/>
        <v>Q4</v>
      </c>
      <c r="D63" s="18">
        <v>7482.6</v>
      </c>
      <c r="E63" s="18">
        <v>7493.8</v>
      </c>
      <c r="F63" s="18">
        <v>207.6</v>
      </c>
      <c r="G63" s="18">
        <v>204.9</v>
      </c>
      <c r="H63" s="18">
        <v>807274.5</v>
      </c>
      <c r="I63" s="18">
        <v>626103.1</v>
      </c>
      <c r="J63" s="18">
        <v>59751.3</v>
      </c>
      <c r="K63" s="4">
        <v>811397</v>
      </c>
      <c r="L63" s="4">
        <v>631766</v>
      </c>
      <c r="M63" s="18">
        <v>33770</v>
      </c>
      <c r="N63" s="18">
        <f t="shared" si="12"/>
        <v>182.5</v>
      </c>
      <c r="O63" s="18">
        <f t="shared" si="13"/>
        <v>183.10000000000036</v>
      </c>
      <c r="P63" s="18">
        <f t="shared" si="14"/>
        <v>-6.7000000000000171</v>
      </c>
      <c r="Q63" s="18">
        <f t="shared" si="15"/>
        <v>-7.9000000000000057</v>
      </c>
      <c r="R63" s="24">
        <f t="shared" si="8"/>
        <v>17742.900000000023</v>
      </c>
      <c r="S63" s="18">
        <f t="shared" si="3"/>
        <v>1050</v>
      </c>
      <c r="T63" s="18">
        <f t="shared" si="10"/>
        <v>2887</v>
      </c>
      <c r="U63" s="18">
        <f t="shared" si="11"/>
        <v>608</v>
      </c>
      <c r="AD63" s="3"/>
    </row>
    <row r="64" spans="1:38" ht="13.2" customHeight="1" x14ac:dyDescent="0.25">
      <c r="A64" s="3">
        <v>43831</v>
      </c>
      <c r="B64" s="1">
        <f t="shared" si="16"/>
        <v>2020</v>
      </c>
      <c r="C64" s="1" t="str">
        <f t="shared" si="9"/>
        <v>Q1</v>
      </c>
      <c r="D64" s="18">
        <v>7504.9</v>
      </c>
      <c r="E64" s="18">
        <v>7471.6</v>
      </c>
      <c r="F64" s="18">
        <v>208.1</v>
      </c>
      <c r="G64" s="18">
        <v>205.5</v>
      </c>
      <c r="H64" s="18">
        <v>769942</v>
      </c>
      <c r="I64" s="18">
        <v>596521.6</v>
      </c>
      <c r="J64" s="18">
        <v>58159</v>
      </c>
      <c r="K64" s="4">
        <v>800126</v>
      </c>
      <c r="L64" s="4">
        <v>621238</v>
      </c>
      <c r="M64" s="18">
        <v>30738</v>
      </c>
      <c r="N64" s="18">
        <f t="shared" si="12"/>
        <v>186.89999999999964</v>
      </c>
      <c r="O64" s="18">
        <f t="shared" si="13"/>
        <v>182.20000000000073</v>
      </c>
      <c r="P64" s="18">
        <f t="shared" si="14"/>
        <v>-9</v>
      </c>
      <c r="Q64" s="18">
        <f t="shared" si="15"/>
        <v>-9.5</v>
      </c>
      <c r="R64" s="24">
        <f t="shared" si="8"/>
        <v>-37332.5</v>
      </c>
      <c r="S64" s="18">
        <f t="shared" si="3"/>
        <v>-11271</v>
      </c>
      <c r="T64" s="18">
        <f t="shared" si="10"/>
        <v>-10528</v>
      </c>
      <c r="U64" s="18">
        <f t="shared" si="11"/>
        <v>-3032</v>
      </c>
      <c r="V64" s="442"/>
      <c r="W64" s="18"/>
      <c r="X64" s="18"/>
      <c r="Y64" s="18"/>
      <c r="Z64" s="18"/>
      <c r="AA64" s="18"/>
      <c r="AD64" s="3"/>
      <c r="AF64" s="443"/>
      <c r="AG64" s="443"/>
      <c r="AH64" s="443"/>
      <c r="AI64" s="443"/>
      <c r="AJ64" s="443"/>
      <c r="AK64" s="443"/>
      <c r="AL64" s="443"/>
    </row>
    <row r="65" spans="1:38" ht="13.2" customHeight="1" x14ac:dyDescent="0.25">
      <c r="A65" s="3">
        <v>43862</v>
      </c>
      <c r="B65" s="1">
        <f t="shared" si="16"/>
        <v>2020</v>
      </c>
      <c r="C65" s="1" t="str">
        <f t="shared" si="9"/>
        <v>Q1</v>
      </c>
      <c r="D65" s="18">
        <v>7512.3</v>
      </c>
      <c r="E65" s="18">
        <v>7442.1</v>
      </c>
      <c r="F65" s="18">
        <v>210.7</v>
      </c>
      <c r="G65" s="18">
        <v>208.8</v>
      </c>
      <c r="H65" s="18">
        <v>769942</v>
      </c>
      <c r="I65" s="18">
        <v>596521.6</v>
      </c>
      <c r="J65" s="18">
        <v>58159</v>
      </c>
      <c r="K65" s="4">
        <v>800126</v>
      </c>
      <c r="L65" s="4">
        <v>621238</v>
      </c>
      <c r="M65" s="18">
        <v>30738</v>
      </c>
      <c r="N65" s="18">
        <f t="shared" si="12"/>
        <v>166.90000000000055</v>
      </c>
      <c r="O65" s="18">
        <f t="shared" si="13"/>
        <v>163.70000000000073</v>
      </c>
      <c r="P65" s="18">
        <f t="shared" si="14"/>
        <v>-8.4000000000000057</v>
      </c>
      <c r="Q65" s="18">
        <f t="shared" si="15"/>
        <v>-8.1999999999999886</v>
      </c>
      <c r="R65" s="24">
        <f t="shared" si="8"/>
        <v>-37332.5</v>
      </c>
      <c r="S65" s="18">
        <f t="shared" si="3"/>
        <v>-11271</v>
      </c>
      <c r="T65" s="18">
        <f t="shared" si="10"/>
        <v>-10528</v>
      </c>
      <c r="U65" s="18">
        <f t="shared" si="11"/>
        <v>-3032</v>
      </c>
      <c r="V65" s="442"/>
      <c r="W65" s="18"/>
      <c r="X65" s="18"/>
      <c r="Y65" s="18"/>
      <c r="Z65" s="18"/>
      <c r="AA65" s="18"/>
      <c r="AD65" s="3"/>
      <c r="AF65" s="443"/>
      <c r="AG65" s="443"/>
      <c r="AH65" s="443"/>
      <c r="AI65" s="443"/>
      <c r="AJ65" s="443"/>
      <c r="AK65" s="443"/>
      <c r="AL65" s="443"/>
    </row>
    <row r="66" spans="1:38" ht="13.2" customHeight="1" x14ac:dyDescent="0.25">
      <c r="A66" s="3">
        <v>43891</v>
      </c>
      <c r="B66" s="1">
        <f t="shared" si="16"/>
        <v>2020</v>
      </c>
      <c r="C66" s="1" t="str">
        <f t="shared" si="9"/>
        <v>Q1</v>
      </c>
      <c r="D66" s="18">
        <v>7358</v>
      </c>
      <c r="E66" s="18">
        <v>7256.2</v>
      </c>
      <c r="F66" s="18">
        <v>208.3</v>
      </c>
      <c r="G66" s="18">
        <v>207.2</v>
      </c>
      <c r="H66" s="18">
        <v>769942</v>
      </c>
      <c r="I66" s="18">
        <v>596521.6</v>
      </c>
      <c r="J66" s="18">
        <v>58159</v>
      </c>
      <c r="K66" s="4">
        <v>800126</v>
      </c>
      <c r="L66" s="4">
        <v>621238</v>
      </c>
      <c r="M66" s="18">
        <v>30738</v>
      </c>
      <c r="N66" s="18">
        <f t="shared" si="12"/>
        <v>-3.3000000000001819</v>
      </c>
      <c r="O66" s="18">
        <f t="shared" si="13"/>
        <v>-0.6999999999998181</v>
      </c>
      <c r="P66" s="18">
        <f t="shared" si="14"/>
        <v>-13.299999999999983</v>
      </c>
      <c r="Q66" s="18">
        <f t="shared" si="15"/>
        <v>-12.400000000000006</v>
      </c>
      <c r="R66" s="24">
        <f t="shared" si="8"/>
        <v>-37332.5</v>
      </c>
      <c r="S66" s="18">
        <f t="shared" si="3"/>
        <v>-11271</v>
      </c>
      <c r="T66" s="18">
        <f t="shared" si="10"/>
        <v>-10528</v>
      </c>
      <c r="U66" s="18">
        <f t="shared" si="11"/>
        <v>-3032</v>
      </c>
      <c r="V66" s="442"/>
      <c r="W66" s="18"/>
      <c r="X66" s="18"/>
      <c r="Y66" s="18"/>
      <c r="Z66" s="18"/>
      <c r="AA66" s="18"/>
      <c r="AD66" s="3"/>
      <c r="AF66" s="443"/>
      <c r="AG66" s="443"/>
      <c r="AH66" s="443"/>
      <c r="AI66" s="443"/>
      <c r="AJ66" s="443"/>
      <c r="AK66" s="443"/>
      <c r="AL66" s="443"/>
    </row>
    <row r="67" spans="1:38" ht="13.2" customHeight="1" x14ac:dyDescent="0.25">
      <c r="A67" s="3">
        <v>43922</v>
      </c>
      <c r="B67" s="1">
        <f t="shared" si="16"/>
        <v>2020</v>
      </c>
      <c r="C67" s="1" t="str">
        <f t="shared" si="9"/>
        <v>Q2</v>
      </c>
      <c r="D67" s="18">
        <v>6963.7</v>
      </c>
      <c r="E67" s="18">
        <v>6885.2</v>
      </c>
      <c r="F67" s="18">
        <v>201.9</v>
      </c>
      <c r="G67" s="18">
        <v>202.3</v>
      </c>
      <c r="H67" s="18">
        <v>769942</v>
      </c>
      <c r="I67" s="18">
        <v>596521.6</v>
      </c>
      <c r="J67" s="18">
        <v>58159</v>
      </c>
      <c r="K67" s="4">
        <v>706539</v>
      </c>
      <c r="L67" s="4">
        <v>552481</v>
      </c>
      <c r="M67" s="18">
        <v>20965</v>
      </c>
      <c r="N67" s="18">
        <f t="shared" si="12"/>
        <v>-418.60000000000036</v>
      </c>
      <c r="O67" s="18">
        <f t="shared" si="13"/>
        <v>-408.80000000000018</v>
      </c>
      <c r="P67" s="18">
        <f t="shared" si="14"/>
        <v>-18.799999999999983</v>
      </c>
      <c r="Q67" s="18">
        <f t="shared" si="15"/>
        <v>-17.799999999999983</v>
      </c>
      <c r="R67" s="24">
        <f t="shared" si="8"/>
        <v>-37332.5</v>
      </c>
      <c r="S67" s="18">
        <f t="shared" si="3"/>
        <v>-93587</v>
      </c>
      <c r="T67" s="18">
        <f t="shared" si="10"/>
        <v>-68757</v>
      </c>
      <c r="U67" s="18">
        <f t="shared" si="11"/>
        <v>-9773</v>
      </c>
      <c r="V67" s="442"/>
      <c r="W67" s="18"/>
      <c r="X67" s="18"/>
      <c r="Y67" s="18"/>
      <c r="Z67" s="18"/>
      <c r="AA67" s="18"/>
      <c r="AD67" s="3"/>
      <c r="AF67" s="443"/>
      <c r="AG67" s="443"/>
      <c r="AH67" s="443"/>
      <c r="AI67" s="443"/>
      <c r="AJ67" s="443"/>
      <c r="AK67" s="443"/>
      <c r="AL67" s="443"/>
    </row>
    <row r="68" spans="1:38" ht="13.2" customHeight="1" x14ac:dyDescent="0.25">
      <c r="A68" s="3">
        <v>43952</v>
      </c>
      <c r="B68" s="1">
        <f t="shared" si="16"/>
        <v>2020</v>
      </c>
      <c r="C68" s="1" t="str">
        <f t="shared" si="9"/>
        <v>Q2</v>
      </c>
      <c r="D68" s="18">
        <v>6568.2</v>
      </c>
      <c r="E68" s="18">
        <v>6536.7</v>
      </c>
      <c r="F68" s="18">
        <v>193.3</v>
      </c>
      <c r="G68" s="18">
        <v>195.5</v>
      </c>
      <c r="H68" s="18">
        <v>769942</v>
      </c>
      <c r="I68" s="18">
        <v>596521.6</v>
      </c>
      <c r="J68" s="18">
        <v>58159</v>
      </c>
      <c r="K68" s="4">
        <v>706539</v>
      </c>
      <c r="L68" s="4">
        <v>552481</v>
      </c>
      <c r="M68" s="18">
        <v>20965</v>
      </c>
      <c r="N68" s="18">
        <f t="shared" si="12"/>
        <v>-830.69999999999982</v>
      </c>
      <c r="O68" s="18">
        <f t="shared" si="13"/>
        <v>-830.10000000000036</v>
      </c>
      <c r="P68" s="18">
        <f t="shared" si="14"/>
        <v>-26</v>
      </c>
      <c r="Q68" s="18">
        <f t="shared" si="15"/>
        <v>-25.400000000000006</v>
      </c>
      <c r="R68" s="24">
        <f t="shared" si="8"/>
        <v>-37332.5</v>
      </c>
      <c r="S68" s="18">
        <f t="shared" si="3"/>
        <v>-93587</v>
      </c>
      <c r="T68" s="18">
        <f t="shared" si="10"/>
        <v>-68757</v>
      </c>
      <c r="U68" s="18">
        <f t="shared" si="11"/>
        <v>-9773</v>
      </c>
      <c r="V68" s="442"/>
      <c r="W68" s="18"/>
      <c r="X68" s="18"/>
      <c r="Y68" s="18"/>
      <c r="Z68" s="18"/>
      <c r="AA68" s="18"/>
      <c r="AD68" s="3"/>
      <c r="AF68" s="443"/>
      <c r="AG68" s="443"/>
      <c r="AH68" s="443"/>
      <c r="AI68" s="443"/>
      <c r="AJ68" s="443"/>
      <c r="AK68" s="443"/>
      <c r="AL68" s="443"/>
    </row>
    <row r="69" spans="1:38" ht="13.2" customHeight="1" x14ac:dyDescent="0.25">
      <c r="A69" s="3">
        <v>43983</v>
      </c>
      <c r="B69" s="1">
        <f t="shared" si="16"/>
        <v>2020</v>
      </c>
      <c r="C69" s="1" t="str">
        <f t="shared" si="9"/>
        <v>Q2</v>
      </c>
      <c r="D69" s="18">
        <v>6459.7</v>
      </c>
      <c r="E69" s="18">
        <v>6498.5</v>
      </c>
      <c r="F69" s="18">
        <v>190.3</v>
      </c>
      <c r="G69" s="18">
        <v>193.9</v>
      </c>
      <c r="H69" s="18">
        <v>769942</v>
      </c>
      <c r="I69" s="18">
        <v>596521.6</v>
      </c>
      <c r="J69" s="18">
        <v>58159</v>
      </c>
      <c r="K69" s="4">
        <v>706539</v>
      </c>
      <c r="L69" s="4">
        <v>552481</v>
      </c>
      <c r="M69" s="18">
        <v>20965</v>
      </c>
      <c r="N69" s="18">
        <f t="shared" si="12"/>
        <v>-960.60000000000036</v>
      </c>
      <c r="O69" s="18">
        <f t="shared" si="13"/>
        <v>-962.39999999999964</v>
      </c>
      <c r="P69" s="18">
        <f t="shared" si="14"/>
        <v>-28.199999999999989</v>
      </c>
      <c r="Q69" s="18">
        <f t="shared" si="15"/>
        <v>-28.299999999999983</v>
      </c>
      <c r="R69" s="24">
        <f t="shared" si="8"/>
        <v>-37332.5</v>
      </c>
      <c r="S69" s="18">
        <f t="shared" si="3"/>
        <v>-93587</v>
      </c>
      <c r="T69" s="18">
        <f t="shared" si="10"/>
        <v>-68757</v>
      </c>
      <c r="U69" s="18">
        <f t="shared" si="11"/>
        <v>-9773</v>
      </c>
      <c r="V69" s="442"/>
      <c r="W69" s="18"/>
      <c r="X69" s="18"/>
      <c r="Y69" s="18"/>
      <c r="Z69" s="18"/>
      <c r="AA69" s="18"/>
      <c r="AD69" s="3"/>
      <c r="AF69" s="443"/>
      <c r="AG69" s="443"/>
      <c r="AH69" s="443"/>
      <c r="AI69" s="443"/>
      <c r="AJ69" s="443"/>
      <c r="AK69" s="443"/>
      <c r="AL69" s="443"/>
    </row>
    <row r="70" spans="1:38" ht="13.2" customHeight="1" x14ac:dyDescent="0.25">
      <c r="A70" s="3">
        <v>44013</v>
      </c>
      <c r="B70" s="1">
        <f t="shared" si="16"/>
        <v>2020</v>
      </c>
      <c r="C70" s="1" t="str">
        <f t="shared" si="9"/>
        <v>Q3</v>
      </c>
      <c r="D70" s="18">
        <v>6643.5</v>
      </c>
      <c r="E70" s="18">
        <v>6711.9</v>
      </c>
      <c r="F70" s="18">
        <v>195.6</v>
      </c>
      <c r="G70" s="18">
        <v>199.5</v>
      </c>
      <c r="H70" s="18">
        <v>769942</v>
      </c>
      <c r="I70" s="18">
        <v>596521.6</v>
      </c>
      <c r="J70" s="18">
        <v>58159</v>
      </c>
      <c r="K70" s="4">
        <v>777225</v>
      </c>
      <c r="L70" s="4">
        <v>598852</v>
      </c>
      <c r="M70" s="18">
        <v>22145</v>
      </c>
      <c r="N70" s="18">
        <f t="shared" si="12"/>
        <v>-780.10000000000036</v>
      </c>
      <c r="O70" s="18">
        <f t="shared" si="13"/>
        <v>-798</v>
      </c>
      <c r="P70" s="18">
        <f t="shared" si="14"/>
        <v>-21.400000000000006</v>
      </c>
      <c r="Q70" s="18">
        <f t="shared" si="15"/>
        <v>-22.199999999999989</v>
      </c>
      <c r="R70" s="24">
        <f t="shared" si="8"/>
        <v>-37332.5</v>
      </c>
      <c r="S70" s="18">
        <f t="shared" si="3"/>
        <v>70686</v>
      </c>
      <c r="T70" s="18">
        <f t="shared" si="10"/>
        <v>46371</v>
      </c>
      <c r="U70" s="18">
        <f t="shared" si="11"/>
        <v>1180</v>
      </c>
      <c r="V70" s="442"/>
      <c r="W70" s="18"/>
      <c r="X70" s="18"/>
      <c r="Y70" s="18"/>
      <c r="Z70" s="18"/>
      <c r="AA70" s="18"/>
      <c r="AD70" s="3"/>
      <c r="AF70" s="443"/>
      <c r="AG70" s="443"/>
      <c r="AH70" s="443"/>
      <c r="AI70" s="443"/>
      <c r="AJ70" s="443"/>
      <c r="AK70" s="443"/>
      <c r="AL70" s="443"/>
    </row>
    <row r="71" spans="1:38" ht="13.2" customHeight="1" x14ac:dyDescent="0.25">
      <c r="A71" s="3">
        <v>44044</v>
      </c>
      <c r="B71" s="1">
        <f t="shared" si="16"/>
        <v>2020</v>
      </c>
      <c r="C71" s="1" t="str">
        <f t="shared" si="9"/>
        <v>Q3</v>
      </c>
      <c r="D71" s="18">
        <v>6879.1</v>
      </c>
      <c r="E71" s="18">
        <v>6950.9</v>
      </c>
      <c r="F71" s="18">
        <v>202.7</v>
      </c>
      <c r="G71" s="18">
        <v>205.5</v>
      </c>
      <c r="H71" s="18">
        <v>769942</v>
      </c>
      <c r="I71" s="18">
        <v>596521.6</v>
      </c>
      <c r="J71" s="18">
        <v>58159</v>
      </c>
      <c r="K71" s="4">
        <v>777225</v>
      </c>
      <c r="L71" s="4">
        <v>598852</v>
      </c>
      <c r="M71" s="18">
        <v>22145</v>
      </c>
      <c r="N71" s="18">
        <f t="shared" si="12"/>
        <v>-554.69999999999982</v>
      </c>
      <c r="O71" s="18">
        <f t="shared" si="13"/>
        <v>-572.40000000000055</v>
      </c>
      <c r="P71" s="18">
        <f t="shared" si="14"/>
        <v>-11.5</v>
      </c>
      <c r="Q71" s="18">
        <f t="shared" si="15"/>
        <v>-11.699999999999989</v>
      </c>
      <c r="R71" s="24">
        <f t="shared" si="8"/>
        <v>-37332.5</v>
      </c>
      <c r="S71" s="18">
        <f t="shared" si="3"/>
        <v>70686</v>
      </c>
      <c r="T71" s="18">
        <f t="shared" si="10"/>
        <v>46371</v>
      </c>
      <c r="U71" s="18">
        <f t="shared" si="11"/>
        <v>1180</v>
      </c>
      <c r="V71" s="442"/>
      <c r="W71" s="442"/>
      <c r="X71" s="442"/>
      <c r="Y71" s="442"/>
      <c r="Z71" s="442"/>
      <c r="AA71" s="442"/>
      <c r="AD71" s="3"/>
      <c r="AF71" s="443"/>
      <c r="AG71" s="443"/>
      <c r="AH71" s="443"/>
      <c r="AI71" s="443"/>
      <c r="AJ71" s="443"/>
      <c r="AK71" s="443"/>
      <c r="AL71" s="443"/>
    </row>
    <row r="72" spans="1:38" ht="13.2" customHeight="1" x14ac:dyDescent="0.25">
      <c r="A72" s="3">
        <v>44075</v>
      </c>
      <c r="B72" s="1">
        <f t="shared" si="16"/>
        <v>2020</v>
      </c>
      <c r="C72" s="1" t="str">
        <f t="shared" si="9"/>
        <v>Q3</v>
      </c>
      <c r="D72" s="18">
        <v>7040.8</v>
      </c>
      <c r="E72" s="18">
        <v>7075.5</v>
      </c>
      <c r="F72" s="18">
        <v>208.8</v>
      </c>
      <c r="G72" s="18">
        <v>209.1</v>
      </c>
      <c r="H72" s="18">
        <v>769942</v>
      </c>
      <c r="I72" s="18">
        <v>596521.6</v>
      </c>
      <c r="J72" s="18">
        <v>58159</v>
      </c>
      <c r="K72" s="4">
        <v>777225</v>
      </c>
      <c r="L72" s="4">
        <v>598852</v>
      </c>
      <c r="M72" s="18">
        <v>22145</v>
      </c>
      <c r="N72" s="18">
        <f t="shared" si="12"/>
        <v>-407.69999999999982</v>
      </c>
      <c r="O72" s="18">
        <f t="shared" si="13"/>
        <v>-429.60000000000036</v>
      </c>
      <c r="P72" s="18">
        <f t="shared" si="14"/>
        <v>-1.1999999999999886</v>
      </c>
      <c r="Q72" s="18">
        <f t="shared" si="15"/>
        <v>-1.5999999999999943</v>
      </c>
      <c r="R72" s="24">
        <f t="shared" si="8"/>
        <v>-37332.5</v>
      </c>
      <c r="S72" s="18">
        <f t="shared" si="3"/>
        <v>70686</v>
      </c>
      <c r="T72" s="18">
        <f t="shared" si="10"/>
        <v>46371</v>
      </c>
      <c r="U72" s="18">
        <f t="shared" si="11"/>
        <v>1180</v>
      </c>
      <c r="V72" s="442"/>
      <c r="W72" s="442"/>
      <c r="X72" s="442"/>
      <c r="Y72" s="442"/>
      <c r="Z72" s="442"/>
      <c r="AA72" s="442"/>
      <c r="AD72" s="3"/>
      <c r="AF72" s="443"/>
      <c r="AG72" s="443"/>
      <c r="AH72" s="443"/>
      <c r="AI72" s="443"/>
      <c r="AJ72" s="443"/>
      <c r="AK72" s="443"/>
      <c r="AL72" s="443"/>
    </row>
    <row r="73" spans="1:38" ht="13.2" customHeight="1" x14ac:dyDescent="0.25">
      <c r="A73" s="3">
        <v>44105</v>
      </c>
      <c r="B73" s="1">
        <f t="shared" si="16"/>
        <v>2020</v>
      </c>
      <c r="C73" s="1" t="str">
        <f t="shared" si="9"/>
        <v>Q4</v>
      </c>
      <c r="D73" s="18">
        <v>7159.1</v>
      </c>
      <c r="E73" s="18">
        <v>7184.1</v>
      </c>
      <c r="F73" s="18">
        <v>213.3</v>
      </c>
      <c r="G73" s="18">
        <v>212</v>
      </c>
      <c r="H73" s="18">
        <v>769942</v>
      </c>
      <c r="I73" s="18">
        <v>596521.6</v>
      </c>
      <c r="J73" s="18">
        <v>58159</v>
      </c>
      <c r="K73" s="4">
        <v>795879</v>
      </c>
      <c r="L73" s="4">
        <v>613516</v>
      </c>
      <c r="M73" s="18">
        <v>21752</v>
      </c>
      <c r="N73" s="18">
        <f t="shared" si="12"/>
        <v>-303.09999999999945</v>
      </c>
      <c r="O73" s="18">
        <f t="shared" si="13"/>
        <v>-317.09999999999945</v>
      </c>
      <c r="P73" s="18">
        <f t="shared" si="14"/>
        <v>5.8000000000000114</v>
      </c>
      <c r="Q73" s="18">
        <f t="shared" si="15"/>
        <v>5.9000000000000057</v>
      </c>
      <c r="R73" s="24">
        <f t="shared" ref="R73:R136" si="17">H73-H61</f>
        <v>-37332.5</v>
      </c>
      <c r="S73" s="18">
        <f t="shared" ref="S73:S136" si="18">K73-K70</f>
        <v>18654</v>
      </c>
      <c r="T73" s="18">
        <f t="shared" si="10"/>
        <v>14664</v>
      </c>
      <c r="U73" s="18">
        <f t="shared" si="11"/>
        <v>-393</v>
      </c>
      <c r="V73" s="442"/>
      <c r="W73" s="442"/>
      <c r="X73" s="442"/>
      <c r="Y73" s="442"/>
      <c r="Z73" s="442"/>
      <c r="AA73" s="442"/>
      <c r="AD73" s="3"/>
      <c r="AF73" s="443"/>
      <c r="AG73" s="443"/>
      <c r="AH73" s="443"/>
      <c r="AI73" s="443"/>
      <c r="AJ73" s="443"/>
      <c r="AK73" s="443"/>
      <c r="AL73" s="443"/>
    </row>
    <row r="74" spans="1:38" ht="13.2" customHeight="1" x14ac:dyDescent="0.25">
      <c r="A74" s="3">
        <v>44136</v>
      </c>
      <c r="B74" s="1">
        <f t="shared" si="16"/>
        <v>2020</v>
      </c>
      <c r="C74" s="1" t="str">
        <f t="shared" si="9"/>
        <v>Q4</v>
      </c>
      <c r="D74" s="18">
        <v>7242.5</v>
      </c>
      <c r="E74" s="18">
        <v>7255.2</v>
      </c>
      <c r="F74" s="18">
        <v>214.2</v>
      </c>
      <c r="G74" s="18">
        <v>211.6</v>
      </c>
      <c r="H74" s="18">
        <v>769942</v>
      </c>
      <c r="I74" s="18">
        <v>596521.6</v>
      </c>
      <c r="J74" s="18">
        <v>58159</v>
      </c>
      <c r="K74" s="4">
        <v>795879</v>
      </c>
      <c r="L74" s="4">
        <v>613516</v>
      </c>
      <c r="M74" s="18">
        <v>21752</v>
      </c>
      <c r="N74" s="18">
        <f t="shared" si="12"/>
        <v>-227.60000000000036</v>
      </c>
      <c r="O74" s="18">
        <f t="shared" si="13"/>
        <v>-233.10000000000036</v>
      </c>
      <c r="P74" s="18">
        <f t="shared" si="14"/>
        <v>7.8999999999999773</v>
      </c>
      <c r="Q74" s="18">
        <f t="shared" si="15"/>
        <v>8</v>
      </c>
      <c r="R74" s="24">
        <f t="shared" si="17"/>
        <v>-37332.5</v>
      </c>
      <c r="S74" s="18">
        <f t="shared" si="18"/>
        <v>18654</v>
      </c>
      <c r="T74" s="18">
        <f t="shared" si="10"/>
        <v>14664</v>
      </c>
      <c r="U74" s="18">
        <f t="shared" si="11"/>
        <v>-393</v>
      </c>
      <c r="V74" s="442"/>
      <c r="W74" s="442"/>
      <c r="X74" s="442"/>
      <c r="Y74" s="442"/>
      <c r="Z74" s="442"/>
      <c r="AA74" s="442"/>
      <c r="AD74" s="3"/>
      <c r="AF74" s="443"/>
      <c r="AG74" s="443"/>
      <c r="AH74" s="443"/>
      <c r="AI74" s="443"/>
      <c r="AJ74" s="443"/>
      <c r="AK74" s="443"/>
      <c r="AL74" s="443"/>
    </row>
    <row r="75" spans="1:38" ht="13.2" customHeight="1" x14ac:dyDescent="0.25">
      <c r="A75" s="3">
        <v>44166</v>
      </c>
      <c r="B75" s="1">
        <f t="shared" si="16"/>
        <v>2020</v>
      </c>
      <c r="C75" s="1" t="str">
        <f t="shared" si="9"/>
        <v>Q4</v>
      </c>
      <c r="D75" s="18">
        <v>7258.1</v>
      </c>
      <c r="E75" s="18">
        <v>7273.3</v>
      </c>
      <c r="F75" s="18">
        <v>213.6</v>
      </c>
      <c r="G75" s="18">
        <v>211.4</v>
      </c>
      <c r="H75" s="18">
        <v>769942</v>
      </c>
      <c r="I75" s="18">
        <v>596521.6</v>
      </c>
      <c r="J75" s="18">
        <v>58159</v>
      </c>
      <c r="K75" s="4">
        <v>795879</v>
      </c>
      <c r="L75" s="4">
        <v>613516</v>
      </c>
      <c r="M75" s="18">
        <v>21752</v>
      </c>
      <c r="N75" s="18">
        <f t="shared" si="12"/>
        <v>-224.5</v>
      </c>
      <c r="O75" s="18">
        <f t="shared" si="13"/>
        <v>-220.5</v>
      </c>
      <c r="P75" s="18">
        <f t="shared" si="14"/>
        <v>6</v>
      </c>
      <c r="Q75" s="18">
        <f t="shared" si="15"/>
        <v>6.5</v>
      </c>
      <c r="R75" s="24">
        <f t="shared" si="17"/>
        <v>-37332.5</v>
      </c>
      <c r="S75" s="18">
        <f t="shared" si="18"/>
        <v>18654</v>
      </c>
      <c r="T75" s="18">
        <f t="shared" si="10"/>
        <v>14664</v>
      </c>
      <c r="U75" s="18">
        <f t="shared" si="11"/>
        <v>-393</v>
      </c>
      <c r="V75" s="442"/>
      <c r="W75" s="442"/>
      <c r="X75" s="442"/>
      <c r="Y75" s="442"/>
      <c r="Z75" s="442"/>
      <c r="AA75" s="442"/>
      <c r="AD75" s="3"/>
      <c r="AF75" s="443"/>
      <c r="AG75" s="443"/>
      <c r="AH75" s="443"/>
      <c r="AI75" s="443"/>
      <c r="AJ75" s="443"/>
      <c r="AK75" s="443"/>
      <c r="AL75" s="443"/>
    </row>
    <row r="76" spans="1:38" ht="13.2" customHeight="1" x14ac:dyDescent="0.25">
      <c r="A76" s="3">
        <v>44197</v>
      </c>
      <c r="B76" s="1">
        <f t="shared" si="16"/>
        <v>2021</v>
      </c>
      <c r="C76" s="1" t="str">
        <f t="shared" si="9"/>
        <v>Q1</v>
      </c>
      <c r="D76" s="18">
        <v>7204.7</v>
      </c>
      <c r="E76" s="18">
        <v>7180.4</v>
      </c>
      <c r="F76" s="18">
        <v>207.3</v>
      </c>
      <c r="G76" s="18">
        <v>205.5</v>
      </c>
      <c r="H76" s="18">
        <v>817265.5</v>
      </c>
      <c r="I76" s="18">
        <v>634181.69999999995</v>
      </c>
      <c r="J76" s="18">
        <v>64910</v>
      </c>
      <c r="K76" s="4">
        <v>808584</v>
      </c>
      <c r="L76" s="4">
        <v>622695</v>
      </c>
      <c r="M76" s="18">
        <v>23185</v>
      </c>
      <c r="N76" s="18">
        <f t="shared" si="12"/>
        <v>-300.19999999999982</v>
      </c>
      <c r="O76" s="18">
        <f t="shared" si="13"/>
        <v>-291.20000000000073</v>
      </c>
      <c r="P76" s="18">
        <f t="shared" si="14"/>
        <v>-0.79999999999998295</v>
      </c>
      <c r="Q76" s="18">
        <f t="shared" si="15"/>
        <v>0</v>
      </c>
      <c r="R76" s="24">
        <f t="shared" si="17"/>
        <v>47323.5</v>
      </c>
      <c r="S76" s="18">
        <f t="shared" si="18"/>
        <v>12705</v>
      </c>
      <c r="T76" s="18">
        <f t="shared" si="10"/>
        <v>9179</v>
      </c>
      <c r="U76" s="18">
        <f t="shared" si="11"/>
        <v>1433</v>
      </c>
      <c r="V76" s="442"/>
      <c r="W76" s="442"/>
      <c r="X76" s="442"/>
      <c r="Y76" s="442"/>
      <c r="Z76" s="442"/>
      <c r="AA76" s="442"/>
      <c r="AD76" s="3"/>
      <c r="AF76" s="443"/>
      <c r="AG76" s="443"/>
      <c r="AH76" s="443"/>
      <c r="AI76" s="443"/>
      <c r="AJ76" s="443"/>
      <c r="AK76" s="443"/>
      <c r="AL76" s="443"/>
    </row>
    <row r="77" spans="1:38" ht="13.2" customHeight="1" x14ac:dyDescent="0.25">
      <c r="A77" s="3">
        <v>44228</v>
      </c>
      <c r="B77" s="1">
        <f t="shared" si="16"/>
        <v>2021</v>
      </c>
      <c r="C77" s="1" t="str">
        <f t="shared" si="9"/>
        <v>Q1</v>
      </c>
      <c r="D77" s="18">
        <v>7181.2</v>
      </c>
      <c r="E77" s="18">
        <v>7124.8</v>
      </c>
      <c r="F77" s="18">
        <v>205.4</v>
      </c>
      <c r="G77" s="18">
        <v>204.1</v>
      </c>
      <c r="H77" s="18">
        <v>817265.5</v>
      </c>
      <c r="I77" s="18">
        <v>634181.69999999995</v>
      </c>
      <c r="J77" s="18">
        <v>64910</v>
      </c>
      <c r="K77" s="4">
        <v>808584</v>
      </c>
      <c r="L77" s="4">
        <v>622695</v>
      </c>
      <c r="M77" s="18">
        <v>23185</v>
      </c>
      <c r="N77" s="18">
        <f t="shared" si="12"/>
        <v>-331.10000000000036</v>
      </c>
      <c r="O77" s="18">
        <f t="shared" si="13"/>
        <v>-317.30000000000018</v>
      </c>
      <c r="P77" s="18">
        <f t="shared" si="14"/>
        <v>-5.2999999999999829</v>
      </c>
      <c r="Q77" s="18">
        <f t="shared" si="15"/>
        <v>-4.7000000000000171</v>
      </c>
      <c r="R77" s="24">
        <f t="shared" si="17"/>
        <v>47323.5</v>
      </c>
      <c r="S77" s="18">
        <f t="shared" si="18"/>
        <v>12705</v>
      </c>
      <c r="T77" s="18">
        <f t="shared" si="10"/>
        <v>9179</v>
      </c>
      <c r="U77" s="18">
        <f t="shared" si="11"/>
        <v>1433</v>
      </c>
      <c r="V77" s="442"/>
      <c r="W77" s="442"/>
      <c r="X77" s="442"/>
      <c r="Y77" s="442"/>
      <c r="Z77" s="442"/>
      <c r="AA77" s="442"/>
      <c r="AD77" s="3"/>
      <c r="AF77" s="443"/>
      <c r="AG77" s="443"/>
      <c r="AH77" s="443"/>
      <c r="AI77" s="443"/>
      <c r="AJ77" s="443"/>
      <c r="AK77" s="443"/>
      <c r="AL77" s="443"/>
    </row>
    <row r="78" spans="1:38" ht="13.2" customHeight="1" x14ac:dyDescent="0.25">
      <c r="A78" s="3">
        <v>44256</v>
      </c>
      <c r="B78" s="1">
        <f t="shared" si="16"/>
        <v>2021</v>
      </c>
      <c r="C78" s="1" t="str">
        <f t="shared" si="9"/>
        <v>Q1</v>
      </c>
      <c r="D78" s="18">
        <v>7218.1</v>
      </c>
      <c r="E78" s="18">
        <v>7129.5</v>
      </c>
      <c r="F78" s="18">
        <v>204.5</v>
      </c>
      <c r="G78" s="18">
        <v>203.7</v>
      </c>
      <c r="H78" s="18">
        <v>817265.5</v>
      </c>
      <c r="I78" s="18">
        <v>634181.69999999995</v>
      </c>
      <c r="J78" s="18">
        <v>64910</v>
      </c>
      <c r="K78" s="4">
        <v>808584</v>
      </c>
      <c r="L78" s="4">
        <v>622695</v>
      </c>
      <c r="M78" s="18">
        <v>23185</v>
      </c>
      <c r="N78" s="18">
        <f t="shared" si="12"/>
        <v>-139.89999999999964</v>
      </c>
      <c r="O78" s="18">
        <f t="shared" si="13"/>
        <v>-126.69999999999982</v>
      </c>
      <c r="P78" s="18">
        <f t="shared" si="14"/>
        <v>-3.8000000000000114</v>
      </c>
      <c r="Q78" s="18">
        <f t="shared" si="15"/>
        <v>-3.5</v>
      </c>
      <c r="R78" s="24">
        <f t="shared" si="17"/>
        <v>47323.5</v>
      </c>
      <c r="S78" s="18">
        <f t="shared" si="18"/>
        <v>12705</v>
      </c>
      <c r="T78" s="18">
        <f t="shared" si="10"/>
        <v>9179</v>
      </c>
      <c r="U78" s="18">
        <f t="shared" si="11"/>
        <v>1433</v>
      </c>
      <c r="V78" s="442"/>
      <c r="W78" s="442"/>
      <c r="X78" s="442"/>
      <c r="Y78" s="442"/>
      <c r="Z78" s="442"/>
      <c r="AA78" s="442"/>
      <c r="AD78" s="3"/>
      <c r="AF78" s="443"/>
      <c r="AG78" s="443"/>
      <c r="AH78" s="443"/>
      <c r="AI78" s="443"/>
      <c r="AJ78" s="443"/>
      <c r="AK78" s="443"/>
      <c r="AL78" s="443"/>
    </row>
    <row r="79" spans="1:38" ht="13.2" customHeight="1" x14ac:dyDescent="0.25">
      <c r="A79" s="3">
        <v>44287</v>
      </c>
      <c r="B79" s="1">
        <f t="shared" si="16"/>
        <v>2021</v>
      </c>
      <c r="C79" s="1" t="str">
        <f t="shared" si="9"/>
        <v>Q2</v>
      </c>
      <c r="D79" s="18">
        <v>7264</v>
      </c>
      <c r="E79" s="18">
        <v>7197</v>
      </c>
      <c r="F79" s="18">
        <v>206</v>
      </c>
      <c r="G79" s="18">
        <v>206.1</v>
      </c>
      <c r="H79" s="18">
        <v>817265.5</v>
      </c>
      <c r="I79" s="18">
        <v>634181.69999999995</v>
      </c>
      <c r="J79" s="18">
        <v>64910</v>
      </c>
      <c r="K79" s="4">
        <v>802518</v>
      </c>
      <c r="L79" s="4">
        <v>620093</v>
      </c>
      <c r="M79" s="18">
        <v>24138</v>
      </c>
      <c r="N79" s="18">
        <f t="shared" si="12"/>
        <v>300.30000000000018</v>
      </c>
      <c r="O79" s="18">
        <f t="shared" si="13"/>
        <v>311.80000000000018</v>
      </c>
      <c r="P79" s="18">
        <f t="shared" si="14"/>
        <v>4.0999999999999943</v>
      </c>
      <c r="Q79" s="18">
        <f t="shared" si="15"/>
        <v>3.7999999999999829</v>
      </c>
      <c r="R79" s="24">
        <f t="shared" si="17"/>
        <v>47323.5</v>
      </c>
      <c r="S79" s="18">
        <f t="shared" si="18"/>
        <v>-6066</v>
      </c>
      <c r="T79" s="18">
        <f t="shared" si="10"/>
        <v>-2602</v>
      </c>
      <c r="U79" s="18">
        <f t="shared" si="11"/>
        <v>953</v>
      </c>
      <c r="V79" s="442"/>
      <c r="W79" s="442"/>
      <c r="X79" s="442"/>
      <c r="Y79" s="442"/>
      <c r="Z79" s="442"/>
      <c r="AA79" s="442"/>
      <c r="AD79" s="3"/>
      <c r="AF79" s="443"/>
      <c r="AG79" s="443"/>
      <c r="AH79" s="443"/>
      <c r="AI79" s="443"/>
      <c r="AJ79" s="443"/>
      <c r="AK79" s="443"/>
      <c r="AL79" s="443"/>
    </row>
    <row r="80" spans="1:38" ht="13.2" customHeight="1" x14ac:dyDescent="0.25">
      <c r="A80" s="3">
        <v>44317</v>
      </c>
      <c r="B80" s="1">
        <f t="shared" si="16"/>
        <v>2021</v>
      </c>
      <c r="C80" s="1" t="str">
        <f t="shared" si="9"/>
        <v>Q2</v>
      </c>
      <c r="D80" s="18">
        <v>7259.3</v>
      </c>
      <c r="E80" s="18">
        <v>7237.7</v>
      </c>
      <c r="F80" s="18">
        <v>204.1</v>
      </c>
      <c r="G80" s="18">
        <v>206</v>
      </c>
      <c r="H80" s="18">
        <v>817265.5</v>
      </c>
      <c r="I80" s="18">
        <v>634181.69999999995</v>
      </c>
      <c r="J80" s="18">
        <v>64910</v>
      </c>
      <c r="K80" s="4">
        <v>802518</v>
      </c>
      <c r="L80" s="4">
        <v>620093</v>
      </c>
      <c r="M80" s="18">
        <v>24138</v>
      </c>
      <c r="N80" s="18">
        <f t="shared" ref="N80:N111" si="19">D80-D68</f>
        <v>691.10000000000036</v>
      </c>
      <c r="O80" s="18">
        <f t="shared" ref="O80:O111" si="20">E80-E68</f>
        <v>701</v>
      </c>
      <c r="P80" s="18">
        <f t="shared" ref="P80:P111" si="21">F80-F68</f>
        <v>10.799999999999983</v>
      </c>
      <c r="Q80" s="18">
        <f t="shared" ref="Q80:Q111" si="22">G80-G68</f>
        <v>10.5</v>
      </c>
      <c r="R80" s="24">
        <f t="shared" si="17"/>
        <v>47323.5</v>
      </c>
      <c r="S80" s="18">
        <f t="shared" si="18"/>
        <v>-6066</v>
      </c>
      <c r="T80" s="18">
        <f t="shared" si="10"/>
        <v>-2602</v>
      </c>
      <c r="U80" s="18">
        <f t="shared" si="11"/>
        <v>953</v>
      </c>
      <c r="V80" s="442"/>
      <c r="W80" s="442"/>
      <c r="X80" s="442"/>
      <c r="Y80" s="442"/>
      <c r="Z80" s="442"/>
      <c r="AA80" s="442"/>
      <c r="AD80" s="3"/>
      <c r="AF80" s="443"/>
      <c r="AG80" s="443"/>
      <c r="AH80" s="443"/>
      <c r="AI80" s="443"/>
      <c r="AJ80" s="443"/>
      <c r="AK80" s="443"/>
      <c r="AL80" s="443"/>
    </row>
    <row r="81" spans="1:38" ht="13.2" customHeight="1" x14ac:dyDescent="0.25">
      <c r="A81" s="3">
        <v>44348</v>
      </c>
      <c r="B81" s="1">
        <f t="shared" si="16"/>
        <v>2021</v>
      </c>
      <c r="C81" s="1" t="str">
        <f t="shared" ref="C81:C144" si="23">C69</f>
        <v>Q2</v>
      </c>
      <c r="D81" s="18">
        <v>7245.3</v>
      </c>
      <c r="E81" s="18">
        <v>7293</v>
      </c>
      <c r="F81" s="18">
        <v>203.9</v>
      </c>
      <c r="G81" s="18">
        <v>207.1</v>
      </c>
      <c r="H81" s="18">
        <v>817265.5</v>
      </c>
      <c r="I81" s="18">
        <v>634181.69999999995</v>
      </c>
      <c r="J81" s="18">
        <v>64910</v>
      </c>
      <c r="K81" s="4">
        <v>802518</v>
      </c>
      <c r="L81" s="4">
        <v>620093</v>
      </c>
      <c r="M81" s="18">
        <v>24138</v>
      </c>
      <c r="N81" s="18">
        <f t="shared" si="19"/>
        <v>785.60000000000036</v>
      </c>
      <c r="O81" s="18">
        <f t="shared" si="20"/>
        <v>794.5</v>
      </c>
      <c r="P81" s="18">
        <f t="shared" si="21"/>
        <v>13.599999999999994</v>
      </c>
      <c r="Q81" s="18">
        <f t="shared" si="22"/>
        <v>13.199999999999989</v>
      </c>
      <c r="R81" s="24">
        <f t="shared" si="17"/>
        <v>47323.5</v>
      </c>
      <c r="S81" s="18">
        <f t="shared" si="18"/>
        <v>-6066</v>
      </c>
      <c r="T81" s="18">
        <f t="shared" si="10"/>
        <v>-2602</v>
      </c>
      <c r="U81" s="18">
        <f t="shared" si="11"/>
        <v>953</v>
      </c>
      <c r="V81" s="442"/>
      <c r="W81" s="442"/>
      <c r="X81" s="442"/>
      <c r="Y81" s="442"/>
      <c r="Z81" s="442"/>
      <c r="AA81" s="442"/>
      <c r="AD81" s="3"/>
      <c r="AF81" s="443"/>
      <c r="AG81" s="443"/>
      <c r="AH81" s="443"/>
      <c r="AI81" s="443"/>
      <c r="AJ81" s="443"/>
      <c r="AK81" s="443"/>
      <c r="AL81" s="443"/>
    </row>
    <row r="82" spans="1:38" ht="13.2" customHeight="1" x14ac:dyDescent="0.25">
      <c r="A82" s="3">
        <v>44378</v>
      </c>
      <c r="B82" s="1">
        <f t="shared" si="16"/>
        <v>2021</v>
      </c>
      <c r="C82" s="1" t="str">
        <f t="shared" si="23"/>
        <v>Q3</v>
      </c>
      <c r="D82" s="18">
        <v>7311.4</v>
      </c>
      <c r="E82" s="18">
        <v>7391.8</v>
      </c>
      <c r="F82" s="18">
        <v>205.7</v>
      </c>
      <c r="G82" s="18">
        <v>208.8</v>
      </c>
      <c r="H82" s="18">
        <v>817265.5</v>
      </c>
      <c r="I82" s="18">
        <v>634181.69999999995</v>
      </c>
      <c r="J82" s="18">
        <v>64910</v>
      </c>
      <c r="K82" s="4">
        <v>819564</v>
      </c>
      <c r="L82" s="4">
        <v>639578</v>
      </c>
      <c r="M82" s="18">
        <v>25974</v>
      </c>
      <c r="N82" s="18">
        <f t="shared" si="19"/>
        <v>667.89999999999964</v>
      </c>
      <c r="O82" s="18">
        <f t="shared" si="20"/>
        <v>679.90000000000055</v>
      </c>
      <c r="P82" s="18">
        <f t="shared" si="21"/>
        <v>10.099999999999994</v>
      </c>
      <c r="Q82" s="18">
        <f t="shared" si="22"/>
        <v>9.3000000000000114</v>
      </c>
      <c r="R82" s="24">
        <f t="shared" si="17"/>
        <v>47323.5</v>
      </c>
      <c r="S82" s="18">
        <f t="shared" si="18"/>
        <v>17046</v>
      </c>
      <c r="T82" s="18">
        <f t="shared" si="10"/>
        <v>19485</v>
      </c>
      <c r="U82" s="18">
        <f t="shared" si="11"/>
        <v>1836</v>
      </c>
      <c r="V82" s="442"/>
      <c r="W82" s="442"/>
      <c r="X82" s="442"/>
      <c r="Y82" s="442"/>
      <c r="Z82" s="442"/>
      <c r="AA82" s="442"/>
      <c r="AD82" s="3"/>
      <c r="AF82" s="443"/>
      <c r="AG82" s="443"/>
      <c r="AH82" s="443"/>
      <c r="AI82" s="443"/>
      <c r="AJ82" s="443"/>
      <c r="AK82" s="443"/>
      <c r="AL82" s="443"/>
    </row>
    <row r="83" spans="1:38" ht="13.2" customHeight="1" x14ac:dyDescent="0.25">
      <c r="A83" s="3">
        <v>44409</v>
      </c>
      <c r="B83" s="1">
        <f t="shared" si="16"/>
        <v>2021</v>
      </c>
      <c r="C83" s="1" t="str">
        <f t="shared" si="23"/>
        <v>Q3</v>
      </c>
      <c r="D83" s="18">
        <v>7400.1</v>
      </c>
      <c r="E83" s="18">
        <v>7475.2</v>
      </c>
      <c r="F83" s="18">
        <v>208.6</v>
      </c>
      <c r="G83" s="18">
        <v>209.6</v>
      </c>
      <c r="H83" s="18">
        <v>817265.5</v>
      </c>
      <c r="I83" s="18">
        <v>634181.69999999995</v>
      </c>
      <c r="J83" s="18">
        <v>64910</v>
      </c>
      <c r="K83" s="4">
        <v>819564</v>
      </c>
      <c r="L83" s="4">
        <v>639578</v>
      </c>
      <c r="M83" s="18">
        <v>25974</v>
      </c>
      <c r="N83" s="18">
        <f t="shared" si="19"/>
        <v>521</v>
      </c>
      <c r="O83" s="18">
        <f t="shared" si="20"/>
        <v>524.30000000000018</v>
      </c>
      <c r="P83" s="18">
        <f t="shared" si="21"/>
        <v>5.9000000000000057</v>
      </c>
      <c r="Q83" s="18">
        <f t="shared" si="22"/>
        <v>4.0999999999999943</v>
      </c>
      <c r="R83" s="24">
        <f t="shared" si="17"/>
        <v>47323.5</v>
      </c>
      <c r="S83" s="18">
        <f t="shared" si="18"/>
        <v>17046</v>
      </c>
      <c r="T83" s="18">
        <f t="shared" si="10"/>
        <v>19485</v>
      </c>
      <c r="U83" s="18">
        <f t="shared" si="11"/>
        <v>1836</v>
      </c>
      <c r="V83" s="442"/>
      <c r="W83" s="442"/>
      <c r="X83" s="442"/>
      <c r="Y83" s="442"/>
      <c r="Z83" s="442"/>
      <c r="AA83" s="442"/>
      <c r="AD83" s="3"/>
      <c r="AF83" s="443"/>
      <c r="AG83" s="443"/>
      <c r="AH83" s="443"/>
      <c r="AI83" s="443"/>
      <c r="AJ83" s="443"/>
      <c r="AK83" s="443"/>
      <c r="AL83" s="443"/>
    </row>
    <row r="84" spans="1:38" ht="13.2" customHeight="1" x14ac:dyDescent="0.25">
      <c r="A84" s="3">
        <v>44440</v>
      </c>
      <c r="B84" s="1">
        <f t="shared" si="16"/>
        <v>2021</v>
      </c>
      <c r="C84" s="1" t="str">
        <f t="shared" si="23"/>
        <v>Q3</v>
      </c>
      <c r="D84" s="18">
        <v>7474.5</v>
      </c>
      <c r="E84" s="18">
        <v>7503.2</v>
      </c>
      <c r="F84" s="18">
        <v>212.9</v>
      </c>
      <c r="G84" s="18">
        <v>211.6</v>
      </c>
      <c r="H84" s="18">
        <v>817265.5</v>
      </c>
      <c r="I84" s="18">
        <v>634181.69999999995</v>
      </c>
      <c r="J84" s="18">
        <v>64910</v>
      </c>
      <c r="K84" s="4">
        <v>819564</v>
      </c>
      <c r="L84" s="4">
        <v>639578</v>
      </c>
      <c r="M84" s="18">
        <v>25974</v>
      </c>
      <c r="N84" s="18">
        <f t="shared" si="19"/>
        <v>433.69999999999982</v>
      </c>
      <c r="O84" s="18">
        <f t="shared" si="20"/>
        <v>427.69999999999982</v>
      </c>
      <c r="P84" s="18">
        <f t="shared" si="21"/>
        <v>4.0999999999999943</v>
      </c>
      <c r="Q84" s="18">
        <f t="shared" si="22"/>
        <v>2.5</v>
      </c>
      <c r="R84" s="24">
        <f t="shared" si="17"/>
        <v>47323.5</v>
      </c>
      <c r="S84" s="18">
        <f t="shared" si="18"/>
        <v>17046</v>
      </c>
      <c r="T84" s="18">
        <f t="shared" si="10"/>
        <v>19485</v>
      </c>
      <c r="U84" s="18">
        <f t="shared" si="11"/>
        <v>1836</v>
      </c>
      <c r="V84" s="442"/>
      <c r="W84" s="442"/>
      <c r="X84" s="442"/>
      <c r="Y84" s="442"/>
      <c r="Z84" s="442"/>
      <c r="AA84" s="442"/>
      <c r="AD84" s="3"/>
      <c r="AF84" s="443"/>
      <c r="AG84" s="443"/>
      <c r="AH84" s="443"/>
      <c r="AI84" s="443"/>
      <c r="AJ84" s="443"/>
      <c r="AK84" s="443"/>
      <c r="AL84" s="443"/>
    </row>
    <row r="85" spans="1:38" ht="13.2" customHeight="1" x14ac:dyDescent="0.25">
      <c r="A85" s="3">
        <v>44470</v>
      </c>
      <c r="B85" s="1">
        <f t="shared" si="16"/>
        <v>2021</v>
      </c>
      <c r="C85" s="1" t="str">
        <f t="shared" si="23"/>
        <v>Q4</v>
      </c>
      <c r="D85" s="18">
        <v>7529.4</v>
      </c>
      <c r="E85" s="18">
        <v>7538.5</v>
      </c>
      <c r="F85" s="18">
        <v>217.2</v>
      </c>
      <c r="G85" s="18">
        <v>214.5</v>
      </c>
      <c r="H85" s="18">
        <v>817265.5</v>
      </c>
      <c r="I85" s="18">
        <v>634181.69999999995</v>
      </c>
      <c r="J85" s="18">
        <v>64910</v>
      </c>
      <c r="K85" s="4">
        <v>838397</v>
      </c>
      <c r="L85" s="4">
        <v>654360</v>
      </c>
      <c r="M85" s="18">
        <v>27605</v>
      </c>
      <c r="N85" s="18">
        <f t="shared" si="19"/>
        <v>370.29999999999927</v>
      </c>
      <c r="O85" s="18">
        <f t="shared" si="20"/>
        <v>354.39999999999964</v>
      </c>
      <c r="P85" s="18">
        <f t="shared" si="21"/>
        <v>3.8999999999999773</v>
      </c>
      <c r="Q85" s="18">
        <f t="shared" si="22"/>
        <v>2.5</v>
      </c>
      <c r="R85" s="24">
        <f t="shared" si="17"/>
        <v>47323.5</v>
      </c>
      <c r="S85" s="18">
        <f t="shared" si="18"/>
        <v>18833</v>
      </c>
      <c r="T85" s="18">
        <f t="shared" si="10"/>
        <v>14782</v>
      </c>
      <c r="U85" s="18">
        <f t="shared" si="11"/>
        <v>1631</v>
      </c>
      <c r="V85" s="442"/>
      <c r="W85" s="442"/>
      <c r="X85" s="442"/>
      <c r="Y85" s="442"/>
      <c r="Z85" s="442"/>
      <c r="AA85" s="442"/>
      <c r="AD85" s="3"/>
      <c r="AF85" s="443"/>
      <c r="AG85" s="443"/>
      <c r="AH85" s="443"/>
      <c r="AI85" s="443"/>
      <c r="AJ85" s="443"/>
      <c r="AK85" s="443"/>
      <c r="AL85" s="443"/>
    </row>
    <row r="86" spans="1:38" ht="13.2" customHeight="1" x14ac:dyDescent="0.25">
      <c r="A86" s="3">
        <v>44501</v>
      </c>
      <c r="B86" s="1">
        <f t="shared" si="16"/>
        <v>2021</v>
      </c>
      <c r="C86" s="1" t="str">
        <f t="shared" si="23"/>
        <v>Q4</v>
      </c>
      <c r="D86" s="18">
        <v>7592</v>
      </c>
      <c r="E86" s="18">
        <v>7590.1</v>
      </c>
      <c r="F86" s="18">
        <v>222.6</v>
      </c>
      <c r="G86" s="18">
        <v>220.2</v>
      </c>
      <c r="H86" s="18">
        <v>817265.5</v>
      </c>
      <c r="I86" s="18">
        <v>634181.69999999995</v>
      </c>
      <c r="J86" s="18">
        <v>64910</v>
      </c>
      <c r="K86" s="4">
        <v>838397</v>
      </c>
      <c r="L86" s="4">
        <v>654360</v>
      </c>
      <c r="M86" s="18">
        <v>27605</v>
      </c>
      <c r="N86" s="18">
        <f t="shared" si="19"/>
        <v>349.5</v>
      </c>
      <c r="O86" s="18">
        <f t="shared" si="20"/>
        <v>334.90000000000055</v>
      </c>
      <c r="P86" s="18">
        <f t="shared" si="21"/>
        <v>8.4000000000000057</v>
      </c>
      <c r="Q86" s="18">
        <f t="shared" si="22"/>
        <v>8.5999999999999943</v>
      </c>
      <c r="R86" s="24">
        <f t="shared" si="17"/>
        <v>47323.5</v>
      </c>
      <c r="S86" s="18">
        <f t="shared" si="18"/>
        <v>18833</v>
      </c>
      <c r="T86" s="18">
        <f t="shared" si="10"/>
        <v>14782</v>
      </c>
      <c r="U86" s="18">
        <f t="shared" si="11"/>
        <v>1631</v>
      </c>
      <c r="V86" s="442"/>
      <c r="W86" s="442"/>
      <c r="X86" s="442"/>
      <c r="Y86" s="442"/>
      <c r="Z86" s="442"/>
      <c r="AA86" s="442"/>
      <c r="AD86" s="3"/>
      <c r="AF86" s="443"/>
      <c r="AG86" s="443"/>
      <c r="AH86" s="443"/>
      <c r="AI86" s="443"/>
      <c r="AJ86" s="443"/>
      <c r="AK86" s="443"/>
      <c r="AL86" s="443"/>
    </row>
    <row r="87" spans="1:38" ht="13.2" customHeight="1" x14ac:dyDescent="0.25">
      <c r="A87" s="3">
        <v>44531</v>
      </c>
      <c r="B87" s="1">
        <f t="shared" si="16"/>
        <v>2021</v>
      </c>
      <c r="C87" s="1" t="str">
        <f t="shared" si="23"/>
        <v>Q4</v>
      </c>
      <c r="D87" s="18">
        <v>7644.2</v>
      </c>
      <c r="E87" s="18">
        <v>7647.5</v>
      </c>
      <c r="F87" s="18">
        <v>223.5</v>
      </c>
      <c r="G87" s="18">
        <v>222.3</v>
      </c>
      <c r="H87" s="18">
        <v>817265.5</v>
      </c>
      <c r="I87" s="18">
        <v>634181.69999999995</v>
      </c>
      <c r="J87" s="18">
        <v>64910</v>
      </c>
      <c r="K87" s="4">
        <v>838397</v>
      </c>
      <c r="L87" s="4">
        <v>654360</v>
      </c>
      <c r="M87" s="18">
        <v>27605</v>
      </c>
      <c r="N87" s="18">
        <f t="shared" si="19"/>
        <v>386.09999999999945</v>
      </c>
      <c r="O87" s="18">
        <f t="shared" si="20"/>
        <v>374.19999999999982</v>
      </c>
      <c r="P87" s="18">
        <f t="shared" si="21"/>
        <v>9.9000000000000057</v>
      </c>
      <c r="Q87" s="18">
        <f t="shared" si="22"/>
        <v>10.900000000000006</v>
      </c>
      <c r="R87" s="24">
        <f t="shared" si="17"/>
        <v>47323.5</v>
      </c>
      <c r="S87" s="18">
        <f t="shared" si="18"/>
        <v>18833</v>
      </c>
      <c r="T87" s="18">
        <f t="shared" si="10"/>
        <v>14782</v>
      </c>
      <c r="U87" s="18">
        <f t="shared" si="11"/>
        <v>1631</v>
      </c>
      <c r="V87" s="442"/>
      <c r="W87" s="442"/>
      <c r="X87" s="442"/>
      <c r="Y87" s="442"/>
      <c r="Z87" s="442"/>
      <c r="AA87" s="442"/>
      <c r="AD87" s="3"/>
      <c r="AF87" s="443"/>
      <c r="AG87" s="443"/>
      <c r="AH87" s="443"/>
      <c r="AI87" s="443"/>
      <c r="AJ87" s="443"/>
      <c r="AK87" s="443"/>
      <c r="AL87" s="443"/>
    </row>
    <row r="88" spans="1:38" ht="13.2" customHeight="1" x14ac:dyDescent="0.25">
      <c r="A88" s="3">
        <v>44562</v>
      </c>
      <c r="B88" s="1">
        <f t="shared" si="16"/>
        <v>2022</v>
      </c>
      <c r="C88" s="1" t="str">
        <f t="shared" si="23"/>
        <v>Q1</v>
      </c>
      <c r="D88" s="18">
        <v>7627.7</v>
      </c>
      <c r="E88" s="18">
        <v>7595.1</v>
      </c>
      <c r="F88" s="18">
        <v>221.3</v>
      </c>
      <c r="G88" s="18">
        <v>220.8</v>
      </c>
      <c r="H88" s="18">
        <v>850461.9</v>
      </c>
      <c r="I88" s="18">
        <v>662856.4</v>
      </c>
      <c r="J88" s="18">
        <v>71555.5</v>
      </c>
      <c r="K88" s="4">
        <v>845218</v>
      </c>
      <c r="L88" s="4">
        <v>657318</v>
      </c>
      <c r="M88" s="18">
        <v>28188</v>
      </c>
      <c r="N88" s="18">
        <f t="shared" si="19"/>
        <v>423</v>
      </c>
      <c r="O88" s="18">
        <f t="shared" si="20"/>
        <v>414.70000000000073</v>
      </c>
      <c r="P88" s="18">
        <f t="shared" si="21"/>
        <v>14</v>
      </c>
      <c r="Q88" s="18">
        <f t="shared" si="22"/>
        <v>15.300000000000011</v>
      </c>
      <c r="R88" s="24">
        <f t="shared" si="17"/>
        <v>33196.400000000023</v>
      </c>
      <c r="S88" s="18">
        <f t="shared" si="18"/>
        <v>6821</v>
      </c>
      <c r="T88" s="18">
        <f t="shared" ref="T88:T147" si="24">L88-L85</f>
        <v>2958</v>
      </c>
      <c r="U88" s="18">
        <f t="shared" ref="U88:U147" si="25">M88-M85</f>
        <v>583</v>
      </c>
    </row>
    <row r="89" spans="1:38" ht="13.2" customHeight="1" x14ac:dyDescent="0.25">
      <c r="A89" s="3">
        <v>44593</v>
      </c>
      <c r="B89" s="1">
        <f t="shared" si="16"/>
        <v>2022</v>
      </c>
      <c r="C89" s="1" t="str">
        <f t="shared" si="23"/>
        <v>Q1</v>
      </c>
      <c r="D89" s="18">
        <v>7651.3</v>
      </c>
      <c r="E89" s="18">
        <v>7588.8</v>
      </c>
      <c r="F89" s="18">
        <v>221.3</v>
      </c>
      <c r="G89" s="18">
        <v>220.9</v>
      </c>
      <c r="H89" s="18">
        <v>850461.9</v>
      </c>
      <c r="I89" s="18">
        <v>662856.4</v>
      </c>
      <c r="J89" s="18">
        <v>71555.5</v>
      </c>
      <c r="K89" s="4">
        <v>845218</v>
      </c>
      <c r="L89" s="4">
        <v>657318</v>
      </c>
      <c r="M89" s="18">
        <v>28188</v>
      </c>
      <c r="N89" s="18">
        <f t="shared" si="19"/>
        <v>470.10000000000036</v>
      </c>
      <c r="O89" s="18">
        <f t="shared" si="20"/>
        <v>464</v>
      </c>
      <c r="P89" s="18">
        <f t="shared" si="21"/>
        <v>15.900000000000006</v>
      </c>
      <c r="Q89" s="18">
        <f t="shared" si="22"/>
        <v>16.800000000000011</v>
      </c>
      <c r="R89" s="24">
        <f t="shared" si="17"/>
        <v>33196.400000000023</v>
      </c>
      <c r="S89" s="18">
        <f t="shared" si="18"/>
        <v>6821</v>
      </c>
      <c r="T89" s="18">
        <f t="shared" si="24"/>
        <v>2958</v>
      </c>
      <c r="U89" s="18">
        <f t="shared" si="25"/>
        <v>583</v>
      </c>
      <c r="V89" s="18"/>
      <c r="W89" s="18"/>
      <c r="X89" s="18"/>
      <c r="Y89" s="18"/>
      <c r="Z89" s="18"/>
      <c r="AA89" s="18"/>
    </row>
    <row r="90" spans="1:38" ht="13.2" customHeight="1" x14ac:dyDescent="0.25">
      <c r="A90" s="3">
        <v>44621</v>
      </c>
      <c r="B90" s="1">
        <f t="shared" si="16"/>
        <v>2022</v>
      </c>
      <c r="C90" s="1" t="str">
        <f t="shared" si="23"/>
        <v>Q1</v>
      </c>
      <c r="D90" s="18">
        <v>7662.5</v>
      </c>
      <c r="E90" s="18">
        <v>7573.4</v>
      </c>
      <c r="F90" s="18">
        <v>222.7</v>
      </c>
      <c r="G90" s="18">
        <v>222</v>
      </c>
      <c r="H90" s="18">
        <v>850461.9</v>
      </c>
      <c r="I90" s="18">
        <v>662856.4</v>
      </c>
      <c r="J90" s="18">
        <v>71555.5</v>
      </c>
      <c r="K90" s="4">
        <v>845218</v>
      </c>
      <c r="L90" s="4">
        <v>657318</v>
      </c>
      <c r="M90" s="18">
        <v>28188</v>
      </c>
      <c r="N90" s="18">
        <f t="shared" si="19"/>
        <v>444.39999999999964</v>
      </c>
      <c r="O90" s="18">
        <f t="shared" si="20"/>
        <v>443.89999999999964</v>
      </c>
      <c r="P90" s="18">
        <f t="shared" si="21"/>
        <v>18.199999999999989</v>
      </c>
      <c r="Q90" s="18">
        <f t="shared" si="22"/>
        <v>18.300000000000011</v>
      </c>
      <c r="R90" s="24">
        <f t="shared" si="17"/>
        <v>33196.400000000023</v>
      </c>
      <c r="S90" s="18">
        <f t="shared" si="18"/>
        <v>6821</v>
      </c>
      <c r="T90" s="18">
        <f t="shared" si="24"/>
        <v>2958</v>
      </c>
      <c r="U90" s="18">
        <f t="shared" si="25"/>
        <v>583</v>
      </c>
      <c r="V90" s="18"/>
      <c r="W90" s="18"/>
      <c r="X90" s="18"/>
      <c r="Y90" s="18"/>
      <c r="Z90" s="18"/>
      <c r="AA90" s="18"/>
    </row>
    <row r="91" spans="1:38" ht="13.2" customHeight="1" x14ac:dyDescent="0.25">
      <c r="A91" s="3">
        <v>44652</v>
      </c>
      <c r="B91" s="1">
        <f t="shared" si="16"/>
        <v>2022</v>
      </c>
      <c r="C91" s="1" t="str">
        <f t="shared" si="23"/>
        <v>Q2</v>
      </c>
      <c r="D91" s="18">
        <v>7736.6</v>
      </c>
      <c r="E91" s="18">
        <v>7670</v>
      </c>
      <c r="F91" s="18">
        <v>227.3</v>
      </c>
      <c r="G91" s="18">
        <v>227.3</v>
      </c>
      <c r="H91" s="18">
        <v>850461.9</v>
      </c>
      <c r="I91" s="18">
        <v>662856.4</v>
      </c>
      <c r="J91" s="18">
        <v>71555.5</v>
      </c>
      <c r="K91" s="4">
        <v>851621</v>
      </c>
      <c r="L91" s="4">
        <v>664186</v>
      </c>
      <c r="M91" s="18">
        <v>30079</v>
      </c>
      <c r="N91" s="18">
        <f t="shared" si="19"/>
        <v>472.60000000000036</v>
      </c>
      <c r="O91" s="18">
        <f t="shared" si="20"/>
        <v>473</v>
      </c>
      <c r="P91" s="18">
        <f t="shared" si="21"/>
        <v>21.300000000000011</v>
      </c>
      <c r="Q91" s="18">
        <f t="shared" si="22"/>
        <v>21.200000000000017</v>
      </c>
      <c r="R91" s="24">
        <f t="shared" si="17"/>
        <v>33196.400000000023</v>
      </c>
      <c r="S91" s="18">
        <f t="shared" si="18"/>
        <v>6403</v>
      </c>
      <c r="T91" s="18">
        <f t="shared" si="24"/>
        <v>6868</v>
      </c>
      <c r="U91" s="18">
        <f t="shared" si="25"/>
        <v>1891</v>
      </c>
    </row>
    <row r="92" spans="1:38" ht="13.2" customHeight="1" x14ac:dyDescent="0.25">
      <c r="A92" s="3">
        <v>44682</v>
      </c>
      <c r="B92" s="1">
        <f t="shared" si="16"/>
        <v>2022</v>
      </c>
      <c r="C92" s="1" t="str">
        <f t="shared" si="23"/>
        <v>Q2</v>
      </c>
      <c r="D92" s="18">
        <v>7753.3</v>
      </c>
      <c r="E92" s="18">
        <v>7738.6</v>
      </c>
      <c r="F92" s="18">
        <v>229.3</v>
      </c>
      <c r="G92" s="18">
        <v>230.8</v>
      </c>
      <c r="H92" s="18">
        <v>850461.9</v>
      </c>
      <c r="I92" s="18">
        <v>662856.4</v>
      </c>
      <c r="J92" s="18">
        <v>71555.5</v>
      </c>
      <c r="K92" s="4">
        <v>851621</v>
      </c>
      <c r="L92" s="4">
        <v>664186</v>
      </c>
      <c r="M92" s="18">
        <v>30079</v>
      </c>
      <c r="N92" s="18">
        <f t="shared" si="19"/>
        <v>494</v>
      </c>
      <c r="O92" s="18">
        <f t="shared" si="20"/>
        <v>500.90000000000055</v>
      </c>
      <c r="P92" s="18">
        <f t="shared" si="21"/>
        <v>25.200000000000017</v>
      </c>
      <c r="Q92" s="18">
        <f t="shared" si="22"/>
        <v>24.800000000000011</v>
      </c>
      <c r="R92" s="24">
        <f t="shared" si="17"/>
        <v>33196.400000000023</v>
      </c>
      <c r="S92" s="18">
        <f t="shared" si="18"/>
        <v>6403</v>
      </c>
      <c r="T92" s="18">
        <f t="shared" si="24"/>
        <v>6868</v>
      </c>
      <c r="U92" s="18">
        <f t="shared" si="25"/>
        <v>1891</v>
      </c>
    </row>
    <row r="93" spans="1:38" ht="13.2" customHeight="1" x14ac:dyDescent="0.25">
      <c r="A93" s="3">
        <v>44713</v>
      </c>
      <c r="B93" s="1">
        <f t="shared" si="16"/>
        <v>2022</v>
      </c>
      <c r="C93" s="1" t="str">
        <f t="shared" si="23"/>
        <v>Q2</v>
      </c>
      <c r="D93" s="18">
        <v>7754.8</v>
      </c>
      <c r="E93" s="18">
        <v>7809.2</v>
      </c>
      <c r="F93" s="18">
        <v>229.9</v>
      </c>
      <c r="G93" s="18">
        <v>232.7</v>
      </c>
      <c r="H93" s="18">
        <v>850461.9</v>
      </c>
      <c r="I93" s="18">
        <v>662856.4</v>
      </c>
      <c r="J93" s="18">
        <v>71555.5</v>
      </c>
      <c r="K93" s="4">
        <v>851621</v>
      </c>
      <c r="L93" s="4">
        <v>664186</v>
      </c>
      <c r="M93" s="18">
        <v>30079</v>
      </c>
      <c r="N93" s="18">
        <f t="shared" si="19"/>
        <v>509.5</v>
      </c>
      <c r="O93" s="18">
        <f t="shared" si="20"/>
        <v>516.19999999999982</v>
      </c>
      <c r="P93" s="18">
        <f t="shared" si="21"/>
        <v>26</v>
      </c>
      <c r="Q93" s="18">
        <f t="shared" si="22"/>
        <v>25.599999999999994</v>
      </c>
      <c r="R93" s="24">
        <f t="shared" si="17"/>
        <v>33196.400000000023</v>
      </c>
      <c r="S93" s="18">
        <f t="shared" si="18"/>
        <v>6403</v>
      </c>
      <c r="T93" s="18">
        <f t="shared" si="24"/>
        <v>6868</v>
      </c>
      <c r="U93" s="18">
        <f t="shared" si="25"/>
        <v>1891</v>
      </c>
    </row>
    <row r="94" spans="1:38" ht="13.2" customHeight="1" x14ac:dyDescent="0.25">
      <c r="A94" s="3">
        <v>44743</v>
      </c>
      <c r="B94" s="1">
        <f t="shared" si="16"/>
        <v>2022</v>
      </c>
      <c r="C94" s="1" t="str">
        <f t="shared" si="23"/>
        <v>Q3</v>
      </c>
      <c r="D94" s="18">
        <v>7754.8</v>
      </c>
      <c r="E94" s="18">
        <v>7843.6</v>
      </c>
      <c r="F94" s="18">
        <v>228.8</v>
      </c>
      <c r="G94" s="18">
        <v>231.2</v>
      </c>
      <c r="H94" s="18">
        <v>850461.9</v>
      </c>
      <c r="I94" s="18">
        <v>662856.4</v>
      </c>
      <c r="J94" s="18">
        <v>71555.5</v>
      </c>
      <c r="K94" s="4">
        <v>852979</v>
      </c>
      <c r="L94" s="4">
        <v>664978</v>
      </c>
      <c r="M94" s="18">
        <v>30634</v>
      </c>
      <c r="N94" s="18">
        <f t="shared" si="19"/>
        <v>443.40000000000055</v>
      </c>
      <c r="O94" s="18">
        <f t="shared" si="20"/>
        <v>451.80000000000018</v>
      </c>
      <c r="P94" s="18">
        <f t="shared" si="21"/>
        <v>23.100000000000023</v>
      </c>
      <c r="Q94" s="18">
        <f t="shared" si="22"/>
        <v>22.399999999999977</v>
      </c>
      <c r="R94" s="24">
        <f t="shared" si="17"/>
        <v>33196.400000000023</v>
      </c>
      <c r="S94" s="18">
        <f t="shared" si="18"/>
        <v>1358</v>
      </c>
      <c r="T94" s="18">
        <f t="shared" si="24"/>
        <v>792</v>
      </c>
      <c r="U94" s="18">
        <f t="shared" si="25"/>
        <v>555</v>
      </c>
    </row>
    <row r="95" spans="1:38" ht="13.2" customHeight="1" x14ac:dyDescent="0.25">
      <c r="A95" s="3">
        <v>44774</v>
      </c>
      <c r="B95" s="1">
        <f t="shared" si="16"/>
        <v>2022</v>
      </c>
      <c r="C95" s="1" t="str">
        <f t="shared" si="23"/>
        <v>Q3</v>
      </c>
      <c r="D95" s="18">
        <v>7747.4</v>
      </c>
      <c r="E95" s="18">
        <v>7825.4</v>
      </c>
      <c r="F95" s="18">
        <v>227.3</v>
      </c>
      <c r="G95" s="18">
        <v>227.9</v>
      </c>
      <c r="H95" s="18">
        <v>850461.9</v>
      </c>
      <c r="I95" s="18">
        <v>662856.4</v>
      </c>
      <c r="J95" s="18">
        <v>71555.5</v>
      </c>
      <c r="K95" s="4">
        <v>852979</v>
      </c>
      <c r="L95" s="4">
        <v>664978</v>
      </c>
      <c r="M95" s="18">
        <v>30634</v>
      </c>
      <c r="N95" s="18">
        <f t="shared" si="19"/>
        <v>347.29999999999927</v>
      </c>
      <c r="O95" s="18">
        <f t="shared" si="20"/>
        <v>350.19999999999982</v>
      </c>
      <c r="P95" s="18">
        <f t="shared" si="21"/>
        <v>18.700000000000017</v>
      </c>
      <c r="Q95" s="18">
        <f t="shared" si="22"/>
        <v>18.300000000000011</v>
      </c>
      <c r="R95" s="24">
        <f t="shared" si="17"/>
        <v>33196.400000000023</v>
      </c>
      <c r="S95" s="18">
        <f t="shared" si="18"/>
        <v>1358</v>
      </c>
      <c r="T95" s="18">
        <f t="shared" si="24"/>
        <v>792</v>
      </c>
      <c r="U95" s="18">
        <f t="shared" si="25"/>
        <v>555</v>
      </c>
    </row>
    <row r="96" spans="1:38" ht="13.2" customHeight="1" x14ac:dyDescent="0.25">
      <c r="A96" s="3">
        <v>44805</v>
      </c>
      <c r="B96" s="1">
        <f t="shared" si="16"/>
        <v>2022</v>
      </c>
      <c r="C96" s="1" t="str">
        <f t="shared" si="23"/>
        <v>Q3</v>
      </c>
      <c r="D96" s="18">
        <v>7740.7</v>
      </c>
      <c r="E96" s="18">
        <v>7766.7</v>
      </c>
      <c r="F96" s="18">
        <v>226</v>
      </c>
      <c r="G96" s="18">
        <v>224.4</v>
      </c>
      <c r="H96" s="18">
        <v>850461.9</v>
      </c>
      <c r="I96" s="18">
        <v>662856.4</v>
      </c>
      <c r="J96" s="18">
        <v>71555.5</v>
      </c>
      <c r="K96" s="4">
        <v>852979</v>
      </c>
      <c r="L96" s="4">
        <v>664978</v>
      </c>
      <c r="M96" s="18">
        <v>30634</v>
      </c>
      <c r="N96" s="18">
        <f t="shared" si="19"/>
        <v>266.19999999999982</v>
      </c>
      <c r="O96" s="18">
        <f t="shared" si="20"/>
        <v>263.5</v>
      </c>
      <c r="P96" s="18">
        <f t="shared" si="21"/>
        <v>13.099999999999994</v>
      </c>
      <c r="Q96" s="18">
        <f t="shared" si="22"/>
        <v>12.800000000000011</v>
      </c>
      <c r="R96" s="24">
        <f t="shared" si="17"/>
        <v>33196.400000000023</v>
      </c>
      <c r="S96" s="18">
        <f t="shared" si="18"/>
        <v>1358</v>
      </c>
      <c r="T96" s="18">
        <f t="shared" si="24"/>
        <v>792</v>
      </c>
      <c r="U96" s="18">
        <f t="shared" si="25"/>
        <v>555</v>
      </c>
    </row>
    <row r="97" spans="1:36" ht="13.2" customHeight="1" x14ac:dyDescent="0.25">
      <c r="A97" s="3">
        <v>44835</v>
      </c>
      <c r="B97" s="1">
        <f t="shared" si="16"/>
        <v>2022</v>
      </c>
      <c r="C97" s="1" t="str">
        <f t="shared" si="23"/>
        <v>Q4</v>
      </c>
      <c r="D97" s="18">
        <v>7740.3</v>
      </c>
      <c r="E97" s="18">
        <v>7743.5</v>
      </c>
      <c r="F97" s="18">
        <v>226.2</v>
      </c>
      <c r="G97" s="18">
        <v>223.5</v>
      </c>
      <c r="H97" s="18">
        <v>850461.9</v>
      </c>
      <c r="I97" s="18">
        <v>662856.4</v>
      </c>
      <c r="J97" s="18">
        <v>71555.5</v>
      </c>
      <c r="K97" s="4">
        <v>852029</v>
      </c>
      <c r="L97" s="4">
        <v>664944</v>
      </c>
      <c r="M97" s="18">
        <v>31696</v>
      </c>
      <c r="N97" s="18">
        <f t="shared" si="19"/>
        <v>210.90000000000055</v>
      </c>
      <c r="O97" s="18">
        <f t="shared" si="20"/>
        <v>205</v>
      </c>
      <c r="P97" s="18">
        <f t="shared" si="21"/>
        <v>9</v>
      </c>
      <c r="Q97" s="18">
        <f t="shared" si="22"/>
        <v>9</v>
      </c>
      <c r="R97" s="24">
        <f t="shared" si="17"/>
        <v>33196.400000000023</v>
      </c>
      <c r="S97" s="18">
        <f t="shared" si="18"/>
        <v>-950</v>
      </c>
      <c r="T97" s="18">
        <f t="shared" si="24"/>
        <v>-34</v>
      </c>
      <c r="U97" s="18">
        <f t="shared" si="25"/>
        <v>1062</v>
      </c>
      <c r="AD97" s="434"/>
      <c r="AE97" s="435"/>
      <c r="AF97" s="435"/>
      <c r="AG97" s="435"/>
      <c r="AH97" s="435"/>
      <c r="AI97" s="444"/>
      <c r="AJ97" s="444"/>
    </row>
    <row r="98" spans="1:36" ht="13.2" customHeight="1" x14ac:dyDescent="0.25">
      <c r="A98" s="3">
        <v>44866</v>
      </c>
      <c r="B98" s="1">
        <f t="shared" si="16"/>
        <v>2022</v>
      </c>
      <c r="C98" s="1" t="str">
        <f t="shared" si="23"/>
        <v>Q4</v>
      </c>
      <c r="D98" s="18">
        <v>7747.2</v>
      </c>
      <c r="E98" s="18">
        <v>7738.9</v>
      </c>
      <c r="F98" s="18">
        <v>225.9</v>
      </c>
      <c r="G98" s="18">
        <v>223.8</v>
      </c>
      <c r="H98" s="18">
        <v>850461.9</v>
      </c>
      <c r="I98" s="18">
        <v>662856.4</v>
      </c>
      <c r="J98" s="18">
        <v>71555.5</v>
      </c>
      <c r="K98" s="4">
        <v>852029</v>
      </c>
      <c r="L98" s="4">
        <v>664944</v>
      </c>
      <c r="M98" s="18">
        <v>31696</v>
      </c>
      <c r="N98" s="18">
        <f t="shared" si="19"/>
        <v>155.19999999999982</v>
      </c>
      <c r="O98" s="18">
        <f t="shared" si="20"/>
        <v>148.79999999999927</v>
      </c>
      <c r="P98" s="18">
        <f t="shared" si="21"/>
        <v>3.3000000000000114</v>
      </c>
      <c r="Q98" s="18">
        <f t="shared" si="22"/>
        <v>3.6000000000000227</v>
      </c>
      <c r="R98" s="24">
        <f t="shared" si="17"/>
        <v>33196.400000000023</v>
      </c>
      <c r="S98" s="18">
        <f t="shared" si="18"/>
        <v>-950</v>
      </c>
      <c r="T98" s="18">
        <f t="shared" si="24"/>
        <v>-34</v>
      </c>
      <c r="U98" s="18">
        <f t="shared" si="25"/>
        <v>1062</v>
      </c>
      <c r="AD98" s="434"/>
      <c r="AE98" s="435"/>
      <c r="AF98" s="435"/>
      <c r="AG98" s="435"/>
      <c r="AH98" s="435"/>
      <c r="AI98" s="444"/>
      <c r="AJ98" s="444"/>
    </row>
    <row r="99" spans="1:36" ht="13.2" customHeight="1" x14ac:dyDescent="0.25">
      <c r="A99" s="3">
        <v>44896</v>
      </c>
      <c r="B99" s="1">
        <f t="shared" si="16"/>
        <v>2022</v>
      </c>
      <c r="C99" s="1" t="str">
        <f t="shared" si="23"/>
        <v>Q4</v>
      </c>
      <c r="D99" s="18">
        <v>7776.1</v>
      </c>
      <c r="E99" s="18">
        <v>7777.2</v>
      </c>
      <c r="F99" s="18">
        <v>227.6</v>
      </c>
      <c r="G99" s="18">
        <v>227.1</v>
      </c>
      <c r="H99" s="18">
        <v>850461.9</v>
      </c>
      <c r="I99" s="18">
        <v>662856.4</v>
      </c>
      <c r="J99" s="18">
        <v>71555.5</v>
      </c>
      <c r="K99" s="4">
        <v>852029</v>
      </c>
      <c r="L99" s="4">
        <v>664944</v>
      </c>
      <c r="M99" s="18">
        <v>31696</v>
      </c>
      <c r="N99" s="18">
        <f t="shared" si="19"/>
        <v>131.90000000000055</v>
      </c>
      <c r="O99" s="18">
        <f t="shared" si="20"/>
        <v>129.69999999999982</v>
      </c>
      <c r="P99" s="18">
        <f t="shared" si="21"/>
        <v>4.0999999999999943</v>
      </c>
      <c r="Q99" s="18">
        <f t="shared" si="22"/>
        <v>4.7999999999999829</v>
      </c>
      <c r="R99" s="24">
        <f t="shared" si="17"/>
        <v>33196.400000000023</v>
      </c>
      <c r="S99" s="18">
        <f t="shared" si="18"/>
        <v>-950</v>
      </c>
      <c r="T99" s="18">
        <f t="shared" si="24"/>
        <v>-34</v>
      </c>
      <c r="U99" s="18">
        <f t="shared" si="25"/>
        <v>1062</v>
      </c>
      <c r="AD99" s="434"/>
      <c r="AE99" s="435"/>
      <c r="AF99" s="435"/>
      <c r="AG99" s="435"/>
      <c r="AH99" s="435"/>
      <c r="AI99" s="444"/>
      <c r="AJ99" s="444"/>
    </row>
    <row r="100" spans="1:36" ht="13.2" customHeight="1" x14ac:dyDescent="0.25">
      <c r="A100" s="3">
        <v>44927</v>
      </c>
      <c r="B100" s="1">
        <f t="shared" si="16"/>
        <v>2023</v>
      </c>
      <c r="C100" s="1" t="str">
        <f t="shared" si="23"/>
        <v>Q1</v>
      </c>
      <c r="D100" s="18">
        <v>7807</v>
      </c>
      <c r="E100" s="18">
        <v>7776.6</v>
      </c>
      <c r="F100" s="18">
        <v>228.9</v>
      </c>
      <c r="G100" s="18">
        <v>229.2</v>
      </c>
      <c r="H100" s="18">
        <v>865859.6</v>
      </c>
      <c r="I100" s="18">
        <v>679067</v>
      </c>
      <c r="J100" s="18">
        <v>74531.5</v>
      </c>
      <c r="K100" s="4">
        <v>860658</v>
      </c>
      <c r="L100" s="4">
        <v>671794</v>
      </c>
      <c r="M100" s="18">
        <v>32304</v>
      </c>
      <c r="N100" s="18">
        <f t="shared" si="19"/>
        <v>179.30000000000018</v>
      </c>
      <c r="O100" s="18">
        <f t="shared" si="20"/>
        <v>181.5</v>
      </c>
      <c r="P100" s="18">
        <f t="shared" si="21"/>
        <v>7.5999999999999943</v>
      </c>
      <c r="Q100" s="18">
        <f t="shared" si="22"/>
        <v>8.3999999999999773</v>
      </c>
      <c r="R100" s="24">
        <f t="shared" si="17"/>
        <v>15397.699999999953</v>
      </c>
      <c r="S100" s="18">
        <f t="shared" si="18"/>
        <v>8629</v>
      </c>
      <c r="T100" s="18">
        <f t="shared" si="24"/>
        <v>6850</v>
      </c>
      <c r="U100" s="18">
        <f t="shared" si="25"/>
        <v>608</v>
      </c>
      <c r="AD100" s="434"/>
      <c r="AE100" s="435"/>
      <c r="AF100" s="435"/>
      <c r="AG100" s="435"/>
      <c r="AH100" s="435"/>
      <c r="AI100" s="444"/>
      <c r="AJ100" s="444"/>
    </row>
    <row r="101" spans="1:36" ht="13.2" customHeight="1" x14ac:dyDescent="0.25">
      <c r="A101" s="3">
        <v>44958</v>
      </c>
      <c r="B101" s="1">
        <f t="shared" si="16"/>
        <v>2023</v>
      </c>
      <c r="C101" s="1" t="str">
        <f t="shared" si="23"/>
        <v>Q1</v>
      </c>
      <c r="D101" s="18">
        <v>7840.7</v>
      </c>
      <c r="E101" s="18">
        <v>7780.5</v>
      </c>
      <c r="F101" s="18">
        <v>229.5</v>
      </c>
      <c r="G101" s="18">
        <v>229.6</v>
      </c>
      <c r="H101" s="18">
        <v>865859.6</v>
      </c>
      <c r="I101" s="18">
        <f>I100</f>
        <v>679067</v>
      </c>
      <c r="J101" s="18">
        <v>74531.5</v>
      </c>
      <c r="K101" s="4">
        <v>860658</v>
      </c>
      <c r="L101" s="4">
        <v>671794</v>
      </c>
      <c r="M101" s="18">
        <v>32304</v>
      </c>
      <c r="N101" s="18">
        <f t="shared" si="19"/>
        <v>189.39999999999964</v>
      </c>
      <c r="O101" s="18">
        <f t="shared" si="20"/>
        <v>191.69999999999982</v>
      </c>
      <c r="P101" s="18">
        <f t="shared" si="21"/>
        <v>8.1999999999999886</v>
      </c>
      <c r="Q101" s="18">
        <f t="shared" si="22"/>
        <v>8.6999999999999886</v>
      </c>
      <c r="R101" s="24">
        <f t="shared" si="17"/>
        <v>15397.699999999953</v>
      </c>
      <c r="S101" s="18">
        <f t="shared" si="18"/>
        <v>8629</v>
      </c>
      <c r="T101" s="18">
        <f t="shared" si="24"/>
        <v>6850</v>
      </c>
      <c r="U101" s="18">
        <f t="shared" si="25"/>
        <v>608</v>
      </c>
      <c r="AD101" s="434"/>
      <c r="AE101" s="435"/>
      <c r="AF101" s="435"/>
      <c r="AG101" s="435"/>
      <c r="AH101" s="435"/>
      <c r="AI101" s="444"/>
      <c r="AJ101" s="444"/>
    </row>
    <row r="102" spans="1:36" ht="13.2" customHeight="1" x14ac:dyDescent="0.25">
      <c r="A102" s="3">
        <v>44986</v>
      </c>
      <c r="B102" s="1">
        <f t="shared" si="16"/>
        <v>2023</v>
      </c>
      <c r="C102" s="1" t="str">
        <f t="shared" si="23"/>
        <v>Q1</v>
      </c>
      <c r="D102" s="18">
        <v>7866.6</v>
      </c>
      <c r="E102" s="18">
        <v>7781.3</v>
      </c>
      <c r="F102" s="18">
        <v>226.7</v>
      </c>
      <c r="G102" s="18">
        <v>225.8</v>
      </c>
      <c r="H102" s="18">
        <v>865859.6</v>
      </c>
      <c r="I102" s="18">
        <f t="shared" ref="I102:I111" si="26">I101</f>
        <v>679067</v>
      </c>
      <c r="J102" s="18">
        <v>74531.5</v>
      </c>
      <c r="K102" s="4">
        <v>860658</v>
      </c>
      <c r="L102" s="4">
        <v>671794</v>
      </c>
      <c r="M102" s="18">
        <v>32304</v>
      </c>
      <c r="N102" s="18">
        <f t="shared" si="19"/>
        <v>204.10000000000036</v>
      </c>
      <c r="O102" s="18">
        <f t="shared" si="20"/>
        <v>207.90000000000055</v>
      </c>
      <c r="P102" s="18">
        <f t="shared" si="21"/>
        <v>4</v>
      </c>
      <c r="Q102" s="18">
        <f t="shared" si="22"/>
        <v>3.8000000000000114</v>
      </c>
      <c r="R102" s="24">
        <f t="shared" si="17"/>
        <v>15397.699999999953</v>
      </c>
      <c r="S102" s="18">
        <f t="shared" si="18"/>
        <v>8629</v>
      </c>
      <c r="T102" s="18">
        <f t="shared" si="24"/>
        <v>6850</v>
      </c>
      <c r="U102" s="18">
        <f t="shared" si="25"/>
        <v>608</v>
      </c>
      <c r="AD102" s="434"/>
      <c r="AE102" s="435"/>
      <c r="AF102" s="435"/>
      <c r="AG102" s="435"/>
      <c r="AH102" s="435"/>
      <c r="AI102" s="444"/>
      <c r="AJ102" s="444"/>
    </row>
    <row r="103" spans="1:36" ht="13.2" customHeight="1" x14ac:dyDescent="0.25">
      <c r="A103" s="3">
        <v>45017</v>
      </c>
      <c r="B103" s="1">
        <f t="shared" si="16"/>
        <v>2023</v>
      </c>
      <c r="C103" s="1" t="str">
        <f t="shared" si="23"/>
        <v>Q2</v>
      </c>
      <c r="D103" s="18">
        <v>7884.3</v>
      </c>
      <c r="E103" s="18">
        <v>7819.6</v>
      </c>
      <c r="F103" s="18">
        <v>223.9</v>
      </c>
      <c r="G103" s="18">
        <v>223.9</v>
      </c>
      <c r="H103" s="18">
        <v>865859.6</v>
      </c>
      <c r="I103" s="18">
        <f t="shared" si="26"/>
        <v>679067</v>
      </c>
      <c r="J103" s="18">
        <v>74531.5</v>
      </c>
      <c r="K103" s="4">
        <v>865503</v>
      </c>
      <c r="L103" s="4">
        <v>675983</v>
      </c>
      <c r="M103" s="18">
        <v>32660</v>
      </c>
      <c r="N103" s="18">
        <f t="shared" si="19"/>
        <v>147.69999999999982</v>
      </c>
      <c r="O103" s="18">
        <f t="shared" si="20"/>
        <v>149.60000000000036</v>
      </c>
      <c r="P103" s="18">
        <f t="shared" si="21"/>
        <v>-3.4000000000000057</v>
      </c>
      <c r="Q103" s="18">
        <f t="shared" si="22"/>
        <v>-3.4000000000000057</v>
      </c>
      <c r="R103" s="24">
        <f t="shared" si="17"/>
        <v>15397.699999999953</v>
      </c>
      <c r="S103" s="18">
        <f t="shared" si="18"/>
        <v>4845</v>
      </c>
      <c r="T103" s="18">
        <f t="shared" si="24"/>
        <v>4189</v>
      </c>
      <c r="U103" s="18">
        <f t="shared" si="25"/>
        <v>356</v>
      </c>
      <c r="AD103" s="434"/>
      <c r="AE103" s="435"/>
      <c r="AF103" s="435"/>
      <c r="AG103" s="435"/>
      <c r="AH103" s="435"/>
      <c r="AI103" s="444"/>
      <c r="AJ103" s="444"/>
    </row>
    <row r="104" spans="1:36" ht="13.2" customHeight="1" x14ac:dyDescent="0.25">
      <c r="A104" s="3">
        <v>45047</v>
      </c>
      <c r="B104" s="1">
        <f t="shared" si="16"/>
        <v>2023</v>
      </c>
      <c r="C104" s="1" t="str">
        <f t="shared" si="23"/>
        <v>Q2</v>
      </c>
      <c r="D104" s="18">
        <v>7895.3</v>
      </c>
      <c r="E104" s="18">
        <v>7882.6</v>
      </c>
      <c r="F104" s="18">
        <v>220</v>
      </c>
      <c r="G104" s="18">
        <v>221.2</v>
      </c>
      <c r="H104" s="18">
        <v>865859.6</v>
      </c>
      <c r="I104" s="18">
        <f t="shared" si="26"/>
        <v>679067</v>
      </c>
      <c r="J104" s="18">
        <v>74531.5</v>
      </c>
      <c r="K104" s="4">
        <v>865503</v>
      </c>
      <c r="L104" s="4">
        <v>675983</v>
      </c>
      <c r="M104" s="18">
        <v>32660</v>
      </c>
      <c r="N104" s="18">
        <f t="shared" si="19"/>
        <v>142</v>
      </c>
      <c r="O104" s="18">
        <f t="shared" si="20"/>
        <v>144</v>
      </c>
      <c r="P104" s="18">
        <f t="shared" si="21"/>
        <v>-9.3000000000000114</v>
      </c>
      <c r="Q104" s="18">
        <f t="shared" si="22"/>
        <v>-9.6000000000000227</v>
      </c>
      <c r="R104" s="24">
        <f t="shared" si="17"/>
        <v>15397.699999999953</v>
      </c>
      <c r="S104" s="18">
        <f t="shared" si="18"/>
        <v>4845</v>
      </c>
      <c r="T104" s="18">
        <f t="shared" si="24"/>
        <v>4189</v>
      </c>
      <c r="U104" s="18">
        <f t="shared" si="25"/>
        <v>356</v>
      </c>
      <c r="AD104" s="434"/>
      <c r="AE104" s="435"/>
      <c r="AF104" s="435"/>
      <c r="AG104" s="435"/>
      <c r="AH104" s="435"/>
      <c r="AI104" s="444"/>
      <c r="AJ104" s="444"/>
    </row>
    <row r="105" spans="1:36" ht="13.2" customHeight="1" x14ac:dyDescent="0.25">
      <c r="A105" s="3">
        <v>45078</v>
      </c>
      <c r="B105" s="1">
        <f t="shared" si="16"/>
        <v>2023</v>
      </c>
      <c r="C105" s="1" t="str">
        <f t="shared" si="23"/>
        <v>Q2</v>
      </c>
      <c r="D105" s="18">
        <v>7916.1</v>
      </c>
      <c r="E105" s="18">
        <v>7971.2</v>
      </c>
      <c r="F105" s="18">
        <v>220.4</v>
      </c>
      <c r="G105" s="18">
        <v>223</v>
      </c>
      <c r="H105" s="18">
        <v>865859.6</v>
      </c>
      <c r="I105" s="18">
        <f t="shared" si="26"/>
        <v>679067</v>
      </c>
      <c r="J105" s="18">
        <v>74531.5</v>
      </c>
      <c r="K105" s="4">
        <v>865503</v>
      </c>
      <c r="L105" s="4">
        <v>675983</v>
      </c>
      <c r="M105" s="18">
        <v>32660</v>
      </c>
      <c r="N105" s="18">
        <f t="shared" si="19"/>
        <v>161.30000000000018</v>
      </c>
      <c r="O105" s="18">
        <f t="shared" si="20"/>
        <v>162</v>
      </c>
      <c r="P105" s="18">
        <f t="shared" si="21"/>
        <v>-9.5</v>
      </c>
      <c r="Q105" s="18">
        <f t="shared" si="22"/>
        <v>-9.6999999999999886</v>
      </c>
      <c r="R105" s="24">
        <f t="shared" si="17"/>
        <v>15397.699999999953</v>
      </c>
      <c r="S105" s="18">
        <f t="shared" si="18"/>
        <v>4845</v>
      </c>
      <c r="T105" s="18">
        <f t="shared" si="24"/>
        <v>4189</v>
      </c>
      <c r="U105" s="18">
        <f t="shared" si="25"/>
        <v>356</v>
      </c>
      <c r="AD105" s="434"/>
      <c r="AE105" s="435"/>
      <c r="AF105" s="435"/>
      <c r="AG105" s="435"/>
      <c r="AH105" s="435"/>
      <c r="AI105" s="444"/>
      <c r="AJ105" s="444"/>
    </row>
    <row r="106" spans="1:36" ht="13.2" customHeight="1" x14ac:dyDescent="0.25">
      <c r="A106" s="3">
        <v>45108</v>
      </c>
      <c r="B106" s="1">
        <f t="shared" si="16"/>
        <v>2023</v>
      </c>
      <c r="C106" s="1" t="str">
        <f t="shared" si="23"/>
        <v>Q3</v>
      </c>
      <c r="D106" s="18">
        <v>7926.1</v>
      </c>
      <c r="E106" s="18">
        <v>8016.9</v>
      </c>
      <c r="F106" s="18">
        <v>220.8</v>
      </c>
      <c r="G106" s="18">
        <v>222.5</v>
      </c>
      <c r="H106" s="18">
        <v>865859.6</v>
      </c>
      <c r="I106" s="18">
        <f t="shared" si="26"/>
        <v>679067</v>
      </c>
      <c r="J106" s="18">
        <v>74531.5</v>
      </c>
      <c r="K106" s="4">
        <v>867701</v>
      </c>
      <c r="L106" s="4">
        <v>682077</v>
      </c>
      <c r="M106" s="18">
        <v>32844</v>
      </c>
      <c r="N106" s="18">
        <f t="shared" si="19"/>
        <v>171.30000000000018</v>
      </c>
      <c r="O106" s="18">
        <f t="shared" si="20"/>
        <v>173.29999999999927</v>
      </c>
      <c r="P106" s="18">
        <f t="shared" si="21"/>
        <v>-8</v>
      </c>
      <c r="Q106" s="18">
        <f t="shared" si="22"/>
        <v>-8.6999999999999886</v>
      </c>
      <c r="R106" s="24">
        <f t="shared" si="17"/>
        <v>15397.699999999953</v>
      </c>
      <c r="S106" s="18">
        <f t="shared" si="18"/>
        <v>2198</v>
      </c>
      <c r="T106" s="18">
        <f t="shared" si="24"/>
        <v>6094</v>
      </c>
      <c r="U106" s="18">
        <f t="shared" si="25"/>
        <v>184</v>
      </c>
      <c r="AD106" s="434"/>
      <c r="AE106" s="435"/>
      <c r="AF106" s="435"/>
      <c r="AG106" s="435"/>
      <c r="AH106" s="435"/>
      <c r="AI106" s="444"/>
      <c r="AJ106" s="444"/>
    </row>
    <row r="107" spans="1:36" ht="13.2" customHeight="1" x14ac:dyDescent="0.25">
      <c r="A107" s="3">
        <v>45139</v>
      </c>
      <c r="B107" s="1">
        <f t="shared" si="16"/>
        <v>2023</v>
      </c>
      <c r="C107" s="1" t="str">
        <f t="shared" si="23"/>
        <v>Q3</v>
      </c>
      <c r="D107" s="18">
        <v>7940.5</v>
      </c>
      <c r="E107" s="18">
        <v>8020.3</v>
      </c>
      <c r="F107" s="18">
        <v>223.5</v>
      </c>
      <c r="G107" s="18">
        <v>223.8</v>
      </c>
      <c r="H107" s="18">
        <v>865859.6</v>
      </c>
      <c r="I107" s="18">
        <f t="shared" si="26"/>
        <v>679067</v>
      </c>
      <c r="J107" s="18">
        <v>74531.5</v>
      </c>
      <c r="K107" s="4">
        <v>867701</v>
      </c>
      <c r="L107" s="4">
        <v>682077</v>
      </c>
      <c r="M107" s="18">
        <v>32844</v>
      </c>
      <c r="N107" s="18">
        <f t="shared" si="19"/>
        <v>193.10000000000036</v>
      </c>
      <c r="O107" s="18">
        <f t="shared" si="20"/>
        <v>194.90000000000055</v>
      </c>
      <c r="P107" s="18">
        <f t="shared" si="21"/>
        <v>-3.8000000000000114</v>
      </c>
      <c r="Q107" s="18">
        <f t="shared" si="22"/>
        <v>-4.0999999999999943</v>
      </c>
      <c r="R107" s="24">
        <f t="shared" si="17"/>
        <v>15397.699999999953</v>
      </c>
      <c r="S107" s="18">
        <f t="shared" si="18"/>
        <v>2198</v>
      </c>
      <c r="T107" s="18">
        <f t="shared" si="24"/>
        <v>6094</v>
      </c>
      <c r="U107" s="18">
        <f t="shared" si="25"/>
        <v>184</v>
      </c>
      <c r="AD107" s="434"/>
      <c r="AE107" s="435"/>
      <c r="AF107" s="435"/>
      <c r="AG107" s="435"/>
      <c r="AH107" s="435"/>
      <c r="AI107" s="444"/>
      <c r="AJ107" s="444"/>
    </row>
    <row r="108" spans="1:36" ht="13.2" customHeight="1" x14ac:dyDescent="0.25">
      <c r="A108" s="3">
        <v>45170</v>
      </c>
      <c r="B108" s="1">
        <f t="shared" si="16"/>
        <v>2023</v>
      </c>
      <c r="C108" s="1" t="str">
        <f t="shared" si="23"/>
        <v>Q3</v>
      </c>
      <c r="D108" s="18">
        <v>7945</v>
      </c>
      <c r="E108" s="18">
        <v>7968.4</v>
      </c>
      <c r="F108" s="18">
        <v>223.9</v>
      </c>
      <c r="G108" s="18">
        <v>222.1</v>
      </c>
      <c r="H108" s="18">
        <v>865859.6</v>
      </c>
      <c r="I108" s="18">
        <f t="shared" si="26"/>
        <v>679067</v>
      </c>
      <c r="J108" s="18">
        <v>74531.5</v>
      </c>
      <c r="K108" s="4">
        <v>867701</v>
      </c>
      <c r="L108" s="4">
        <v>682077</v>
      </c>
      <c r="M108" s="18">
        <v>32844</v>
      </c>
      <c r="N108" s="18">
        <f t="shared" si="19"/>
        <v>204.30000000000018</v>
      </c>
      <c r="O108" s="18">
        <f t="shared" si="20"/>
        <v>201.69999999999982</v>
      </c>
      <c r="P108" s="18">
        <f t="shared" si="21"/>
        <v>-2.0999999999999943</v>
      </c>
      <c r="Q108" s="18">
        <f t="shared" si="22"/>
        <v>-2.3000000000000114</v>
      </c>
      <c r="R108" s="24">
        <f t="shared" si="17"/>
        <v>15397.699999999953</v>
      </c>
      <c r="S108" s="18">
        <f t="shared" si="18"/>
        <v>2198</v>
      </c>
      <c r="T108" s="18">
        <f t="shared" si="24"/>
        <v>6094</v>
      </c>
      <c r="U108" s="18">
        <f t="shared" si="25"/>
        <v>184</v>
      </c>
      <c r="AD108" s="434"/>
      <c r="AE108" s="435"/>
      <c r="AF108" s="435"/>
      <c r="AG108" s="435"/>
      <c r="AH108" s="435"/>
      <c r="AI108" s="444"/>
      <c r="AJ108" s="444"/>
    </row>
    <row r="109" spans="1:36" ht="13.2" customHeight="1" x14ac:dyDescent="0.25">
      <c r="A109" s="3">
        <v>45200</v>
      </c>
      <c r="B109" s="1">
        <f t="shared" si="16"/>
        <v>2023</v>
      </c>
      <c r="C109" s="1" t="str">
        <f t="shared" si="23"/>
        <v>Q4</v>
      </c>
      <c r="D109" s="18">
        <v>7949.8</v>
      </c>
      <c r="E109" s="18">
        <v>7947.2</v>
      </c>
      <c r="F109" s="18">
        <v>223.1</v>
      </c>
      <c r="G109" s="18">
        <v>220.7</v>
      </c>
      <c r="H109" s="18">
        <v>865859.6</v>
      </c>
      <c r="I109" s="18">
        <f t="shared" si="26"/>
        <v>679067</v>
      </c>
      <c r="J109" s="18">
        <v>74531.5</v>
      </c>
      <c r="K109" s="4">
        <v>869576</v>
      </c>
      <c r="L109" s="4">
        <v>686415</v>
      </c>
      <c r="M109" s="18">
        <v>33497</v>
      </c>
      <c r="N109" s="18">
        <f t="shared" si="19"/>
        <v>209.5</v>
      </c>
      <c r="O109" s="18">
        <f t="shared" si="20"/>
        <v>203.69999999999982</v>
      </c>
      <c r="P109" s="18">
        <f t="shared" si="21"/>
        <v>-3.0999999999999943</v>
      </c>
      <c r="Q109" s="18">
        <f t="shared" si="22"/>
        <v>-2.8000000000000114</v>
      </c>
      <c r="R109" s="24">
        <f t="shared" si="17"/>
        <v>15397.699999999953</v>
      </c>
      <c r="S109" s="18">
        <f t="shared" si="18"/>
        <v>1875</v>
      </c>
      <c r="T109" s="18">
        <f t="shared" si="24"/>
        <v>4338</v>
      </c>
      <c r="U109" s="18">
        <f t="shared" si="25"/>
        <v>653</v>
      </c>
      <c r="AD109" s="434"/>
      <c r="AE109" s="435"/>
      <c r="AF109" s="435"/>
      <c r="AG109" s="435"/>
      <c r="AH109" s="435"/>
      <c r="AI109" s="444"/>
      <c r="AJ109" s="444"/>
    </row>
    <row r="110" spans="1:36" ht="13.2" customHeight="1" x14ac:dyDescent="0.25">
      <c r="A110" s="3">
        <v>45231</v>
      </c>
      <c r="B110" s="1">
        <f t="shared" si="16"/>
        <v>2023</v>
      </c>
      <c r="C110" s="1" t="str">
        <f t="shared" si="23"/>
        <v>Q4</v>
      </c>
      <c r="D110" s="18">
        <v>7953.4</v>
      </c>
      <c r="E110" s="18">
        <v>7939.3</v>
      </c>
      <c r="F110" s="18">
        <v>224.9</v>
      </c>
      <c r="G110" s="18">
        <v>223.1</v>
      </c>
      <c r="H110" s="18">
        <v>865859.6</v>
      </c>
      <c r="I110" s="18">
        <f t="shared" si="26"/>
        <v>679067</v>
      </c>
      <c r="J110" s="18">
        <v>74531.5</v>
      </c>
      <c r="K110" s="4">
        <v>869576</v>
      </c>
      <c r="L110" s="4">
        <v>686415</v>
      </c>
      <c r="M110" s="18">
        <v>33497</v>
      </c>
      <c r="N110" s="18">
        <f t="shared" si="19"/>
        <v>206.19999999999982</v>
      </c>
      <c r="O110" s="18">
        <f t="shared" si="20"/>
        <v>200.40000000000055</v>
      </c>
      <c r="P110" s="18">
        <f t="shared" si="21"/>
        <v>-1</v>
      </c>
      <c r="Q110" s="18">
        <f t="shared" si="22"/>
        <v>-0.70000000000001705</v>
      </c>
      <c r="R110" s="24">
        <f t="shared" si="17"/>
        <v>15397.699999999953</v>
      </c>
      <c r="S110" s="18">
        <f t="shared" si="18"/>
        <v>1875</v>
      </c>
      <c r="T110" s="18">
        <f t="shared" si="24"/>
        <v>4338</v>
      </c>
      <c r="U110" s="18">
        <f t="shared" si="25"/>
        <v>653</v>
      </c>
      <c r="AD110" s="434"/>
      <c r="AE110" s="435"/>
      <c r="AF110" s="435"/>
      <c r="AG110" s="435"/>
      <c r="AH110" s="435"/>
      <c r="AI110" s="444"/>
      <c r="AJ110" s="444"/>
    </row>
    <row r="111" spans="1:36" ht="13.2" customHeight="1" x14ac:dyDescent="0.25">
      <c r="A111" s="3">
        <v>45261</v>
      </c>
      <c r="B111" s="1">
        <f t="shared" si="16"/>
        <v>2023</v>
      </c>
      <c r="C111" s="1" t="str">
        <f t="shared" si="23"/>
        <v>Q4</v>
      </c>
      <c r="D111" s="18">
        <v>7938</v>
      </c>
      <c r="E111" s="18">
        <v>7938.2</v>
      </c>
      <c r="F111" s="18">
        <v>226.3</v>
      </c>
      <c r="G111" s="18">
        <v>226.3</v>
      </c>
      <c r="H111" s="18">
        <v>865859.6</v>
      </c>
      <c r="I111" s="18">
        <f t="shared" si="26"/>
        <v>679067</v>
      </c>
      <c r="J111" s="18">
        <v>74531.5</v>
      </c>
      <c r="K111" s="4">
        <v>869576</v>
      </c>
      <c r="L111" s="4">
        <v>686415</v>
      </c>
      <c r="M111" s="18">
        <v>33497</v>
      </c>
      <c r="N111" s="18">
        <f t="shared" si="19"/>
        <v>161.89999999999964</v>
      </c>
      <c r="O111" s="18">
        <f t="shared" si="20"/>
        <v>161</v>
      </c>
      <c r="P111" s="18">
        <f t="shared" si="21"/>
        <v>-1.2999999999999829</v>
      </c>
      <c r="Q111" s="18">
        <f t="shared" si="22"/>
        <v>-0.79999999999998295</v>
      </c>
      <c r="R111" s="24">
        <f t="shared" si="17"/>
        <v>15397.699999999953</v>
      </c>
      <c r="S111" s="18">
        <f t="shared" si="18"/>
        <v>1875</v>
      </c>
      <c r="T111" s="18">
        <f t="shared" si="24"/>
        <v>4338</v>
      </c>
      <c r="U111" s="18">
        <f t="shared" si="25"/>
        <v>653</v>
      </c>
      <c r="AD111" s="434"/>
      <c r="AE111" s="435"/>
      <c r="AF111" s="435"/>
      <c r="AG111" s="435"/>
      <c r="AH111" s="435"/>
      <c r="AI111" s="444"/>
      <c r="AJ111" s="444"/>
    </row>
    <row r="112" spans="1:36" ht="13.2" customHeight="1" x14ac:dyDescent="0.25">
      <c r="A112" s="445">
        <v>45292</v>
      </c>
      <c r="B112" s="301">
        <f t="shared" ref="B112:B138" si="27">YEAR(A112)</f>
        <v>2024</v>
      </c>
      <c r="C112" s="1" t="str">
        <f t="shared" si="23"/>
        <v>Q1</v>
      </c>
      <c r="D112" s="18">
        <v>7934.2</v>
      </c>
      <c r="E112" s="18">
        <v>7904.9</v>
      </c>
      <c r="F112" s="18">
        <v>228.3</v>
      </c>
      <c r="G112" s="18">
        <v>229.2</v>
      </c>
      <c r="H112" s="446">
        <f t="shared" ref="H112:J123" si="28">H100*(1+$AE$10)</f>
        <v>878414.56419999991</v>
      </c>
      <c r="I112" s="446">
        <f t="shared" si="28"/>
        <v>688913.47149999999</v>
      </c>
      <c r="J112" s="446">
        <f t="shared" si="28"/>
        <v>75612.206749999998</v>
      </c>
      <c r="K112" s="4">
        <v>874402</v>
      </c>
      <c r="L112" s="4">
        <v>691697</v>
      </c>
      <c r="M112" s="18">
        <v>33806</v>
      </c>
      <c r="N112" s="18">
        <f t="shared" ref="N112:N143" si="29">D112-D100</f>
        <v>127.19999999999982</v>
      </c>
      <c r="O112" s="18">
        <f t="shared" ref="O112:O143" si="30">E112-E100</f>
        <v>128.29999999999927</v>
      </c>
      <c r="P112" s="18">
        <f t="shared" ref="P112:P143" si="31">F112-F100</f>
        <v>-0.59999999999999432</v>
      </c>
      <c r="Q112" s="18">
        <f t="shared" ref="Q112:Q143" si="32">G112-G100</f>
        <v>0</v>
      </c>
      <c r="R112" s="24">
        <f t="shared" si="17"/>
        <v>12554.964199999929</v>
      </c>
      <c r="S112" s="18">
        <f t="shared" si="18"/>
        <v>4826</v>
      </c>
      <c r="T112" s="18">
        <f t="shared" si="24"/>
        <v>5282</v>
      </c>
      <c r="U112" s="18">
        <f t="shared" si="25"/>
        <v>309</v>
      </c>
      <c r="AD112" s="434"/>
      <c r="AE112" s="435"/>
      <c r="AF112" s="435"/>
      <c r="AG112" s="435"/>
      <c r="AH112" s="435"/>
      <c r="AI112" s="444"/>
      <c r="AJ112" s="444"/>
    </row>
    <row r="113" spans="1:36" ht="13.2" customHeight="1" x14ac:dyDescent="0.25">
      <c r="A113" s="445">
        <v>45323</v>
      </c>
      <c r="B113" s="301">
        <f t="shared" si="27"/>
        <v>2024</v>
      </c>
      <c r="C113" s="1" t="str">
        <f t="shared" si="23"/>
        <v>Q1</v>
      </c>
      <c r="D113" s="18">
        <v>7932</v>
      </c>
      <c r="E113" s="18">
        <v>7874.1</v>
      </c>
      <c r="F113" s="18">
        <v>229.4</v>
      </c>
      <c r="G113" s="18">
        <v>230.1</v>
      </c>
      <c r="H113" s="446">
        <f t="shared" si="28"/>
        <v>878414.56419999991</v>
      </c>
      <c r="I113" s="446">
        <f t="shared" si="28"/>
        <v>688913.47149999999</v>
      </c>
      <c r="J113" s="446">
        <f t="shared" si="28"/>
        <v>75612.206749999998</v>
      </c>
      <c r="K113" s="4">
        <v>874402</v>
      </c>
      <c r="L113" s="4">
        <v>691697</v>
      </c>
      <c r="M113" s="18">
        <v>33806</v>
      </c>
      <c r="N113" s="18">
        <f t="shared" si="29"/>
        <v>91.300000000000182</v>
      </c>
      <c r="O113" s="18">
        <f t="shared" si="30"/>
        <v>93.600000000000364</v>
      </c>
      <c r="P113" s="18">
        <f t="shared" si="31"/>
        <v>-9.9999999999994316E-2</v>
      </c>
      <c r="Q113" s="18">
        <f t="shared" si="32"/>
        <v>0.5</v>
      </c>
      <c r="R113" s="24">
        <f t="shared" si="17"/>
        <v>12554.964199999929</v>
      </c>
      <c r="S113" s="18">
        <f t="shared" si="18"/>
        <v>4826</v>
      </c>
      <c r="T113" s="18">
        <f t="shared" si="24"/>
        <v>5282</v>
      </c>
      <c r="U113" s="18">
        <f t="shared" si="25"/>
        <v>309</v>
      </c>
      <c r="AD113" s="434"/>
      <c r="AE113" s="435"/>
      <c r="AF113" s="435"/>
      <c r="AG113" s="435"/>
      <c r="AH113" s="435"/>
      <c r="AI113" s="444"/>
      <c r="AJ113" s="444"/>
    </row>
    <row r="114" spans="1:36" ht="13.2" customHeight="1" x14ac:dyDescent="0.25">
      <c r="A114" s="445">
        <v>45352</v>
      </c>
      <c r="B114" s="301">
        <f t="shared" si="27"/>
        <v>2024</v>
      </c>
      <c r="C114" s="1" t="str">
        <f t="shared" si="23"/>
        <v>Q1</v>
      </c>
      <c r="D114" s="18">
        <v>7950.9</v>
      </c>
      <c r="E114" s="18">
        <v>7870.9</v>
      </c>
      <c r="F114" s="18">
        <v>230.9</v>
      </c>
      <c r="G114" s="18">
        <v>230.3</v>
      </c>
      <c r="H114" s="446">
        <f t="shared" si="28"/>
        <v>878414.56419999991</v>
      </c>
      <c r="I114" s="446">
        <f t="shared" si="28"/>
        <v>688913.47149999999</v>
      </c>
      <c r="J114" s="446">
        <f t="shared" si="28"/>
        <v>75612.206749999998</v>
      </c>
      <c r="K114" s="4">
        <v>874402</v>
      </c>
      <c r="L114" s="4">
        <v>691697</v>
      </c>
      <c r="M114" s="18">
        <v>33806</v>
      </c>
      <c r="N114" s="18">
        <f t="shared" si="29"/>
        <v>84.299999999999272</v>
      </c>
      <c r="O114" s="18">
        <f t="shared" si="30"/>
        <v>89.599999999999454</v>
      </c>
      <c r="P114" s="18">
        <f t="shared" si="31"/>
        <v>4.2000000000000171</v>
      </c>
      <c r="Q114" s="18">
        <f t="shared" si="32"/>
        <v>4.5</v>
      </c>
      <c r="R114" s="24">
        <f t="shared" si="17"/>
        <v>12554.964199999929</v>
      </c>
      <c r="S114" s="18">
        <f t="shared" si="18"/>
        <v>4826</v>
      </c>
      <c r="T114" s="18">
        <f t="shared" si="24"/>
        <v>5282</v>
      </c>
      <c r="U114" s="18">
        <f t="shared" si="25"/>
        <v>309</v>
      </c>
      <c r="AD114" s="434"/>
      <c r="AE114" s="435"/>
      <c r="AF114" s="435"/>
      <c r="AG114" s="435"/>
      <c r="AH114" s="435"/>
      <c r="AI114" s="444"/>
      <c r="AJ114" s="444"/>
    </row>
    <row r="115" spans="1:36" ht="13.2" customHeight="1" x14ac:dyDescent="0.25">
      <c r="A115" s="445">
        <v>45383</v>
      </c>
      <c r="B115" s="301">
        <f t="shared" si="27"/>
        <v>2024</v>
      </c>
      <c r="C115" s="1" t="str">
        <f t="shared" si="23"/>
        <v>Q2</v>
      </c>
      <c r="D115" s="18">
        <v>7970.1</v>
      </c>
      <c r="E115" s="18">
        <v>7915</v>
      </c>
      <c r="F115" s="18">
        <v>233.1</v>
      </c>
      <c r="G115" s="18">
        <v>232.6</v>
      </c>
      <c r="H115" s="446">
        <f t="shared" si="28"/>
        <v>878414.56419999991</v>
      </c>
      <c r="I115" s="446">
        <f t="shared" si="28"/>
        <v>688913.47149999999</v>
      </c>
      <c r="J115" s="446">
        <f t="shared" si="28"/>
        <v>75612.206749999998</v>
      </c>
      <c r="K115" s="4">
        <v>877135</v>
      </c>
      <c r="L115" s="4">
        <v>695499</v>
      </c>
      <c r="M115" s="18">
        <v>34058</v>
      </c>
      <c r="N115" s="18">
        <f t="shared" si="29"/>
        <v>85.800000000000182</v>
      </c>
      <c r="O115" s="18">
        <f t="shared" si="30"/>
        <v>95.399999999999636</v>
      </c>
      <c r="P115" s="18">
        <f t="shared" si="31"/>
        <v>9.1999999999999886</v>
      </c>
      <c r="Q115" s="18">
        <f t="shared" si="32"/>
        <v>8.6999999999999886</v>
      </c>
      <c r="R115" s="24">
        <f t="shared" si="17"/>
        <v>12554.964199999929</v>
      </c>
      <c r="S115" s="18">
        <f t="shared" si="18"/>
        <v>2733</v>
      </c>
      <c r="T115" s="18">
        <f t="shared" si="24"/>
        <v>3802</v>
      </c>
      <c r="U115" s="18">
        <f t="shared" si="25"/>
        <v>252</v>
      </c>
      <c r="AD115" s="434"/>
      <c r="AE115" s="435"/>
      <c r="AF115" s="435"/>
      <c r="AG115" s="435"/>
      <c r="AH115" s="435"/>
      <c r="AI115" s="444"/>
      <c r="AJ115" s="444"/>
    </row>
    <row r="116" spans="1:36" ht="13.2" customHeight="1" x14ac:dyDescent="0.25">
      <c r="A116" s="445">
        <v>45413</v>
      </c>
      <c r="B116" s="301">
        <f t="shared" si="27"/>
        <v>2024</v>
      </c>
      <c r="C116" s="1" t="str">
        <f t="shared" si="23"/>
        <v>Q2</v>
      </c>
      <c r="D116" s="18">
        <v>8003.7</v>
      </c>
      <c r="E116" s="18">
        <v>7999.8</v>
      </c>
      <c r="F116" s="18">
        <v>232.8</v>
      </c>
      <c r="G116" s="18">
        <v>233.1</v>
      </c>
      <c r="H116" s="446">
        <f t="shared" si="28"/>
        <v>878414.56419999991</v>
      </c>
      <c r="I116" s="446">
        <f t="shared" si="28"/>
        <v>688913.47149999999</v>
      </c>
      <c r="J116" s="446">
        <f t="shared" si="28"/>
        <v>75612.206749999998</v>
      </c>
      <c r="K116" s="4">
        <v>877135</v>
      </c>
      <c r="L116" s="4">
        <v>695499</v>
      </c>
      <c r="M116" s="18">
        <v>34058</v>
      </c>
      <c r="N116" s="18">
        <f t="shared" si="29"/>
        <v>108.39999999999964</v>
      </c>
      <c r="O116" s="18">
        <f t="shared" si="30"/>
        <v>117.19999999999982</v>
      </c>
      <c r="P116" s="18">
        <f t="shared" si="31"/>
        <v>12.800000000000011</v>
      </c>
      <c r="Q116" s="18">
        <f t="shared" si="32"/>
        <v>11.900000000000006</v>
      </c>
      <c r="R116" s="24">
        <f t="shared" si="17"/>
        <v>12554.964199999929</v>
      </c>
      <c r="S116" s="18">
        <f t="shared" si="18"/>
        <v>2733</v>
      </c>
      <c r="T116" s="18">
        <f t="shared" si="24"/>
        <v>3802</v>
      </c>
      <c r="U116" s="18">
        <f t="shared" si="25"/>
        <v>252</v>
      </c>
      <c r="AD116" s="434"/>
      <c r="AE116" s="435"/>
      <c r="AF116" s="435"/>
      <c r="AG116" s="435"/>
      <c r="AH116" s="435"/>
      <c r="AI116" s="444"/>
      <c r="AJ116" s="444"/>
    </row>
    <row r="117" spans="1:36" ht="13.2" customHeight="1" x14ac:dyDescent="0.25">
      <c r="A117" s="445">
        <v>45444</v>
      </c>
      <c r="B117" s="301">
        <f t="shared" si="27"/>
        <v>2024</v>
      </c>
      <c r="C117" s="1" t="str">
        <f t="shared" si="23"/>
        <v>Q2</v>
      </c>
      <c r="D117" s="18">
        <v>8031.8</v>
      </c>
      <c r="E117" s="18">
        <v>8092.5</v>
      </c>
      <c r="F117" s="18">
        <v>230.6</v>
      </c>
      <c r="G117" s="18">
        <v>232</v>
      </c>
      <c r="H117" s="446">
        <f t="shared" si="28"/>
        <v>878414.56419999991</v>
      </c>
      <c r="I117" s="446">
        <f t="shared" si="28"/>
        <v>688913.47149999999</v>
      </c>
      <c r="J117" s="446">
        <f t="shared" si="28"/>
        <v>75612.206749999998</v>
      </c>
      <c r="K117" s="4">
        <v>877135</v>
      </c>
      <c r="L117" s="4">
        <v>695499</v>
      </c>
      <c r="M117" s="18">
        <v>34058</v>
      </c>
      <c r="N117" s="18">
        <f t="shared" si="29"/>
        <v>115.69999999999982</v>
      </c>
      <c r="O117" s="18">
        <f t="shared" si="30"/>
        <v>121.30000000000018</v>
      </c>
      <c r="P117" s="18">
        <f t="shared" si="31"/>
        <v>10.199999999999989</v>
      </c>
      <c r="Q117" s="18">
        <f t="shared" si="32"/>
        <v>9</v>
      </c>
      <c r="R117" s="24">
        <f t="shared" si="17"/>
        <v>12554.964199999929</v>
      </c>
      <c r="S117" s="18">
        <f t="shared" si="18"/>
        <v>2733</v>
      </c>
      <c r="T117" s="18">
        <f t="shared" si="24"/>
        <v>3802</v>
      </c>
      <c r="U117" s="18">
        <f t="shared" si="25"/>
        <v>252</v>
      </c>
      <c r="AD117" s="434"/>
      <c r="AE117" s="435"/>
      <c r="AF117" s="435"/>
      <c r="AG117" s="435"/>
      <c r="AH117" s="435"/>
      <c r="AI117" s="444"/>
      <c r="AJ117" s="444"/>
    </row>
    <row r="118" spans="1:36" ht="13.2" customHeight="1" x14ac:dyDescent="0.25">
      <c r="A118" s="445">
        <v>45474</v>
      </c>
      <c r="B118" s="301">
        <f t="shared" si="27"/>
        <v>2024</v>
      </c>
      <c r="C118" s="1" t="str">
        <f t="shared" si="23"/>
        <v>Q3</v>
      </c>
      <c r="D118" s="18">
        <v>8059</v>
      </c>
      <c r="E118" s="18">
        <v>8149.4</v>
      </c>
      <c r="F118" s="18">
        <v>227.5</v>
      </c>
      <c r="G118" s="18">
        <v>229.4</v>
      </c>
      <c r="H118" s="446">
        <f t="shared" si="28"/>
        <v>878414.56419999991</v>
      </c>
      <c r="I118" s="446">
        <f t="shared" si="28"/>
        <v>688913.47149999999</v>
      </c>
      <c r="J118" s="446">
        <f t="shared" si="28"/>
        <v>75612.206749999998</v>
      </c>
      <c r="K118" s="4">
        <v>877865</v>
      </c>
      <c r="L118" s="4">
        <v>698343</v>
      </c>
      <c r="M118" s="18">
        <v>33895</v>
      </c>
      <c r="N118" s="18">
        <f t="shared" si="29"/>
        <v>132.89999999999964</v>
      </c>
      <c r="O118" s="18">
        <f t="shared" si="30"/>
        <v>132.5</v>
      </c>
      <c r="P118" s="18">
        <f t="shared" si="31"/>
        <v>6.6999999999999886</v>
      </c>
      <c r="Q118" s="18">
        <f t="shared" si="32"/>
        <v>6.9000000000000057</v>
      </c>
      <c r="R118" s="24">
        <f t="shared" si="17"/>
        <v>12554.964199999929</v>
      </c>
      <c r="S118" s="18">
        <f t="shared" si="18"/>
        <v>730</v>
      </c>
      <c r="T118" s="18">
        <f t="shared" si="24"/>
        <v>2844</v>
      </c>
      <c r="U118" s="18">
        <f t="shared" si="25"/>
        <v>-163</v>
      </c>
      <c r="AD118" s="434"/>
      <c r="AE118" s="435"/>
      <c r="AF118" s="435"/>
      <c r="AG118" s="435"/>
      <c r="AH118" s="435"/>
      <c r="AI118" s="444"/>
      <c r="AJ118" s="444"/>
    </row>
    <row r="119" spans="1:36" ht="13.2" customHeight="1" x14ac:dyDescent="0.25">
      <c r="A119" s="445">
        <v>45505</v>
      </c>
      <c r="B119" s="301">
        <f t="shared" si="27"/>
        <v>2024</v>
      </c>
      <c r="C119" s="1" t="str">
        <f t="shared" si="23"/>
        <v>Q3</v>
      </c>
      <c r="D119" s="18">
        <v>8066.9</v>
      </c>
      <c r="E119" s="18">
        <v>8147.2</v>
      </c>
      <c r="F119" s="18">
        <v>225.1</v>
      </c>
      <c r="G119" s="18">
        <v>225.5</v>
      </c>
      <c r="H119" s="446">
        <f t="shared" si="28"/>
        <v>878414.56419999991</v>
      </c>
      <c r="I119" s="446">
        <f t="shared" si="28"/>
        <v>688913.47149999999</v>
      </c>
      <c r="J119" s="446">
        <f t="shared" si="28"/>
        <v>75612.206749999998</v>
      </c>
      <c r="K119" s="4">
        <v>877865</v>
      </c>
      <c r="L119" s="4">
        <v>698343</v>
      </c>
      <c r="M119" s="18">
        <v>33895</v>
      </c>
      <c r="N119" s="18">
        <f t="shared" si="29"/>
        <v>126.39999999999964</v>
      </c>
      <c r="O119" s="18">
        <f t="shared" si="30"/>
        <v>126.89999999999964</v>
      </c>
      <c r="P119" s="18">
        <f t="shared" si="31"/>
        <v>1.5999999999999943</v>
      </c>
      <c r="Q119" s="18">
        <f t="shared" si="32"/>
        <v>1.6999999999999886</v>
      </c>
      <c r="R119" s="24">
        <f>H119-H107</f>
        <v>12554.964199999929</v>
      </c>
      <c r="S119" s="18">
        <f t="shared" si="18"/>
        <v>730</v>
      </c>
      <c r="T119" s="18">
        <f t="shared" si="24"/>
        <v>2844</v>
      </c>
      <c r="U119" s="18">
        <f t="shared" si="25"/>
        <v>-163</v>
      </c>
      <c r="AD119" s="434"/>
      <c r="AE119" s="435"/>
      <c r="AF119" s="435"/>
      <c r="AG119" s="435"/>
      <c r="AH119" s="435"/>
      <c r="AI119" s="444"/>
      <c r="AJ119" s="444"/>
    </row>
    <row r="120" spans="1:36" ht="13.2" customHeight="1" x14ac:dyDescent="0.25">
      <c r="A120" s="445">
        <v>45536</v>
      </c>
      <c r="B120" s="301">
        <f t="shared" si="27"/>
        <v>2024</v>
      </c>
      <c r="C120" s="1" t="str">
        <f t="shared" si="23"/>
        <v>Q3</v>
      </c>
      <c r="D120" s="18">
        <v>8086</v>
      </c>
      <c r="E120" s="18">
        <v>8123.6</v>
      </c>
      <c r="F120" s="18">
        <v>226.9</v>
      </c>
      <c r="G120" s="18">
        <v>225.9</v>
      </c>
      <c r="H120" s="446">
        <f t="shared" si="28"/>
        <v>878414.56419999991</v>
      </c>
      <c r="I120" s="446">
        <f t="shared" si="28"/>
        <v>688913.47149999999</v>
      </c>
      <c r="J120" s="446">
        <f t="shared" si="28"/>
        <v>75612.206749999998</v>
      </c>
      <c r="K120" s="4">
        <v>877865</v>
      </c>
      <c r="L120" s="4">
        <v>698343</v>
      </c>
      <c r="M120" s="18">
        <v>33895</v>
      </c>
      <c r="N120" s="18">
        <f t="shared" si="29"/>
        <v>141</v>
      </c>
      <c r="O120" s="18">
        <f t="shared" si="30"/>
        <v>155.20000000000073</v>
      </c>
      <c r="P120" s="18">
        <f t="shared" si="31"/>
        <v>3</v>
      </c>
      <c r="Q120" s="18">
        <f t="shared" si="32"/>
        <v>3.8000000000000114</v>
      </c>
      <c r="R120" s="24">
        <f t="shared" si="17"/>
        <v>12554.964199999929</v>
      </c>
      <c r="S120" s="18">
        <f t="shared" si="18"/>
        <v>730</v>
      </c>
      <c r="T120" s="18">
        <f t="shared" si="24"/>
        <v>2844</v>
      </c>
      <c r="U120" s="18">
        <f t="shared" si="25"/>
        <v>-163</v>
      </c>
      <c r="AD120" s="434"/>
      <c r="AE120" s="435"/>
      <c r="AF120" s="435"/>
      <c r="AG120" s="435"/>
      <c r="AH120" s="435"/>
      <c r="AI120" s="444"/>
      <c r="AJ120" s="444"/>
    </row>
    <row r="121" spans="1:36" ht="13.2" customHeight="1" x14ac:dyDescent="0.25">
      <c r="A121" s="445">
        <v>45566</v>
      </c>
      <c r="B121" s="301">
        <f t="shared" si="27"/>
        <v>2024</v>
      </c>
      <c r="C121" s="1" t="str">
        <f t="shared" si="23"/>
        <v>Q4</v>
      </c>
      <c r="D121" s="18">
        <v>8094</v>
      </c>
      <c r="E121" s="18">
        <v>8109.5</v>
      </c>
      <c r="F121" s="18">
        <v>228.7</v>
      </c>
      <c r="G121" s="18">
        <v>225.9</v>
      </c>
      <c r="H121" s="446">
        <f t="shared" si="28"/>
        <v>878414.56419999991</v>
      </c>
      <c r="I121" s="446">
        <f t="shared" si="28"/>
        <v>688913.47149999999</v>
      </c>
      <c r="J121" s="446">
        <f t="shared" si="28"/>
        <v>75612.206749999998</v>
      </c>
      <c r="K121" s="446">
        <f t="shared" ref="K121:M123" si="33">K109*(1+$AE$10)</f>
        <v>882184.85199999996</v>
      </c>
      <c r="L121" s="446">
        <f t="shared" si="33"/>
        <v>696368.01749999996</v>
      </c>
      <c r="M121" s="446">
        <f t="shared" si="33"/>
        <v>33982.7065</v>
      </c>
      <c r="N121" s="18">
        <f t="shared" si="29"/>
        <v>144.19999999999982</v>
      </c>
      <c r="O121" s="18">
        <f t="shared" si="30"/>
        <v>162.30000000000018</v>
      </c>
      <c r="P121" s="18">
        <f t="shared" si="31"/>
        <v>5.5999999999999943</v>
      </c>
      <c r="Q121" s="18">
        <f t="shared" si="32"/>
        <v>5.2000000000000171</v>
      </c>
      <c r="R121" s="24">
        <f t="shared" si="17"/>
        <v>12554.964199999929</v>
      </c>
      <c r="S121" s="18">
        <f t="shared" si="18"/>
        <v>4319.8519999999553</v>
      </c>
      <c r="T121" s="18">
        <f t="shared" si="24"/>
        <v>-1974.9825000000419</v>
      </c>
      <c r="U121" s="18">
        <f t="shared" si="25"/>
        <v>87.706500000000233</v>
      </c>
      <c r="AD121" s="434"/>
      <c r="AE121" s="435"/>
      <c r="AF121" s="435"/>
      <c r="AG121" s="435"/>
      <c r="AH121" s="435"/>
      <c r="AI121" s="444"/>
      <c r="AJ121" s="444"/>
    </row>
    <row r="122" spans="1:36" ht="13.2" customHeight="1" x14ac:dyDescent="0.25">
      <c r="A122" s="445">
        <v>45597</v>
      </c>
      <c r="B122" s="301">
        <f t="shared" si="27"/>
        <v>2024</v>
      </c>
      <c r="C122" s="1" t="str">
        <f t="shared" si="23"/>
        <v>Q4</v>
      </c>
      <c r="D122" s="18">
        <v>8102.8</v>
      </c>
      <c r="E122" s="18">
        <v>8101.2</v>
      </c>
      <c r="F122" s="18">
        <v>228.7</v>
      </c>
      <c r="G122" s="18">
        <v>225.9</v>
      </c>
      <c r="H122" s="446">
        <f t="shared" si="28"/>
        <v>878414.56419999991</v>
      </c>
      <c r="I122" s="446">
        <f t="shared" si="28"/>
        <v>688913.47149999999</v>
      </c>
      <c r="J122" s="446">
        <f t="shared" si="28"/>
        <v>75612.206749999998</v>
      </c>
      <c r="K122" s="446">
        <f t="shared" si="33"/>
        <v>882184.85199999996</v>
      </c>
      <c r="L122" s="446">
        <f t="shared" si="33"/>
        <v>696368.01749999996</v>
      </c>
      <c r="M122" s="446">
        <f t="shared" si="33"/>
        <v>33982.7065</v>
      </c>
      <c r="N122" s="18">
        <f t="shared" si="29"/>
        <v>149.40000000000055</v>
      </c>
      <c r="O122" s="18">
        <f t="shared" si="30"/>
        <v>161.89999999999964</v>
      </c>
      <c r="P122" s="18">
        <f t="shared" si="31"/>
        <v>3.7999999999999829</v>
      </c>
      <c r="Q122" s="18">
        <f t="shared" si="32"/>
        <v>2.8000000000000114</v>
      </c>
      <c r="R122" s="24">
        <f t="shared" si="17"/>
        <v>12554.964199999929</v>
      </c>
      <c r="S122" s="18">
        <f t="shared" si="18"/>
        <v>4319.8519999999553</v>
      </c>
      <c r="T122" s="18">
        <f t="shared" si="24"/>
        <v>-1974.9825000000419</v>
      </c>
      <c r="U122" s="18">
        <f t="shared" si="25"/>
        <v>87.706500000000233</v>
      </c>
      <c r="AD122" s="434"/>
      <c r="AE122" s="435"/>
      <c r="AF122" s="435"/>
      <c r="AG122" s="435"/>
      <c r="AH122" s="435"/>
      <c r="AI122" s="444"/>
      <c r="AJ122" s="444"/>
    </row>
    <row r="123" spans="1:36" ht="13.2" customHeight="1" x14ac:dyDescent="0.25">
      <c r="A123" s="445">
        <v>45627</v>
      </c>
      <c r="B123" s="301">
        <f t="shared" si="27"/>
        <v>2024</v>
      </c>
      <c r="C123" s="1" t="str">
        <f t="shared" si="23"/>
        <v>Q4</v>
      </c>
      <c r="D123" s="18">
        <v>8105.1</v>
      </c>
      <c r="E123" s="18">
        <v>8097.3</v>
      </c>
      <c r="F123" s="18">
        <v>227</v>
      </c>
      <c r="G123" s="18">
        <v>225.8</v>
      </c>
      <c r="H123" s="446">
        <f t="shared" si="28"/>
        <v>878414.56419999991</v>
      </c>
      <c r="I123" s="446">
        <f t="shared" si="28"/>
        <v>688913.47149999999</v>
      </c>
      <c r="J123" s="446">
        <f t="shared" si="28"/>
        <v>75612.206749999998</v>
      </c>
      <c r="K123" s="446">
        <f t="shared" si="33"/>
        <v>882184.85199999996</v>
      </c>
      <c r="L123" s="446">
        <f t="shared" si="33"/>
        <v>696368.01749999996</v>
      </c>
      <c r="M123" s="446">
        <f t="shared" si="33"/>
        <v>33982.7065</v>
      </c>
      <c r="N123" s="18">
        <f t="shared" si="29"/>
        <v>167.10000000000036</v>
      </c>
      <c r="O123" s="18">
        <f t="shared" si="30"/>
        <v>159.10000000000036</v>
      </c>
      <c r="P123" s="18">
        <f t="shared" si="31"/>
        <v>0.69999999999998863</v>
      </c>
      <c r="Q123" s="18">
        <f t="shared" si="32"/>
        <v>-0.5</v>
      </c>
      <c r="R123" s="24">
        <f t="shared" si="17"/>
        <v>12554.964199999929</v>
      </c>
      <c r="S123" s="18">
        <f t="shared" si="18"/>
        <v>4319.8519999999553</v>
      </c>
      <c r="T123" s="18">
        <f t="shared" si="24"/>
        <v>-1974.9825000000419</v>
      </c>
      <c r="U123" s="18">
        <f t="shared" si="25"/>
        <v>87.706500000000233</v>
      </c>
      <c r="AD123" s="434"/>
      <c r="AE123" s="435"/>
      <c r="AF123" s="435"/>
      <c r="AG123" s="435"/>
      <c r="AH123" s="435"/>
      <c r="AI123" s="444"/>
      <c r="AJ123" s="444"/>
    </row>
    <row r="124" spans="1:36" ht="13.2" customHeight="1" x14ac:dyDescent="0.25">
      <c r="A124" s="445">
        <v>45658</v>
      </c>
      <c r="B124" s="301">
        <f t="shared" si="27"/>
        <v>2025</v>
      </c>
      <c r="C124" s="1" t="str">
        <f t="shared" si="23"/>
        <v>Q1</v>
      </c>
      <c r="D124" s="446">
        <f t="shared" ref="D124:G135" si="34">D112*(1+$AE$17)</f>
        <v>8067.0978500000001</v>
      </c>
      <c r="E124" s="446">
        <f t="shared" si="34"/>
        <v>8037.3070749999997</v>
      </c>
      <c r="F124" s="446">
        <f t="shared" si="34"/>
        <v>232.12402500000002</v>
      </c>
      <c r="G124" s="446">
        <f t="shared" si="34"/>
        <v>233.03909999999999</v>
      </c>
      <c r="H124" s="446">
        <f t="shared" ref="H124:M135" si="35">H112*(1+$AE$11)</f>
        <v>886320.29527779983</v>
      </c>
      <c r="I124" s="446">
        <f t="shared" si="35"/>
        <v>695113.69274349988</v>
      </c>
      <c r="J124" s="446">
        <f t="shared" si="35"/>
        <v>76292.716610749994</v>
      </c>
      <c r="K124" s="446">
        <f t="shared" si="35"/>
        <v>882271.6179999999</v>
      </c>
      <c r="L124" s="446">
        <f t="shared" si="35"/>
        <v>697922.27299999993</v>
      </c>
      <c r="M124" s="446">
        <f t="shared" si="35"/>
        <v>34110.253999999994</v>
      </c>
      <c r="N124" s="18">
        <f t="shared" si="29"/>
        <v>132.89785000000029</v>
      </c>
      <c r="O124" s="18">
        <f t="shared" si="30"/>
        <v>132.40707500000008</v>
      </c>
      <c r="P124" s="18">
        <f t="shared" si="31"/>
        <v>3.824025000000006</v>
      </c>
      <c r="Q124" s="18">
        <f t="shared" si="32"/>
        <v>3.839100000000002</v>
      </c>
      <c r="R124" s="24">
        <f t="shared" si="17"/>
        <v>7905.7310777999228</v>
      </c>
      <c r="S124" s="18">
        <f t="shared" si="18"/>
        <v>86.765999999945052</v>
      </c>
      <c r="T124" s="18">
        <f t="shared" si="24"/>
        <v>1554.2554999999702</v>
      </c>
      <c r="U124" s="18">
        <f t="shared" si="25"/>
        <v>127.54749999999331</v>
      </c>
      <c r="AD124" s="434"/>
      <c r="AE124" s="435"/>
      <c r="AF124" s="435"/>
      <c r="AG124" s="435"/>
      <c r="AH124" s="435"/>
      <c r="AI124" s="444"/>
      <c r="AJ124" s="444"/>
    </row>
    <row r="125" spans="1:36" ht="13.2" customHeight="1" x14ac:dyDescent="0.25">
      <c r="A125" s="445">
        <v>45689</v>
      </c>
      <c r="B125" s="301">
        <f t="shared" si="27"/>
        <v>2025</v>
      </c>
      <c r="C125" s="1" t="str">
        <f t="shared" si="23"/>
        <v>Q1</v>
      </c>
      <c r="D125" s="446">
        <f t="shared" si="34"/>
        <v>8064.8610000000008</v>
      </c>
      <c r="E125" s="446">
        <f t="shared" si="34"/>
        <v>8005.991175000001</v>
      </c>
      <c r="F125" s="446">
        <f t="shared" si="34"/>
        <v>233.24245000000002</v>
      </c>
      <c r="G125" s="446">
        <f t="shared" si="34"/>
        <v>233.95417499999999</v>
      </c>
      <c r="H125" s="446">
        <f t="shared" si="35"/>
        <v>886320.29527779983</v>
      </c>
      <c r="I125" s="446">
        <f t="shared" si="35"/>
        <v>695113.69274349988</v>
      </c>
      <c r="J125" s="446">
        <f t="shared" si="35"/>
        <v>76292.716610749994</v>
      </c>
      <c r="K125" s="446">
        <f t="shared" si="35"/>
        <v>882271.6179999999</v>
      </c>
      <c r="L125" s="446">
        <f t="shared" si="35"/>
        <v>697922.27299999993</v>
      </c>
      <c r="M125" s="446">
        <f t="shared" si="35"/>
        <v>34110.253999999994</v>
      </c>
      <c r="N125" s="18">
        <f t="shared" si="29"/>
        <v>132.86100000000079</v>
      </c>
      <c r="O125" s="18">
        <f t="shared" si="30"/>
        <v>131.89117500000066</v>
      </c>
      <c r="P125" s="18">
        <f t="shared" si="31"/>
        <v>3.8424500000000137</v>
      </c>
      <c r="Q125" s="18">
        <f t="shared" si="32"/>
        <v>3.8541749999999979</v>
      </c>
      <c r="R125" s="24">
        <f t="shared" si="17"/>
        <v>7905.7310777999228</v>
      </c>
      <c r="S125" s="18">
        <f t="shared" si="18"/>
        <v>86.765999999945052</v>
      </c>
      <c r="T125" s="18">
        <f t="shared" si="24"/>
        <v>1554.2554999999702</v>
      </c>
      <c r="U125" s="18">
        <f t="shared" si="25"/>
        <v>127.54749999999331</v>
      </c>
      <c r="AD125" s="434"/>
      <c r="AE125" s="435"/>
      <c r="AF125" s="435"/>
      <c r="AG125" s="435"/>
      <c r="AH125" s="435"/>
      <c r="AI125" s="444"/>
      <c r="AJ125" s="444"/>
    </row>
    <row r="126" spans="1:36" ht="13.2" customHeight="1" x14ac:dyDescent="0.25">
      <c r="A126" s="445">
        <v>45717</v>
      </c>
      <c r="B126" s="301">
        <f t="shared" si="27"/>
        <v>2025</v>
      </c>
      <c r="C126" s="1" t="str">
        <f t="shared" si="23"/>
        <v>Q1</v>
      </c>
      <c r="D126" s="446">
        <f t="shared" si="34"/>
        <v>8084.0775750000003</v>
      </c>
      <c r="E126" s="446">
        <f t="shared" si="34"/>
        <v>8002.7375750000001</v>
      </c>
      <c r="F126" s="446">
        <f t="shared" si="34"/>
        <v>234.76757500000002</v>
      </c>
      <c r="G126" s="446">
        <f t="shared" si="34"/>
        <v>234.15752500000002</v>
      </c>
      <c r="H126" s="446">
        <f t="shared" si="35"/>
        <v>886320.29527779983</v>
      </c>
      <c r="I126" s="446">
        <f t="shared" si="35"/>
        <v>695113.69274349988</v>
      </c>
      <c r="J126" s="446">
        <f t="shared" si="35"/>
        <v>76292.716610749994</v>
      </c>
      <c r="K126" s="446">
        <f t="shared" si="35"/>
        <v>882271.6179999999</v>
      </c>
      <c r="L126" s="446">
        <f t="shared" si="35"/>
        <v>697922.27299999993</v>
      </c>
      <c r="M126" s="446">
        <f t="shared" si="35"/>
        <v>34110.253999999994</v>
      </c>
      <c r="N126" s="18">
        <f t="shared" si="29"/>
        <v>133.17757500000062</v>
      </c>
      <c r="O126" s="18">
        <f t="shared" si="30"/>
        <v>131.83757500000047</v>
      </c>
      <c r="P126" s="18">
        <f t="shared" si="31"/>
        <v>3.8675750000000164</v>
      </c>
      <c r="Q126" s="18">
        <f t="shared" si="32"/>
        <v>3.8575250000000096</v>
      </c>
      <c r="R126" s="24">
        <f t="shared" si="17"/>
        <v>7905.7310777999228</v>
      </c>
      <c r="S126" s="18">
        <f t="shared" si="18"/>
        <v>86.765999999945052</v>
      </c>
      <c r="T126" s="18">
        <f t="shared" si="24"/>
        <v>1554.2554999999702</v>
      </c>
      <c r="U126" s="18">
        <f t="shared" si="25"/>
        <v>127.54749999999331</v>
      </c>
      <c r="AD126" s="434"/>
      <c r="AE126" s="435"/>
      <c r="AF126" s="435"/>
      <c r="AG126" s="435"/>
      <c r="AH126" s="435"/>
      <c r="AI126" s="444"/>
      <c r="AJ126" s="444"/>
    </row>
    <row r="127" spans="1:36" ht="13.2" customHeight="1" x14ac:dyDescent="0.25">
      <c r="A127" s="445">
        <v>45748</v>
      </c>
      <c r="B127" s="301">
        <f t="shared" si="27"/>
        <v>2025</v>
      </c>
      <c r="C127" s="1" t="str">
        <f t="shared" si="23"/>
        <v>Q2</v>
      </c>
      <c r="D127" s="446">
        <f t="shared" si="34"/>
        <v>8103.5991750000003</v>
      </c>
      <c r="E127" s="446">
        <f t="shared" si="34"/>
        <v>8047.5762500000001</v>
      </c>
      <c r="F127" s="446">
        <f t="shared" si="34"/>
        <v>237.004425</v>
      </c>
      <c r="G127" s="446">
        <f t="shared" si="34"/>
        <v>236.49605</v>
      </c>
      <c r="H127" s="446">
        <f t="shared" si="35"/>
        <v>886320.29527779983</v>
      </c>
      <c r="I127" s="446">
        <f t="shared" si="35"/>
        <v>695113.69274349988</v>
      </c>
      <c r="J127" s="446">
        <f t="shared" si="35"/>
        <v>76292.716610749994</v>
      </c>
      <c r="K127" s="446">
        <f t="shared" si="35"/>
        <v>885029.21499999997</v>
      </c>
      <c r="L127" s="446">
        <f t="shared" si="35"/>
        <v>701758.49099999992</v>
      </c>
      <c r="M127" s="446">
        <f t="shared" si="35"/>
        <v>34364.521999999997</v>
      </c>
      <c r="N127" s="18">
        <f t="shared" si="29"/>
        <v>133.49917499999992</v>
      </c>
      <c r="O127" s="18">
        <f t="shared" si="30"/>
        <v>132.57625000000007</v>
      </c>
      <c r="P127" s="18">
        <f t="shared" si="31"/>
        <v>3.9044250000000034</v>
      </c>
      <c r="Q127" s="18">
        <f t="shared" si="32"/>
        <v>3.8960500000000025</v>
      </c>
      <c r="R127" s="24">
        <f t="shared" si="17"/>
        <v>7905.7310777999228</v>
      </c>
      <c r="S127" s="18">
        <f t="shared" si="18"/>
        <v>2757.5970000000671</v>
      </c>
      <c r="T127" s="18">
        <f t="shared" si="24"/>
        <v>3836.2179999999935</v>
      </c>
      <c r="U127" s="18">
        <f t="shared" si="25"/>
        <v>254.26800000000367</v>
      </c>
      <c r="AD127" s="434"/>
      <c r="AE127" s="435"/>
      <c r="AF127" s="435"/>
      <c r="AG127" s="435"/>
      <c r="AH127" s="435"/>
      <c r="AI127" s="444"/>
      <c r="AJ127" s="444"/>
    </row>
    <row r="128" spans="1:36" ht="13.2" customHeight="1" x14ac:dyDescent="0.25">
      <c r="A128" s="445">
        <v>45778</v>
      </c>
      <c r="B128" s="301">
        <f t="shared" si="27"/>
        <v>2025</v>
      </c>
      <c r="C128" s="1" t="str">
        <f t="shared" si="23"/>
        <v>Q2</v>
      </c>
      <c r="D128" s="446">
        <f t="shared" si="34"/>
        <v>8137.7619750000003</v>
      </c>
      <c r="E128" s="446">
        <f t="shared" si="34"/>
        <v>8133.7966500000002</v>
      </c>
      <c r="F128" s="446">
        <f t="shared" si="34"/>
        <v>236.69940000000003</v>
      </c>
      <c r="G128" s="446">
        <f t="shared" si="34"/>
        <v>237.004425</v>
      </c>
      <c r="H128" s="446">
        <f t="shared" si="35"/>
        <v>886320.29527779983</v>
      </c>
      <c r="I128" s="446">
        <f t="shared" si="35"/>
        <v>695113.69274349988</v>
      </c>
      <c r="J128" s="446">
        <f t="shared" si="35"/>
        <v>76292.716610749994</v>
      </c>
      <c r="K128" s="446">
        <f t="shared" si="35"/>
        <v>885029.21499999997</v>
      </c>
      <c r="L128" s="446">
        <f t="shared" si="35"/>
        <v>701758.49099999992</v>
      </c>
      <c r="M128" s="446">
        <f t="shared" si="35"/>
        <v>34364.521999999997</v>
      </c>
      <c r="N128" s="18">
        <f t="shared" si="29"/>
        <v>134.06197500000053</v>
      </c>
      <c r="O128" s="18">
        <f t="shared" si="30"/>
        <v>133.99665000000005</v>
      </c>
      <c r="P128" s="18">
        <f t="shared" si="31"/>
        <v>3.8994000000000142</v>
      </c>
      <c r="Q128" s="18">
        <f t="shared" si="32"/>
        <v>3.9044250000000034</v>
      </c>
      <c r="R128" s="24">
        <f t="shared" si="17"/>
        <v>7905.7310777999228</v>
      </c>
      <c r="S128" s="18">
        <f t="shared" si="18"/>
        <v>2757.5970000000671</v>
      </c>
      <c r="T128" s="18">
        <f t="shared" si="24"/>
        <v>3836.2179999999935</v>
      </c>
      <c r="U128" s="18">
        <f t="shared" si="25"/>
        <v>254.26800000000367</v>
      </c>
      <c r="AD128" s="434"/>
      <c r="AE128" s="435"/>
      <c r="AF128" s="435"/>
      <c r="AG128" s="435"/>
      <c r="AH128" s="435"/>
      <c r="AI128" s="444"/>
      <c r="AJ128" s="444"/>
    </row>
    <row r="129" spans="1:36" ht="13.2" customHeight="1" x14ac:dyDescent="0.25">
      <c r="A129" s="445">
        <v>45809</v>
      </c>
      <c r="B129" s="301">
        <f t="shared" si="27"/>
        <v>2025</v>
      </c>
      <c r="C129" s="1" t="str">
        <f t="shared" si="23"/>
        <v>Q2</v>
      </c>
      <c r="D129" s="446">
        <f t="shared" si="34"/>
        <v>8166.3326500000003</v>
      </c>
      <c r="E129" s="446">
        <f t="shared" si="34"/>
        <v>8228.0493750000005</v>
      </c>
      <c r="F129" s="446">
        <f t="shared" si="34"/>
        <v>234.46254999999999</v>
      </c>
      <c r="G129" s="446">
        <f t="shared" si="34"/>
        <v>235.88600000000002</v>
      </c>
      <c r="H129" s="446">
        <f t="shared" si="35"/>
        <v>886320.29527779983</v>
      </c>
      <c r="I129" s="446">
        <f t="shared" si="35"/>
        <v>695113.69274349988</v>
      </c>
      <c r="J129" s="446">
        <f t="shared" si="35"/>
        <v>76292.716610749994</v>
      </c>
      <c r="K129" s="446">
        <f t="shared" si="35"/>
        <v>885029.21499999997</v>
      </c>
      <c r="L129" s="446">
        <f t="shared" si="35"/>
        <v>701758.49099999992</v>
      </c>
      <c r="M129" s="446">
        <f t="shared" si="35"/>
        <v>34364.521999999997</v>
      </c>
      <c r="N129" s="18">
        <f t="shared" si="29"/>
        <v>134.5326500000001</v>
      </c>
      <c r="O129" s="18">
        <f t="shared" si="30"/>
        <v>135.54937500000051</v>
      </c>
      <c r="P129" s="18">
        <f t="shared" si="31"/>
        <v>3.8625499999999988</v>
      </c>
      <c r="Q129" s="18">
        <f t="shared" si="32"/>
        <v>3.8860000000000241</v>
      </c>
      <c r="R129" s="24">
        <f t="shared" si="17"/>
        <v>7905.7310777999228</v>
      </c>
      <c r="S129" s="18">
        <f t="shared" si="18"/>
        <v>2757.5970000000671</v>
      </c>
      <c r="T129" s="18">
        <f t="shared" si="24"/>
        <v>3836.2179999999935</v>
      </c>
      <c r="U129" s="18">
        <f t="shared" si="25"/>
        <v>254.26800000000367</v>
      </c>
      <c r="AD129" s="434"/>
      <c r="AE129" s="435"/>
      <c r="AF129" s="435"/>
      <c r="AG129" s="435"/>
      <c r="AH129" s="435"/>
      <c r="AI129" s="444"/>
      <c r="AJ129" s="444"/>
    </row>
    <row r="130" spans="1:36" ht="13.2" customHeight="1" x14ac:dyDescent="0.25">
      <c r="A130" s="445">
        <v>45839</v>
      </c>
      <c r="B130" s="301">
        <f t="shared" si="27"/>
        <v>2025</v>
      </c>
      <c r="C130" s="1" t="str">
        <f t="shared" si="23"/>
        <v>Q3</v>
      </c>
      <c r="D130" s="446">
        <f t="shared" si="34"/>
        <v>8193.9882500000003</v>
      </c>
      <c r="E130" s="446">
        <f t="shared" si="34"/>
        <v>8285.9024499999996</v>
      </c>
      <c r="F130" s="446">
        <f t="shared" si="34"/>
        <v>231.31062500000002</v>
      </c>
      <c r="G130" s="446">
        <f t="shared" si="34"/>
        <v>233.24245000000002</v>
      </c>
      <c r="H130" s="446">
        <f t="shared" si="35"/>
        <v>886320.29527779983</v>
      </c>
      <c r="I130" s="446">
        <f t="shared" si="35"/>
        <v>695113.69274349988</v>
      </c>
      <c r="J130" s="446">
        <f t="shared" si="35"/>
        <v>76292.716610749994</v>
      </c>
      <c r="K130" s="446">
        <f t="shared" si="35"/>
        <v>885765.78499999992</v>
      </c>
      <c r="L130" s="446">
        <f t="shared" si="35"/>
        <v>704628.08699999994</v>
      </c>
      <c r="M130" s="446">
        <f t="shared" si="35"/>
        <v>34200.054999999993</v>
      </c>
      <c r="N130" s="18">
        <f t="shared" si="29"/>
        <v>134.98825000000033</v>
      </c>
      <c r="O130" s="18">
        <f t="shared" si="30"/>
        <v>136.50244999999995</v>
      </c>
      <c r="P130" s="18">
        <f t="shared" si="31"/>
        <v>3.8106250000000159</v>
      </c>
      <c r="Q130" s="18">
        <f t="shared" si="32"/>
        <v>3.8424500000000137</v>
      </c>
      <c r="R130" s="24">
        <f t="shared" si="17"/>
        <v>7905.7310777999228</v>
      </c>
      <c r="S130" s="18">
        <f t="shared" si="18"/>
        <v>736.56999999994878</v>
      </c>
      <c r="T130" s="18">
        <f t="shared" si="24"/>
        <v>2869.5960000000196</v>
      </c>
      <c r="U130" s="18">
        <f t="shared" si="25"/>
        <v>-164.46700000000419</v>
      </c>
      <c r="AD130" s="434"/>
      <c r="AE130" s="435"/>
      <c r="AF130" s="435"/>
      <c r="AG130" s="435"/>
      <c r="AH130" s="435"/>
      <c r="AI130" s="444"/>
      <c r="AJ130" s="444"/>
    </row>
    <row r="131" spans="1:36" ht="13.2" customHeight="1" x14ac:dyDescent="0.25">
      <c r="A131" s="445">
        <v>45870</v>
      </c>
      <c r="B131" s="301">
        <f t="shared" si="27"/>
        <v>2025</v>
      </c>
      <c r="C131" s="1" t="str">
        <f t="shared" si="23"/>
        <v>Q3</v>
      </c>
      <c r="D131" s="446">
        <f t="shared" si="34"/>
        <v>8202.0205750000005</v>
      </c>
      <c r="E131" s="446">
        <f t="shared" si="34"/>
        <v>8283.6656000000003</v>
      </c>
      <c r="F131" s="446">
        <f t="shared" si="34"/>
        <v>228.87042500000001</v>
      </c>
      <c r="G131" s="446">
        <f t="shared" si="34"/>
        <v>229.27712500000001</v>
      </c>
      <c r="H131" s="446">
        <f t="shared" si="35"/>
        <v>886320.29527779983</v>
      </c>
      <c r="I131" s="446">
        <f t="shared" si="35"/>
        <v>695113.69274349988</v>
      </c>
      <c r="J131" s="446">
        <f t="shared" si="35"/>
        <v>76292.716610749994</v>
      </c>
      <c r="K131" s="446">
        <f t="shared" si="35"/>
        <v>885765.78499999992</v>
      </c>
      <c r="L131" s="446">
        <f t="shared" si="35"/>
        <v>704628.08699999994</v>
      </c>
      <c r="M131" s="446">
        <f t="shared" si="35"/>
        <v>34200.054999999993</v>
      </c>
      <c r="N131" s="18">
        <f t="shared" si="29"/>
        <v>135.12057500000083</v>
      </c>
      <c r="O131" s="18">
        <f t="shared" si="30"/>
        <v>136.46560000000045</v>
      </c>
      <c r="P131" s="18">
        <f t="shared" si="31"/>
        <v>3.7704250000000172</v>
      </c>
      <c r="Q131" s="18">
        <f t="shared" si="32"/>
        <v>3.7771250000000123</v>
      </c>
      <c r="R131" s="24">
        <f t="shared" si="17"/>
        <v>7905.7310777999228</v>
      </c>
      <c r="S131" s="18">
        <f t="shared" si="18"/>
        <v>736.56999999994878</v>
      </c>
      <c r="T131" s="18">
        <f t="shared" si="24"/>
        <v>2869.5960000000196</v>
      </c>
      <c r="U131" s="18">
        <f t="shared" si="25"/>
        <v>-164.46700000000419</v>
      </c>
      <c r="AD131" s="434"/>
      <c r="AE131" s="435"/>
      <c r="AF131" s="435"/>
      <c r="AG131" s="435"/>
      <c r="AH131" s="435"/>
      <c r="AI131" s="444"/>
      <c r="AJ131" s="444"/>
    </row>
    <row r="132" spans="1:36" ht="13.2" customHeight="1" x14ac:dyDescent="0.25">
      <c r="A132" s="445">
        <v>45901</v>
      </c>
      <c r="B132" s="301">
        <f t="shared" si="27"/>
        <v>2025</v>
      </c>
      <c r="C132" s="1" t="str">
        <f t="shared" si="23"/>
        <v>Q3</v>
      </c>
      <c r="D132" s="446">
        <f t="shared" si="34"/>
        <v>8221.4405000000006</v>
      </c>
      <c r="E132" s="446">
        <f t="shared" si="34"/>
        <v>8259.6703000000016</v>
      </c>
      <c r="F132" s="446">
        <f t="shared" si="34"/>
        <v>230.70057500000001</v>
      </c>
      <c r="G132" s="446">
        <f t="shared" si="34"/>
        <v>229.68382500000001</v>
      </c>
      <c r="H132" s="446">
        <f t="shared" si="35"/>
        <v>886320.29527779983</v>
      </c>
      <c r="I132" s="446">
        <f t="shared" si="35"/>
        <v>695113.69274349988</v>
      </c>
      <c r="J132" s="446">
        <f t="shared" si="35"/>
        <v>76292.716610749994</v>
      </c>
      <c r="K132" s="446">
        <f t="shared" si="35"/>
        <v>885765.78499999992</v>
      </c>
      <c r="L132" s="446">
        <f t="shared" si="35"/>
        <v>704628.08699999994</v>
      </c>
      <c r="M132" s="446">
        <f t="shared" si="35"/>
        <v>34200.054999999993</v>
      </c>
      <c r="N132" s="18">
        <f t="shared" si="29"/>
        <v>135.44050000000061</v>
      </c>
      <c r="O132" s="18">
        <f t="shared" si="30"/>
        <v>136.07030000000123</v>
      </c>
      <c r="P132" s="18">
        <f t="shared" si="31"/>
        <v>3.8005750000000091</v>
      </c>
      <c r="Q132" s="18">
        <f t="shared" si="32"/>
        <v>3.7838250000000073</v>
      </c>
      <c r="R132" s="24">
        <f t="shared" si="17"/>
        <v>7905.7310777999228</v>
      </c>
      <c r="S132" s="18">
        <f t="shared" si="18"/>
        <v>736.56999999994878</v>
      </c>
      <c r="T132" s="18">
        <f t="shared" si="24"/>
        <v>2869.5960000000196</v>
      </c>
      <c r="U132" s="18">
        <f t="shared" si="25"/>
        <v>-164.46700000000419</v>
      </c>
      <c r="AD132" s="434"/>
      <c r="AE132" s="435"/>
      <c r="AF132" s="435"/>
      <c r="AG132" s="435"/>
      <c r="AH132" s="435"/>
      <c r="AI132" s="444"/>
      <c r="AJ132" s="444"/>
    </row>
    <row r="133" spans="1:36" ht="13.2" customHeight="1" x14ac:dyDescent="0.25">
      <c r="A133" s="445">
        <v>45931</v>
      </c>
      <c r="B133" s="301">
        <f t="shared" si="27"/>
        <v>2025</v>
      </c>
      <c r="C133" s="1" t="str">
        <f t="shared" si="23"/>
        <v>Q4</v>
      </c>
      <c r="D133" s="446">
        <f t="shared" si="34"/>
        <v>8229.5745000000006</v>
      </c>
      <c r="E133" s="446">
        <f t="shared" si="34"/>
        <v>8245.3341250000012</v>
      </c>
      <c r="F133" s="446">
        <f t="shared" si="34"/>
        <v>232.53072499999999</v>
      </c>
      <c r="G133" s="446">
        <f t="shared" si="34"/>
        <v>229.68382500000001</v>
      </c>
      <c r="H133" s="446">
        <f t="shared" si="35"/>
        <v>886320.29527779983</v>
      </c>
      <c r="I133" s="446">
        <f t="shared" si="35"/>
        <v>695113.69274349988</v>
      </c>
      <c r="J133" s="446">
        <f t="shared" si="35"/>
        <v>76292.716610749994</v>
      </c>
      <c r="K133" s="446">
        <f t="shared" si="35"/>
        <v>890124.51566799986</v>
      </c>
      <c r="L133" s="446">
        <f t="shared" si="35"/>
        <v>702635.32965749991</v>
      </c>
      <c r="M133" s="446">
        <f t="shared" si="35"/>
        <v>34288.550858499999</v>
      </c>
      <c r="N133" s="18">
        <f t="shared" si="29"/>
        <v>135.57450000000063</v>
      </c>
      <c r="O133" s="18">
        <f t="shared" si="30"/>
        <v>135.83412500000122</v>
      </c>
      <c r="P133" s="18">
        <f t="shared" si="31"/>
        <v>3.830725000000001</v>
      </c>
      <c r="Q133" s="18">
        <f t="shared" si="32"/>
        <v>3.7838250000000073</v>
      </c>
      <c r="R133" s="24">
        <f t="shared" si="17"/>
        <v>7905.7310777999228</v>
      </c>
      <c r="S133" s="18">
        <f t="shared" si="18"/>
        <v>4358.7306679999456</v>
      </c>
      <c r="T133" s="18">
        <f t="shared" si="24"/>
        <v>-1992.7573425000301</v>
      </c>
      <c r="U133" s="18">
        <f t="shared" si="25"/>
        <v>88.495858500005852</v>
      </c>
      <c r="AD133" s="434"/>
      <c r="AE133" s="435"/>
      <c r="AF133" s="435"/>
      <c r="AG133" s="435"/>
      <c r="AH133" s="435"/>
      <c r="AI133" s="444"/>
      <c r="AJ133" s="444"/>
    </row>
    <row r="134" spans="1:36" ht="13.2" customHeight="1" x14ac:dyDescent="0.25">
      <c r="A134" s="445">
        <v>45962</v>
      </c>
      <c r="B134" s="301">
        <f t="shared" si="27"/>
        <v>2025</v>
      </c>
      <c r="C134" s="1" t="str">
        <f t="shared" si="23"/>
        <v>Q4</v>
      </c>
      <c r="D134" s="446">
        <f t="shared" si="34"/>
        <v>8238.5218999999997</v>
      </c>
      <c r="E134" s="446">
        <f t="shared" si="34"/>
        <v>8236.8950999999997</v>
      </c>
      <c r="F134" s="446">
        <f t="shared" si="34"/>
        <v>232.53072499999999</v>
      </c>
      <c r="G134" s="446">
        <f t="shared" si="34"/>
        <v>229.68382500000001</v>
      </c>
      <c r="H134" s="446">
        <f t="shared" si="35"/>
        <v>886320.29527779983</v>
      </c>
      <c r="I134" s="446">
        <f t="shared" si="35"/>
        <v>695113.69274349988</v>
      </c>
      <c r="J134" s="446">
        <f t="shared" si="35"/>
        <v>76292.716610749994</v>
      </c>
      <c r="K134" s="446">
        <f t="shared" si="35"/>
        <v>890124.51566799986</v>
      </c>
      <c r="L134" s="446">
        <f t="shared" si="35"/>
        <v>702635.32965749991</v>
      </c>
      <c r="M134" s="446">
        <f t="shared" si="35"/>
        <v>34288.550858499999</v>
      </c>
      <c r="N134" s="18">
        <f t="shared" si="29"/>
        <v>135.72189999999955</v>
      </c>
      <c r="O134" s="18">
        <f t="shared" si="30"/>
        <v>135.69509999999991</v>
      </c>
      <c r="P134" s="18">
        <f t="shared" si="31"/>
        <v>3.830725000000001</v>
      </c>
      <c r="Q134" s="18">
        <f t="shared" si="32"/>
        <v>3.7838250000000073</v>
      </c>
      <c r="R134" s="24">
        <f t="shared" si="17"/>
        <v>7905.7310777999228</v>
      </c>
      <c r="S134" s="18">
        <f t="shared" si="18"/>
        <v>4358.7306679999456</v>
      </c>
      <c r="T134" s="18">
        <f t="shared" si="24"/>
        <v>-1992.7573425000301</v>
      </c>
      <c r="U134" s="18">
        <f t="shared" si="25"/>
        <v>88.495858500005852</v>
      </c>
      <c r="AD134" s="434"/>
      <c r="AE134" s="435"/>
      <c r="AF134" s="435"/>
      <c r="AG134" s="435"/>
      <c r="AH134" s="435"/>
      <c r="AI134" s="444"/>
      <c r="AJ134" s="444"/>
    </row>
    <row r="135" spans="1:36" ht="13.2" customHeight="1" x14ac:dyDescent="0.25">
      <c r="A135" s="445">
        <v>45992</v>
      </c>
      <c r="B135" s="301">
        <f t="shared" si="27"/>
        <v>2025</v>
      </c>
      <c r="C135" s="1" t="str">
        <f t="shared" si="23"/>
        <v>Q4</v>
      </c>
      <c r="D135" s="446">
        <f t="shared" si="34"/>
        <v>8240.8604250000008</v>
      </c>
      <c r="E135" s="446">
        <f t="shared" si="34"/>
        <v>8232.9297750000005</v>
      </c>
      <c r="F135" s="446">
        <f t="shared" si="34"/>
        <v>230.80225000000002</v>
      </c>
      <c r="G135" s="446">
        <f t="shared" si="34"/>
        <v>229.58215000000001</v>
      </c>
      <c r="H135" s="446">
        <f t="shared" si="35"/>
        <v>886320.29527779983</v>
      </c>
      <c r="I135" s="446">
        <f t="shared" si="35"/>
        <v>695113.69274349988</v>
      </c>
      <c r="J135" s="446">
        <f t="shared" si="35"/>
        <v>76292.716610749994</v>
      </c>
      <c r="K135" s="446">
        <f t="shared" si="35"/>
        <v>890124.51566799986</v>
      </c>
      <c r="L135" s="446">
        <f t="shared" si="35"/>
        <v>702635.32965749991</v>
      </c>
      <c r="M135" s="446">
        <f t="shared" si="35"/>
        <v>34288.550858499999</v>
      </c>
      <c r="N135" s="18">
        <f t="shared" si="29"/>
        <v>135.7604250000004</v>
      </c>
      <c r="O135" s="18">
        <f t="shared" si="30"/>
        <v>135.62977500000034</v>
      </c>
      <c r="P135" s="18">
        <f t="shared" si="31"/>
        <v>3.802250000000015</v>
      </c>
      <c r="Q135" s="18">
        <f t="shared" si="32"/>
        <v>3.7821500000000015</v>
      </c>
      <c r="R135" s="24">
        <f t="shared" si="17"/>
        <v>7905.7310777999228</v>
      </c>
      <c r="S135" s="18">
        <f t="shared" si="18"/>
        <v>4358.7306679999456</v>
      </c>
      <c r="T135" s="18">
        <f t="shared" si="24"/>
        <v>-1992.7573425000301</v>
      </c>
      <c r="U135" s="18">
        <f t="shared" si="25"/>
        <v>88.495858500005852</v>
      </c>
      <c r="AD135" s="434"/>
      <c r="AE135" s="435"/>
      <c r="AF135" s="435"/>
      <c r="AG135" s="435"/>
      <c r="AH135" s="435"/>
      <c r="AI135" s="444"/>
      <c r="AJ135" s="444"/>
    </row>
    <row r="136" spans="1:36" ht="13.2" customHeight="1" x14ac:dyDescent="0.25">
      <c r="A136" s="445">
        <v>46023</v>
      </c>
      <c r="B136" s="301">
        <f t="shared" si="27"/>
        <v>2026</v>
      </c>
      <c r="C136" s="1" t="str">
        <f t="shared" si="23"/>
        <v>Q1</v>
      </c>
      <c r="D136" s="446">
        <f t="shared" ref="D136:G147" si="36">D124*(1+$AE$18)</f>
        <v>8161.8862497374994</v>
      </c>
      <c r="E136" s="446">
        <f t="shared" si="36"/>
        <v>8131.7454331312492</v>
      </c>
      <c r="F136" s="446">
        <f t="shared" si="36"/>
        <v>234.85148229375</v>
      </c>
      <c r="G136" s="446">
        <f t="shared" si="36"/>
        <v>235.77730942499997</v>
      </c>
      <c r="H136" s="446">
        <f t="shared" ref="H136:M147" si="37">H124*(1+$AE$12)</f>
        <v>894297.17793529993</v>
      </c>
      <c r="I136" s="446">
        <f t="shared" si="37"/>
        <v>701369.71597819135</v>
      </c>
      <c r="J136" s="446">
        <f t="shared" si="37"/>
        <v>76979.351060246743</v>
      </c>
      <c r="K136" s="446">
        <f t="shared" si="37"/>
        <v>890212.06256199977</v>
      </c>
      <c r="L136" s="446">
        <f t="shared" si="37"/>
        <v>704203.57345699985</v>
      </c>
      <c r="M136" s="446">
        <f t="shared" si="37"/>
        <v>34417.246285999987</v>
      </c>
      <c r="N136" s="18">
        <f t="shared" si="29"/>
        <v>94.788399737499276</v>
      </c>
      <c r="O136" s="18">
        <f t="shared" si="30"/>
        <v>94.438358131249515</v>
      </c>
      <c r="P136" s="18">
        <f t="shared" si="31"/>
        <v>2.7274572937499784</v>
      </c>
      <c r="Q136" s="18">
        <f t="shared" si="32"/>
        <v>2.7382094249999795</v>
      </c>
      <c r="R136" s="24">
        <f t="shared" si="17"/>
        <v>7976.8826575001003</v>
      </c>
      <c r="S136" s="18">
        <f t="shared" si="18"/>
        <v>87.546893999911845</v>
      </c>
      <c r="T136" s="18">
        <f t="shared" si="24"/>
        <v>1568.2437994999345</v>
      </c>
      <c r="U136" s="18">
        <f t="shared" si="25"/>
        <v>128.695427499988</v>
      </c>
      <c r="AD136" s="434"/>
      <c r="AE136" s="435"/>
      <c r="AF136" s="435"/>
      <c r="AG136" s="435"/>
      <c r="AH136" s="435"/>
      <c r="AI136" s="444"/>
      <c r="AJ136" s="444"/>
    </row>
    <row r="137" spans="1:36" ht="13.2" customHeight="1" x14ac:dyDescent="0.25">
      <c r="A137" s="445">
        <v>46054</v>
      </c>
      <c r="B137" s="301">
        <f t="shared" si="27"/>
        <v>2026</v>
      </c>
      <c r="C137" s="1" t="str">
        <f t="shared" si="23"/>
        <v>Q1</v>
      </c>
      <c r="D137" s="446">
        <f t="shared" si="36"/>
        <v>8159.62311675</v>
      </c>
      <c r="E137" s="446">
        <f t="shared" si="36"/>
        <v>8100.0615713062507</v>
      </c>
      <c r="F137" s="446">
        <f t="shared" si="36"/>
        <v>235.9830487875</v>
      </c>
      <c r="G137" s="446">
        <f t="shared" si="36"/>
        <v>236.70313655624997</v>
      </c>
      <c r="H137" s="446">
        <f t="shared" si="37"/>
        <v>894297.17793529993</v>
      </c>
      <c r="I137" s="446">
        <f t="shared" si="37"/>
        <v>701369.71597819135</v>
      </c>
      <c r="J137" s="446">
        <f t="shared" si="37"/>
        <v>76979.351060246743</v>
      </c>
      <c r="K137" s="446">
        <f t="shared" si="37"/>
        <v>890212.06256199977</v>
      </c>
      <c r="L137" s="446">
        <f t="shared" si="37"/>
        <v>704203.57345699985</v>
      </c>
      <c r="M137" s="446">
        <f t="shared" si="37"/>
        <v>34417.246285999987</v>
      </c>
      <c r="N137" s="18">
        <f t="shared" si="29"/>
        <v>94.762116749999223</v>
      </c>
      <c r="O137" s="18">
        <f t="shared" si="30"/>
        <v>94.070396306249677</v>
      </c>
      <c r="P137" s="18">
        <f t="shared" si="31"/>
        <v>2.7405987874999767</v>
      </c>
      <c r="Q137" s="18">
        <f t="shared" si="32"/>
        <v>2.7489615562499807</v>
      </c>
      <c r="R137" s="24">
        <f t="shared" ref="R137:R147" si="38">H137-H125</f>
        <v>7976.8826575001003</v>
      </c>
      <c r="S137" s="18">
        <f t="shared" ref="S137:S147" si="39">K137-K134</f>
        <v>87.546893999911845</v>
      </c>
      <c r="T137" s="18">
        <f t="shared" si="24"/>
        <v>1568.2437994999345</v>
      </c>
      <c r="U137" s="18">
        <f t="shared" si="25"/>
        <v>128.695427499988</v>
      </c>
      <c r="AD137" s="434"/>
      <c r="AE137" s="435"/>
      <c r="AF137" s="435"/>
      <c r="AG137" s="435"/>
      <c r="AH137" s="435"/>
      <c r="AI137" s="444"/>
      <c r="AJ137" s="444"/>
    </row>
    <row r="138" spans="1:36" ht="13.2" customHeight="1" x14ac:dyDescent="0.25">
      <c r="A138" s="445">
        <v>46082</v>
      </c>
      <c r="B138" s="301">
        <f t="shared" si="27"/>
        <v>2026</v>
      </c>
      <c r="C138" s="1" t="str">
        <f t="shared" si="23"/>
        <v>Q1</v>
      </c>
      <c r="D138" s="446">
        <f t="shared" si="36"/>
        <v>8179.0654865062497</v>
      </c>
      <c r="E138" s="446">
        <f t="shared" si="36"/>
        <v>8096.7697415062494</v>
      </c>
      <c r="F138" s="446">
        <f t="shared" si="36"/>
        <v>237.52609400624999</v>
      </c>
      <c r="G138" s="446">
        <f t="shared" si="36"/>
        <v>236.90887591875</v>
      </c>
      <c r="H138" s="446">
        <f t="shared" si="37"/>
        <v>894297.17793529993</v>
      </c>
      <c r="I138" s="446">
        <f t="shared" si="37"/>
        <v>701369.71597819135</v>
      </c>
      <c r="J138" s="446">
        <f t="shared" si="37"/>
        <v>76979.351060246743</v>
      </c>
      <c r="K138" s="446">
        <f t="shared" si="37"/>
        <v>890212.06256199977</v>
      </c>
      <c r="L138" s="446">
        <f t="shared" si="37"/>
        <v>704203.57345699985</v>
      </c>
      <c r="M138" s="446">
        <f t="shared" si="37"/>
        <v>34417.246285999987</v>
      </c>
      <c r="N138" s="18">
        <f t="shared" si="29"/>
        <v>94.987911506249475</v>
      </c>
      <c r="O138" s="18">
        <f t="shared" si="30"/>
        <v>94.032166506249268</v>
      </c>
      <c r="P138" s="18">
        <f t="shared" si="31"/>
        <v>2.7585190062499692</v>
      </c>
      <c r="Q138" s="18">
        <f t="shared" si="32"/>
        <v>2.7513509187499778</v>
      </c>
      <c r="R138" s="24">
        <f t="shared" si="38"/>
        <v>7976.8826575001003</v>
      </c>
      <c r="S138" s="18">
        <f t="shared" si="39"/>
        <v>87.546893999911845</v>
      </c>
      <c r="T138" s="18">
        <f t="shared" si="24"/>
        <v>1568.2437994999345</v>
      </c>
      <c r="U138" s="18">
        <f t="shared" si="25"/>
        <v>128.695427499988</v>
      </c>
      <c r="AD138" s="434"/>
      <c r="AE138" s="435"/>
      <c r="AF138" s="435"/>
      <c r="AG138" s="435"/>
      <c r="AH138" s="435"/>
      <c r="AI138" s="444"/>
      <c r="AJ138" s="444"/>
    </row>
    <row r="139" spans="1:36" ht="13.2" customHeight="1" x14ac:dyDescent="0.25">
      <c r="A139" s="445">
        <v>46113</v>
      </c>
      <c r="B139" s="301">
        <f t="shared" ref="B139:B147" si="40">YEAR(A139)</f>
        <v>2026</v>
      </c>
      <c r="C139" s="1" t="str">
        <f t="shared" si="23"/>
        <v>Q2</v>
      </c>
      <c r="D139" s="446">
        <f t="shared" si="36"/>
        <v>8198.8164653062504</v>
      </c>
      <c r="E139" s="446">
        <f t="shared" si="36"/>
        <v>8142.1352709374996</v>
      </c>
      <c r="F139" s="446">
        <f t="shared" si="36"/>
        <v>239.78922699374999</v>
      </c>
      <c r="G139" s="446">
        <f t="shared" si="36"/>
        <v>239.27487858749998</v>
      </c>
      <c r="H139" s="446">
        <f t="shared" si="37"/>
        <v>894297.17793529993</v>
      </c>
      <c r="I139" s="446">
        <f t="shared" si="37"/>
        <v>701369.71597819135</v>
      </c>
      <c r="J139" s="446">
        <f t="shared" si="37"/>
        <v>76979.351060246743</v>
      </c>
      <c r="K139" s="446">
        <f t="shared" si="37"/>
        <v>892994.47793499986</v>
      </c>
      <c r="L139" s="446">
        <f t="shared" si="37"/>
        <v>708074.31741899985</v>
      </c>
      <c r="M139" s="446">
        <f t="shared" si="37"/>
        <v>34673.802697999992</v>
      </c>
      <c r="N139" s="18">
        <f t="shared" si="29"/>
        <v>95.217290306250106</v>
      </c>
      <c r="O139" s="18">
        <f t="shared" si="30"/>
        <v>94.559020937499554</v>
      </c>
      <c r="P139" s="18">
        <f t="shared" si="31"/>
        <v>2.7848019937499942</v>
      </c>
      <c r="Q139" s="18">
        <f t="shared" si="32"/>
        <v>2.7788285874999872</v>
      </c>
      <c r="R139" s="24">
        <f t="shared" si="38"/>
        <v>7976.8826575001003</v>
      </c>
      <c r="S139" s="18">
        <f t="shared" si="39"/>
        <v>2782.4153730000835</v>
      </c>
      <c r="T139" s="18">
        <f t="shared" si="24"/>
        <v>3870.7439620000077</v>
      </c>
      <c r="U139" s="18">
        <f t="shared" si="25"/>
        <v>256.55641200000537</v>
      </c>
      <c r="AD139" s="434"/>
      <c r="AE139" s="435"/>
      <c r="AF139" s="435"/>
      <c r="AG139" s="435"/>
      <c r="AH139" s="435"/>
      <c r="AI139" s="444"/>
      <c r="AJ139" s="444"/>
    </row>
    <row r="140" spans="1:36" ht="13.2" customHeight="1" x14ac:dyDescent="0.25">
      <c r="A140" s="445">
        <v>46143</v>
      </c>
      <c r="B140" s="301">
        <f t="shared" si="40"/>
        <v>2026</v>
      </c>
      <c r="C140" s="1" t="str">
        <f t="shared" si="23"/>
        <v>Q2</v>
      </c>
      <c r="D140" s="446">
        <f t="shared" si="36"/>
        <v>8233.3806782062493</v>
      </c>
      <c r="E140" s="446">
        <f t="shared" si="36"/>
        <v>8229.3687606374988</v>
      </c>
      <c r="F140" s="446">
        <f t="shared" si="36"/>
        <v>239.48061795000001</v>
      </c>
      <c r="G140" s="446">
        <f t="shared" si="36"/>
        <v>239.78922699374999</v>
      </c>
      <c r="H140" s="446">
        <f t="shared" si="37"/>
        <v>894297.17793529993</v>
      </c>
      <c r="I140" s="446">
        <f t="shared" si="37"/>
        <v>701369.71597819135</v>
      </c>
      <c r="J140" s="446">
        <f t="shared" si="37"/>
        <v>76979.351060246743</v>
      </c>
      <c r="K140" s="446">
        <f t="shared" si="37"/>
        <v>892994.47793499986</v>
      </c>
      <c r="L140" s="446">
        <f t="shared" si="37"/>
        <v>708074.31741899985</v>
      </c>
      <c r="M140" s="446">
        <f t="shared" si="37"/>
        <v>34673.802697999992</v>
      </c>
      <c r="N140" s="18">
        <f t="shared" si="29"/>
        <v>95.618703206248938</v>
      </c>
      <c r="O140" s="18">
        <f t="shared" si="30"/>
        <v>95.572110637498554</v>
      </c>
      <c r="P140" s="18">
        <f t="shared" si="31"/>
        <v>2.7812179499999843</v>
      </c>
      <c r="Q140" s="18">
        <f t="shared" si="32"/>
        <v>2.7848019937499942</v>
      </c>
      <c r="R140" s="24">
        <f t="shared" si="38"/>
        <v>7976.8826575001003</v>
      </c>
      <c r="S140" s="18">
        <f t="shared" si="39"/>
        <v>2782.4153730000835</v>
      </c>
      <c r="T140" s="18">
        <f t="shared" si="24"/>
        <v>3870.7439620000077</v>
      </c>
      <c r="U140" s="18">
        <f t="shared" si="25"/>
        <v>256.55641200000537</v>
      </c>
      <c r="AD140" s="434"/>
      <c r="AE140" s="435"/>
      <c r="AF140" s="435"/>
      <c r="AG140" s="435"/>
      <c r="AH140" s="435"/>
      <c r="AI140" s="444"/>
      <c r="AJ140" s="444"/>
    </row>
    <row r="141" spans="1:36" ht="13.2" customHeight="1" x14ac:dyDescent="0.25">
      <c r="A141" s="445">
        <v>46174</v>
      </c>
      <c r="B141" s="301">
        <f t="shared" si="40"/>
        <v>2026</v>
      </c>
      <c r="C141" s="1" t="str">
        <f t="shared" si="23"/>
        <v>Q2</v>
      </c>
      <c r="D141" s="446">
        <f t="shared" si="36"/>
        <v>8262.2870586374993</v>
      </c>
      <c r="E141" s="446">
        <f t="shared" si="36"/>
        <v>8324.7289551562499</v>
      </c>
      <c r="F141" s="446">
        <f t="shared" si="36"/>
        <v>237.21748496249998</v>
      </c>
      <c r="G141" s="446">
        <f t="shared" si="36"/>
        <v>238.65766050000002</v>
      </c>
      <c r="H141" s="446">
        <f t="shared" si="37"/>
        <v>894297.17793529993</v>
      </c>
      <c r="I141" s="446">
        <f t="shared" si="37"/>
        <v>701369.71597819135</v>
      </c>
      <c r="J141" s="446">
        <f t="shared" si="37"/>
        <v>76979.351060246743</v>
      </c>
      <c r="K141" s="446">
        <f t="shared" si="37"/>
        <v>892994.47793499986</v>
      </c>
      <c r="L141" s="446">
        <f t="shared" si="37"/>
        <v>708074.31741899985</v>
      </c>
      <c r="M141" s="446">
        <f t="shared" si="37"/>
        <v>34673.802697999992</v>
      </c>
      <c r="N141" s="18">
        <f t="shared" si="29"/>
        <v>95.954408637499</v>
      </c>
      <c r="O141" s="18">
        <f t="shared" si="30"/>
        <v>96.679580156249358</v>
      </c>
      <c r="P141" s="18">
        <f t="shared" si="31"/>
        <v>2.7549349624999877</v>
      </c>
      <c r="Q141" s="18">
        <f t="shared" si="32"/>
        <v>2.7716604999999959</v>
      </c>
      <c r="R141" s="24">
        <f t="shared" si="38"/>
        <v>7976.8826575001003</v>
      </c>
      <c r="S141" s="18">
        <f t="shared" si="39"/>
        <v>2782.4153730000835</v>
      </c>
      <c r="T141" s="18">
        <f t="shared" si="24"/>
        <v>3870.7439620000077</v>
      </c>
      <c r="U141" s="18">
        <f t="shared" si="25"/>
        <v>256.55641200000537</v>
      </c>
      <c r="AD141" s="434"/>
      <c r="AE141" s="435"/>
      <c r="AF141" s="435"/>
      <c r="AG141" s="435"/>
      <c r="AH141" s="435"/>
      <c r="AI141" s="444"/>
      <c r="AJ141" s="444"/>
    </row>
    <row r="142" spans="1:36" ht="13.2" customHeight="1" x14ac:dyDescent="0.25">
      <c r="A142" s="445">
        <v>46204</v>
      </c>
      <c r="B142" s="301">
        <f t="shared" si="40"/>
        <v>2026</v>
      </c>
      <c r="C142" s="1" t="str">
        <f t="shared" si="23"/>
        <v>Q3</v>
      </c>
      <c r="D142" s="446">
        <f t="shared" si="36"/>
        <v>8290.2676119374992</v>
      </c>
      <c r="E142" s="446">
        <f t="shared" si="36"/>
        <v>8383.2618037874981</v>
      </c>
      <c r="F142" s="446">
        <f t="shared" si="36"/>
        <v>234.02852484375001</v>
      </c>
      <c r="G142" s="446">
        <f t="shared" si="36"/>
        <v>235.9830487875</v>
      </c>
      <c r="H142" s="446">
        <f t="shared" si="37"/>
        <v>894297.17793529993</v>
      </c>
      <c r="I142" s="446">
        <f t="shared" si="37"/>
        <v>701369.71597819135</v>
      </c>
      <c r="J142" s="446">
        <f t="shared" si="37"/>
        <v>76979.351060246743</v>
      </c>
      <c r="K142" s="446">
        <f t="shared" si="37"/>
        <v>893737.67706499982</v>
      </c>
      <c r="L142" s="446">
        <f t="shared" si="37"/>
        <v>710969.73978299985</v>
      </c>
      <c r="M142" s="446">
        <f t="shared" si="37"/>
        <v>34507.855494999989</v>
      </c>
      <c r="N142" s="18">
        <f t="shared" si="29"/>
        <v>96.279361937498834</v>
      </c>
      <c r="O142" s="18">
        <f t="shared" si="30"/>
        <v>97.359353787498549</v>
      </c>
      <c r="P142" s="18">
        <f t="shared" si="31"/>
        <v>2.7178998437499899</v>
      </c>
      <c r="Q142" s="18">
        <f t="shared" si="32"/>
        <v>2.7405987874999767</v>
      </c>
      <c r="R142" s="24">
        <f t="shared" si="38"/>
        <v>7976.8826575001003</v>
      </c>
      <c r="S142" s="18">
        <f>K142-K139</f>
        <v>743.1991299999645</v>
      </c>
      <c r="T142" s="18">
        <f t="shared" si="24"/>
        <v>2895.4223639999982</v>
      </c>
      <c r="U142" s="18">
        <f t="shared" si="25"/>
        <v>-165.94720300000336</v>
      </c>
      <c r="AD142" s="434"/>
      <c r="AE142" s="435"/>
      <c r="AF142" s="435"/>
      <c r="AG142" s="435"/>
      <c r="AH142" s="435"/>
      <c r="AI142" s="444"/>
      <c r="AJ142" s="444"/>
    </row>
    <row r="143" spans="1:36" ht="13.2" customHeight="1" x14ac:dyDescent="0.25">
      <c r="A143" s="445">
        <v>46235</v>
      </c>
      <c r="B143" s="301">
        <f t="shared" si="40"/>
        <v>2026</v>
      </c>
      <c r="C143" s="1" t="str">
        <f t="shared" si="23"/>
        <v>Q3</v>
      </c>
      <c r="D143" s="446">
        <f t="shared" si="36"/>
        <v>8298.3943167562502</v>
      </c>
      <c r="E143" s="446">
        <f t="shared" si="36"/>
        <v>8380.9986707999997</v>
      </c>
      <c r="F143" s="446">
        <f t="shared" si="36"/>
        <v>231.55965249375001</v>
      </c>
      <c r="G143" s="446">
        <f t="shared" si="36"/>
        <v>231.97113121875</v>
      </c>
      <c r="H143" s="446">
        <f t="shared" si="37"/>
        <v>894297.17793529993</v>
      </c>
      <c r="I143" s="446">
        <f t="shared" si="37"/>
        <v>701369.71597819135</v>
      </c>
      <c r="J143" s="446">
        <f t="shared" si="37"/>
        <v>76979.351060246743</v>
      </c>
      <c r="K143" s="446">
        <f t="shared" si="37"/>
        <v>893737.67706499982</v>
      </c>
      <c r="L143" s="446">
        <f t="shared" si="37"/>
        <v>710969.73978299985</v>
      </c>
      <c r="M143" s="446">
        <f t="shared" si="37"/>
        <v>34507.855494999989</v>
      </c>
      <c r="N143" s="18">
        <f t="shared" si="29"/>
        <v>96.373741756249728</v>
      </c>
      <c r="O143" s="18">
        <f t="shared" si="30"/>
        <v>97.333070799999405</v>
      </c>
      <c r="P143" s="18">
        <f t="shared" si="31"/>
        <v>2.6892274937499963</v>
      </c>
      <c r="Q143" s="18">
        <f t="shared" si="32"/>
        <v>2.6940062187499905</v>
      </c>
      <c r="R143" s="24">
        <f t="shared" si="38"/>
        <v>7976.8826575001003</v>
      </c>
      <c r="S143" s="18">
        <f t="shared" si="39"/>
        <v>743.1991299999645</v>
      </c>
      <c r="T143" s="18">
        <f t="shared" si="24"/>
        <v>2895.4223639999982</v>
      </c>
      <c r="U143" s="18">
        <f t="shared" si="25"/>
        <v>-165.94720300000336</v>
      </c>
      <c r="AD143" s="434"/>
      <c r="AE143" s="435"/>
      <c r="AF143" s="435"/>
      <c r="AG143" s="435"/>
      <c r="AH143" s="435"/>
      <c r="AI143" s="444"/>
      <c r="AJ143" s="444"/>
    </row>
    <row r="144" spans="1:36" ht="13.2" customHeight="1" x14ac:dyDescent="0.25">
      <c r="A144" s="445">
        <v>46266</v>
      </c>
      <c r="B144" s="301">
        <f t="shared" si="40"/>
        <v>2026</v>
      </c>
      <c r="C144" s="1" t="str">
        <f t="shared" si="23"/>
        <v>Q3</v>
      </c>
      <c r="D144" s="446">
        <f t="shared" si="36"/>
        <v>8318.0424258750008</v>
      </c>
      <c r="E144" s="446">
        <f t="shared" si="36"/>
        <v>8356.7214260250003</v>
      </c>
      <c r="F144" s="446">
        <f t="shared" si="36"/>
        <v>233.41130675624999</v>
      </c>
      <c r="G144" s="446">
        <f t="shared" si="36"/>
        <v>232.38260994375</v>
      </c>
      <c r="H144" s="446">
        <f t="shared" si="37"/>
        <v>894297.17793529993</v>
      </c>
      <c r="I144" s="446">
        <f t="shared" si="37"/>
        <v>701369.71597819135</v>
      </c>
      <c r="J144" s="446">
        <f t="shared" si="37"/>
        <v>76979.351060246743</v>
      </c>
      <c r="K144" s="446">
        <f t="shared" si="37"/>
        <v>893737.67706499982</v>
      </c>
      <c r="L144" s="446">
        <f t="shared" si="37"/>
        <v>710969.73978299985</v>
      </c>
      <c r="M144" s="446">
        <f t="shared" si="37"/>
        <v>34507.855494999989</v>
      </c>
      <c r="N144" s="18">
        <f t="shared" ref="N144:Q147" si="41">D144-D132</f>
        <v>96.601925875000234</v>
      </c>
      <c r="O144" s="18">
        <f t="shared" si="41"/>
        <v>97.051126024998666</v>
      </c>
      <c r="P144" s="18">
        <f t="shared" si="41"/>
        <v>2.7107317562499702</v>
      </c>
      <c r="Q144" s="18">
        <f t="shared" si="41"/>
        <v>2.6987849437499847</v>
      </c>
      <c r="R144" s="24">
        <f t="shared" si="38"/>
        <v>7976.8826575001003</v>
      </c>
      <c r="S144" s="18">
        <f t="shared" si="39"/>
        <v>743.1991299999645</v>
      </c>
      <c r="T144" s="18">
        <f t="shared" si="24"/>
        <v>2895.4223639999982</v>
      </c>
      <c r="U144" s="18">
        <f t="shared" si="25"/>
        <v>-165.94720300000336</v>
      </c>
      <c r="AD144" s="434"/>
      <c r="AE144" s="435"/>
      <c r="AF144" s="435"/>
      <c r="AG144" s="435"/>
      <c r="AH144" s="435"/>
      <c r="AI144" s="444"/>
      <c r="AJ144" s="444"/>
    </row>
    <row r="145" spans="1:36" ht="13.2" customHeight="1" x14ac:dyDescent="0.25">
      <c r="A145" s="445">
        <v>46296</v>
      </c>
      <c r="B145" s="301">
        <f t="shared" si="40"/>
        <v>2026</v>
      </c>
      <c r="C145" s="1" t="str">
        <f>C133</f>
        <v>Q4</v>
      </c>
      <c r="D145" s="446">
        <f t="shared" si="36"/>
        <v>8326.2720003750001</v>
      </c>
      <c r="E145" s="446">
        <f t="shared" si="36"/>
        <v>8342.2168009687502</v>
      </c>
      <c r="F145" s="446">
        <f t="shared" si="36"/>
        <v>235.26296101874996</v>
      </c>
      <c r="G145" s="446">
        <f t="shared" si="36"/>
        <v>232.38260994375</v>
      </c>
      <c r="H145" s="446">
        <f t="shared" si="37"/>
        <v>894297.17793529993</v>
      </c>
      <c r="I145" s="446">
        <f t="shared" si="37"/>
        <v>701369.71597819135</v>
      </c>
      <c r="J145" s="446">
        <f t="shared" si="37"/>
        <v>76979.351060246743</v>
      </c>
      <c r="K145" s="446">
        <f t="shared" si="37"/>
        <v>898135.63630901172</v>
      </c>
      <c r="L145" s="446">
        <f t="shared" si="37"/>
        <v>708959.04762441735</v>
      </c>
      <c r="M145" s="446">
        <f t="shared" si="37"/>
        <v>34597.147816226498</v>
      </c>
      <c r="N145" s="18">
        <f t="shared" si="41"/>
        <v>96.697500374999436</v>
      </c>
      <c r="O145" s="18">
        <f t="shared" si="41"/>
        <v>96.882675968749027</v>
      </c>
      <c r="P145" s="18">
        <f t="shared" si="41"/>
        <v>2.7322360187499726</v>
      </c>
      <c r="Q145" s="18">
        <f t="shared" si="41"/>
        <v>2.6987849437499847</v>
      </c>
      <c r="R145" s="24">
        <f t="shared" si="38"/>
        <v>7976.8826575001003</v>
      </c>
      <c r="S145" s="18">
        <f t="shared" si="39"/>
        <v>4397.9592440119013</v>
      </c>
      <c r="T145" s="18">
        <f t="shared" si="24"/>
        <v>-2010.6921585825039</v>
      </c>
      <c r="U145" s="18">
        <f t="shared" si="25"/>
        <v>89.292321226508648</v>
      </c>
      <c r="AD145" s="434"/>
      <c r="AE145" s="435"/>
      <c r="AF145" s="435"/>
      <c r="AG145" s="435"/>
      <c r="AH145" s="435"/>
      <c r="AI145" s="444"/>
      <c r="AJ145" s="444"/>
    </row>
    <row r="146" spans="1:36" ht="13.2" customHeight="1" x14ac:dyDescent="0.25">
      <c r="A146" s="445">
        <v>46327</v>
      </c>
      <c r="B146" s="301">
        <f t="shared" si="40"/>
        <v>2026</v>
      </c>
      <c r="C146" s="1" t="str">
        <f>C134</f>
        <v>Q4</v>
      </c>
      <c r="D146" s="446">
        <f t="shared" si="36"/>
        <v>8335.3245323249994</v>
      </c>
      <c r="E146" s="446">
        <f t="shared" si="36"/>
        <v>8333.6786174249992</v>
      </c>
      <c r="F146" s="446">
        <f t="shared" si="36"/>
        <v>235.26296101874996</v>
      </c>
      <c r="G146" s="446">
        <f t="shared" si="36"/>
        <v>232.38260994375</v>
      </c>
      <c r="H146" s="446">
        <f t="shared" si="37"/>
        <v>894297.17793529993</v>
      </c>
      <c r="I146" s="446">
        <f t="shared" si="37"/>
        <v>701369.71597819135</v>
      </c>
      <c r="J146" s="446">
        <f t="shared" si="37"/>
        <v>76979.351060246743</v>
      </c>
      <c r="K146" s="446">
        <f t="shared" si="37"/>
        <v>898135.63630901172</v>
      </c>
      <c r="L146" s="446">
        <f t="shared" si="37"/>
        <v>708959.04762441735</v>
      </c>
      <c r="M146" s="446">
        <f t="shared" si="37"/>
        <v>34597.147816226498</v>
      </c>
      <c r="N146" s="18">
        <f t="shared" si="41"/>
        <v>96.802632324999649</v>
      </c>
      <c r="O146" s="18">
        <f t="shared" si="41"/>
        <v>96.783517424999445</v>
      </c>
      <c r="P146" s="18">
        <f t="shared" si="41"/>
        <v>2.7322360187499726</v>
      </c>
      <c r="Q146" s="18">
        <f t="shared" si="41"/>
        <v>2.6987849437499847</v>
      </c>
      <c r="R146" s="24">
        <f t="shared" si="38"/>
        <v>7976.8826575001003</v>
      </c>
      <c r="S146" s="18">
        <f t="shared" si="39"/>
        <v>4397.9592440119013</v>
      </c>
      <c r="T146" s="18">
        <f t="shared" si="24"/>
        <v>-2010.6921585825039</v>
      </c>
      <c r="U146" s="18">
        <f t="shared" si="25"/>
        <v>89.292321226508648</v>
      </c>
      <c r="AD146" s="434"/>
      <c r="AE146" s="435"/>
      <c r="AF146" s="435"/>
      <c r="AG146" s="435"/>
      <c r="AH146" s="435"/>
      <c r="AI146" s="444"/>
      <c r="AJ146" s="444"/>
    </row>
    <row r="147" spans="1:36" ht="13.2" customHeight="1" x14ac:dyDescent="0.25">
      <c r="A147" s="445">
        <v>46357</v>
      </c>
      <c r="B147" s="301">
        <f t="shared" si="40"/>
        <v>2026</v>
      </c>
      <c r="C147" s="1" t="str">
        <f>C135</f>
        <v>Q4</v>
      </c>
      <c r="D147" s="446">
        <f t="shared" si="36"/>
        <v>8337.6905349937497</v>
      </c>
      <c r="E147" s="446">
        <f t="shared" si="36"/>
        <v>8329.6666998562505</v>
      </c>
      <c r="F147" s="446">
        <f t="shared" si="36"/>
        <v>233.5141764375</v>
      </c>
      <c r="G147" s="446">
        <f t="shared" si="36"/>
        <v>232.27974026249998</v>
      </c>
      <c r="H147" s="446">
        <f t="shared" si="37"/>
        <v>894297.17793529993</v>
      </c>
      <c r="I147" s="446">
        <f t="shared" si="37"/>
        <v>701369.71597819135</v>
      </c>
      <c r="J147" s="446">
        <f t="shared" si="37"/>
        <v>76979.351060246743</v>
      </c>
      <c r="K147" s="446">
        <f t="shared" si="37"/>
        <v>898135.63630901172</v>
      </c>
      <c r="L147" s="446">
        <f t="shared" si="37"/>
        <v>708959.04762441735</v>
      </c>
      <c r="M147" s="446">
        <f t="shared" si="37"/>
        <v>34597.147816226498</v>
      </c>
      <c r="N147" s="18">
        <f t="shared" si="41"/>
        <v>96.83010999374892</v>
      </c>
      <c r="O147" s="18">
        <f t="shared" si="41"/>
        <v>96.736924856249971</v>
      </c>
      <c r="P147" s="18">
        <f t="shared" si="41"/>
        <v>2.711926437499983</v>
      </c>
      <c r="Q147" s="18">
        <f t="shared" si="41"/>
        <v>2.6975902624999719</v>
      </c>
      <c r="R147" s="24">
        <f t="shared" si="38"/>
        <v>7976.8826575001003</v>
      </c>
      <c r="S147" s="18">
        <f t="shared" si="39"/>
        <v>4397.9592440119013</v>
      </c>
      <c r="T147" s="18">
        <f t="shared" si="24"/>
        <v>-2010.6921585825039</v>
      </c>
      <c r="U147" s="18">
        <f t="shared" si="25"/>
        <v>89.292321226508648</v>
      </c>
      <c r="AD147" s="434"/>
      <c r="AE147" s="435"/>
      <c r="AF147" s="435"/>
      <c r="AG147" s="435"/>
      <c r="AH147" s="435"/>
      <c r="AI147" s="444"/>
      <c r="AJ147" s="444"/>
    </row>
    <row r="148" spans="1:36" ht="13.2" customHeight="1" x14ac:dyDescent="0.25">
      <c r="A148" s="447"/>
      <c r="B148" s="448"/>
      <c r="C148" s="448"/>
      <c r="D148" s="443"/>
      <c r="E148" s="443"/>
      <c r="F148" s="443"/>
      <c r="G148" s="443"/>
      <c r="H148" s="448"/>
      <c r="I148" s="443"/>
      <c r="J148" s="443"/>
      <c r="K148" s="443"/>
      <c r="L148" s="443"/>
      <c r="AD148" s="434"/>
      <c r="AE148" s="435"/>
      <c r="AF148" s="435"/>
      <c r="AG148" s="435"/>
      <c r="AH148" s="435"/>
      <c r="AI148" s="444"/>
      <c r="AJ148" s="444"/>
    </row>
    <row r="149" spans="1:36" ht="13.2" customHeight="1" x14ac:dyDescent="0.25">
      <c r="A149" s="447"/>
      <c r="B149" s="448"/>
      <c r="C149" s="448"/>
      <c r="D149" s="443"/>
      <c r="E149" s="443"/>
      <c r="F149" s="443"/>
      <c r="G149" s="443"/>
      <c r="H149" s="448"/>
      <c r="I149" s="443"/>
      <c r="J149" s="443"/>
      <c r="K149" s="443"/>
      <c r="L149" s="443"/>
      <c r="AD149" s="434"/>
      <c r="AE149" s="435"/>
      <c r="AF149" s="435"/>
      <c r="AG149" s="435"/>
      <c r="AH149" s="435"/>
      <c r="AI149" s="444"/>
      <c r="AJ149" s="444"/>
    </row>
    <row r="150" spans="1:36" ht="13.2" customHeight="1" x14ac:dyDescent="0.25">
      <c r="A150" s="447"/>
      <c r="B150" s="448"/>
      <c r="C150" s="448"/>
      <c r="D150" s="443"/>
      <c r="E150" s="443"/>
      <c r="F150" s="443"/>
      <c r="G150" s="443"/>
      <c r="H150" s="448"/>
      <c r="I150" s="443"/>
      <c r="J150" s="443"/>
      <c r="K150" s="443"/>
      <c r="L150" s="443"/>
      <c r="AD150" s="434"/>
      <c r="AE150" s="435"/>
      <c r="AF150" s="435"/>
      <c r="AG150" s="435"/>
      <c r="AH150" s="435"/>
      <c r="AI150" s="444"/>
      <c r="AJ150" s="444"/>
    </row>
    <row r="151" spans="1:36" ht="13.2" customHeight="1" x14ac:dyDescent="0.25">
      <c r="A151" s="447"/>
      <c r="B151" s="448"/>
      <c r="C151" s="448"/>
      <c r="D151" s="443"/>
      <c r="E151" s="443"/>
      <c r="F151" s="443"/>
      <c r="G151" s="443"/>
      <c r="H151" s="448"/>
      <c r="I151" s="443"/>
      <c r="J151" s="443"/>
      <c r="K151" s="443"/>
      <c r="L151" s="443"/>
      <c r="AD151" s="434"/>
      <c r="AE151" s="435"/>
      <c r="AF151" s="435"/>
      <c r="AG151" s="435"/>
      <c r="AH151" s="435"/>
      <c r="AI151" s="444"/>
      <c r="AJ151" s="444"/>
    </row>
    <row r="152" spans="1:36" ht="13.2" customHeight="1" x14ac:dyDescent="0.25">
      <c r="A152" s="447"/>
      <c r="B152" s="448"/>
      <c r="C152" s="448"/>
      <c r="D152" s="443"/>
      <c r="E152" s="443"/>
      <c r="F152" s="443"/>
      <c r="G152" s="443"/>
      <c r="H152" s="448"/>
      <c r="I152" s="443"/>
      <c r="J152" s="443"/>
      <c r="K152" s="443"/>
      <c r="L152" s="443"/>
      <c r="AD152" s="434"/>
      <c r="AE152" s="435"/>
      <c r="AF152" s="435"/>
      <c r="AG152" s="435"/>
      <c r="AH152" s="435"/>
      <c r="AI152" s="444"/>
      <c r="AJ152" s="444"/>
    </row>
    <row r="153" spans="1:36" ht="13.2" customHeight="1" x14ac:dyDescent="0.25">
      <c r="A153" s="447"/>
      <c r="B153" s="448"/>
      <c r="C153" s="448"/>
      <c r="D153" s="443"/>
      <c r="E153" s="443"/>
      <c r="F153" s="443"/>
      <c r="G153" s="443"/>
      <c r="H153" s="448"/>
      <c r="I153" s="443"/>
      <c r="J153" s="443"/>
      <c r="K153" s="443"/>
      <c r="L153" s="443"/>
      <c r="AD153" s="434"/>
      <c r="AE153" s="435"/>
      <c r="AF153" s="435"/>
      <c r="AG153" s="435"/>
      <c r="AH153" s="435"/>
      <c r="AI153" s="444"/>
      <c r="AJ153" s="444"/>
    </row>
    <row r="154" spans="1:36" ht="13.2" customHeight="1" x14ac:dyDescent="0.25">
      <c r="A154" s="447"/>
      <c r="B154" s="448"/>
      <c r="C154" s="448"/>
      <c r="D154" s="443"/>
      <c r="E154" s="443"/>
      <c r="F154" s="443"/>
      <c r="G154" s="443"/>
      <c r="H154" s="448"/>
      <c r="I154" s="443"/>
      <c r="J154" s="443"/>
      <c r="K154" s="443"/>
      <c r="L154" s="443"/>
      <c r="AD154" s="434"/>
      <c r="AE154" s="435"/>
      <c r="AF154" s="435"/>
      <c r="AG154" s="435"/>
      <c r="AH154" s="435"/>
      <c r="AI154" s="444"/>
      <c r="AJ154" s="444"/>
    </row>
    <row r="155" spans="1:36" ht="13.2" customHeight="1" x14ac:dyDescent="0.25">
      <c r="A155" s="447"/>
      <c r="B155" s="448"/>
      <c r="C155" s="448"/>
      <c r="D155" s="443"/>
      <c r="E155" s="443"/>
      <c r="F155" s="443"/>
      <c r="G155" s="443"/>
      <c r="H155" s="448"/>
      <c r="I155" s="443"/>
      <c r="J155" s="443"/>
      <c r="K155" s="443"/>
      <c r="L155" s="443"/>
      <c r="AD155" s="434"/>
      <c r="AE155" s="435"/>
      <c r="AF155" s="435"/>
      <c r="AG155" s="435"/>
      <c r="AH155" s="435"/>
      <c r="AI155" s="444"/>
      <c r="AJ155" s="444"/>
    </row>
    <row r="156" spans="1:36" ht="13.2" customHeight="1" x14ac:dyDescent="0.25">
      <c r="A156" s="447"/>
      <c r="B156" s="448"/>
      <c r="C156" s="448"/>
      <c r="D156" s="443"/>
      <c r="E156" s="443"/>
      <c r="F156" s="443"/>
      <c r="G156" s="443"/>
      <c r="H156" s="448"/>
      <c r="I156" s="443"/>
      <c r="J156" s="443"/>
      <c r="K156" s="443"/>
      <c r="L156" s="443"/>
      <c r="AD156" s="434"/>
      <c r="AE156" s="435"/>
      <c r="AF156" s="435"/>
      <c r="AG156" s="435"/>
      <c r="AH156" s="435"/>
      <c r="AI156" s="444"/>
      <c r="AJ156" s="444"/>
    </row>
    <row r="157" spans="1:36" ht="13.2" customHeight="1" x14ac:dyDescent="0.25">
      <c r="A157" s="447"/>
      <c r="B157" s="448"/>
      <c r="C157" s="448"/>
      <c r="D157" s="443"/>
      <c r="E157" s="443"/>
      <c r="F157" s="443"/>
      <c r="G157" s="443"/>
      <c r="H157" s="448"/>
      <c r="I157" s="443"/>
      <c r="J157" s="443"/>
      <c r="K157" s="443"/>
      <c r="L157" s="443"/>
      <c r="AD157" s="434"/>
      <c r="AE157" s="435"/>
      <c r="AF157" s="435"/>
      <c r="AG157" s="435"/>
      <c r="AH157" s="435"/>
      <c r="AI157" s="444"/>
      <c r="AJ157" s="444"/>
    </row>
    <row r="158" spans="1:36" ht="13.2" customHeight="1" x14ac:dyDescent="0.25">
      <c r="A158" s="447"/>
      <c r="B158" s="448"/>
      <c r="C158" s="448"/>
      <c r="D158" s="443"/>
      <c r="E158" s="443"/>
      <c r="F158" s="443"/>
      <c r="G158" s="443"/>
      <c r="H158" s="448"/>
      <c r="I158" s="443"/>
      <c r="J158" s="443"/>
      <c r="K158" s="443"/>
      <c r="L158" s="443"/>
      <c r="AD158" s="434"/>
      <c r="AE158" s="435"/>
      <c r="AF158" s="435"/>
      <c r="AG158" s="435"/>
      <c r="AH158" s="435"/>
      <c r="AI158" s="444"/>
      <c r="AJ158" s="444"/>
    </row>
    <row r="159" spans="1:36" ht="13.2" customHeight="1" x14ac:dyDescent="0.25">
      <c r="A159" s="447"/>
      <c r="B159" s="448"/>
      <c r="C159" s="448"/>
      <c r="D159" s="443"/>
      <c r="E159" s="443"/>
      <c r="F159" s="443"/>
      <c r="G159" s="443"/>
      <c r="H159" s="448"/>
      <c r="I159" s="443"/>
      <c r="J159" s="443"/>
      <c r="K159" s="443"/>
      <c r="L159" s="443"/>
      <c r="AD159" s="434"/>
      <c r="AE159" s="435"/>
      <c r="AF159" s="435"/>
      <c r="AG159" s="435"/>
      <c r="AH159" s="435"/>
      <c r="AI159" s="444"/>
      <c r="AJ159" s="444"/>
    </row>
    <row r="160" spans="1:36" ht="13.2" customHeight="1" x14ac:dyDescent="0.25">
      <c r="A160" s="447"/>
      <c r="B160" s="448"/>
      <c r="C160" s="448"/>
      <c r="D160" s="443"/>
      <c r="E160" s="443"/>
      <c r="F160" s="443"/>
      <c r="G160" s="443"/>
      <c r="H160" s="448"/>
      <c r="I160" s="443"/>
      <c r="J160" s="443"/>
      <c r="K160" s="443"/>
      <c r="L160" s="443"/>
      <c r="AD160" s="434"/>
      <c r="AE160" s="435"/>
      <c r="AF160" s="435"/>
      <c r="AG160" s="435"/>
      <c r="AH160" s="435"/>
      <c r="AI160" s="444"/>
      <c r="AJ160" s="444"/>
    </row>
    <row r="161" spans="1:36" ht="13.2" customHeight="1" x14ac:dyDescent="0.25">
      <c r="A161" s="447"/>
      <c r="B161" s="448"/>
      <c r="C161" s="448"/>
      <c r="D161" s="443"/>
      <c r="E161" s="443"/>
      <c r="F161" s="443"/>
      <c r="G161" s="443"/>
      <c r="H161" s="448"/>
      <c r="I161" s="443"/>
      <c r="J161" s="443"/>
      <c r="K161" s="443"/>
      <c r="L161" s="443"/>
      <c r="AD161" s="434"/>
      <c r="AE161" s="435"/>
      <c r="AF161" s="435"/>
      <c r="AG161" s="435"/>
      <c r="AH161" s="435"/>
      <c r="AI161" s="444"/>
      <c r="AJ161" s="444"/>
    </row>
    <row r="162" spans="1:36" ht="13.2" customHeight="1" x14ac:dyDescent="0.25">
      <c r="A162" s="447"/>
      <c r="B162" s="448"/>
      <c r="C162" s="448"/>
      <c r="D162" s="443"/>
      <c r="E162" s="443"/>
      <c r="F162" s="443"/>
      <c r="G162" s="443"/>
      <c r="H162" s="448"/>
      <c r="I162" s="443"/>
      <c r="J162" s="443"/>
      <c r="K162" s="443"/>
      <c r="L162" s="443"/>
      <c r="AD162" s="434"/>
      <c r="AE162" s="435"/>
      <c r="AF162" s="435"/>
      <c r="AG162" s="435"/>
      <c r="AH162" s="435"/>
      <c r="AI162" s="444"/>
      <c r="AJ162" s="444"/>
    </row>
    <row r="163" spans="1:36" ht="13.2" customHeight="1" x14ac:dyDescent="0.25">
      <c r="A163" s="447"/>
      <c r="B163" s="448"/>
      <c r="C163" s="448"/>
      <c r="D163" s="443"/>
      <c r="E163" s="443"/>
      <c r="F163" s="443"/>
      <c r="G163" s="443"/>
      <c r="H163" s="448"/>
      <c r="I163" s="443"/>
      <c r="J163" s="443"/>
      <c r="K163" s="443"/>
      <c r="L163" s="443"/>
      <c r="AD163" s="434"/>
      <c r="AE163" s="435"/>
      <c r="AF163" s="435"/>
      <c r="AG163" s="435"/>
      <c r="AH163" s="435"/>
      <c r="AI163" s="444"/>
      <c r="AJ163" s="444"/>
    </row>
    <row r="164" spans="1:36" ht="13.2" customHeight="1" x14ac:dyDescent="0.25">
      <c r="A164" s="447"/>
      <c r="B164" s="448"/>
      <c r="C164" s="448"/>
      <c r="D164" s="443"/>
      <c r="E164" s="443"/>
      <c r="F164" s="443"/>
      <c r="G164" s="443"/>
      <c r="H164" s="448"/>
      <c r="I164" s="443"/>
      <c r="J164" s="443"/>
      <c r="K164" s="443"/>
      <c r="L164" s="443"/>
      <c r="AD164" s="434"/>
      <c r="AE164" s="435"/>
      <c r="AF164" s="435"/>
      <c r="AG164" s="435"/>
      <c r="AH164" s="435"/>
      <c r="AI164" s="444"/>
      <c r="AJ164" s="444"/>
    </row>
    <row r="165" spans="1:36" ht="13.2" customHeight="1" x14ac:dyDescent="0.25">
      <c r="A165" s="447"/>
      <c r="B165" s="448"/>
      <c r="C165" s="448"/>
      <c r="D165" s="443"/>
      <c r="E165" s="443"/>
      <c r="F165" s="443"/>
      <c r="G165" s="443"/>
      <c r="H165" s="448"/>
      <c r="I165" s="443"/>
      <c r="J165" s="443"/>
      <c r="K165" s="443"/>
      <c r="L165" s="443"/>
      <c r="AD165" s="434"/>
      <c r="AE165" s="435"/>
      <c r="AF165" s="435"/>
      <c r="AG165" s="435"/>
      <c r="AH165" s="435"/>
      <c r="AI165" s="444"/>
      <c r="AJ165" s="444"/>
    </row>
    <row r="166" spans="1:36" ht="13.2" customHeight="1" x14ac:dyDescent="0.25">
      <c r="A166" s="447"/>
      <c r="B166" s="448"/>
      <c r="C166" s="448"/>
      <c r="D166" s="443"/>
      <c r="E166" s="443"/>
      <c r="F166" s="443"/>
      <c r="G166" s="443"/>
      <c r="H166" s="448"/>
      <c r="I166" s="443"/>
      <c r="J166" s="443"/>
      <c r="K166" s="443"/>
      <c r="L166" s="443"/>
      <c r="AD166" s="434"/>
      <c r="AE166" s="435"/>
      <c r="AF166" s="435"/>
      <c r="AG166" s="435"/>
      <c r="AH166" s="435"/>
      <c r="AI166" s="444"/>
      <c r="AJ166" s="444"/>
    </row>
    <row r="167" spans="1:36" ht="13.2" customHeight="1" x14ac:dyDescent="0.25">
      <c r="A167" s="447"/>
      <c r="B167" s="448"/>
      <c r="C167" s="448"/>
      <c r="D167" s="443"/>
      <c r="E167" s="443"/>
      <c r="F167" s="443"/>
      <c r="G167" s="443"/>
      <c r="H167" s="448"/>
      <c r="I167" s="443"/>
      <c r="J167" s="443"/>
      <c r="K167" s="443"/>
      <c r="L167" s="443"/>
      <c r="AD167" s="434"/>
      <c r="AE167" s="435"/>
      <c r="AF167" s="435"/>
      <c r="AG167" s="435"/>
      <c r="AH167" s="435"/>
      <c r="AI167" s="444"/>
      <c r="AJ167" s="444"/>
    </row>
    <row r="168" spans="1:36" ht="13.2" customHeight="1" x14ac:dyDescent="0.25">
      <c r="A168" s="447"/>
      <c r="B168" s="448"/>
      <c r="C168" s="448"/>
      <c r="D168" s="443"/>
      <c r="E168" s="443"/>
      <c r="F168" s="443"/>
      <c r="G168" s="443"/>
      <c r="H168" s="448"/>
      <c r="I168" s="443"/>
      <c r="J168" s="443"/>
      <c r="K168" s="443"/>
      <c r="L168" s="443"/>
      <c r="AD168" s="434"/>
      <c r="AE168" s="435"/>
      <c r="AF168" s="435"/>
      <c r="AG168" s="435"/>
      <c r="AH168" s="435"/>
      <c r="AI168" s="444"/>
      <c r="AJ168" s="444"/>
    </row>
    <row r="169" spans="1:36" ht="13.2" customHeight="1" x14ac:dyDescent="0.25">
      <c r="A169" s="447"/>
      <c r="B169" s="448"/>
      <c r="C169" s="448"/>
      <c r="D169" s="443"/>
      <c r="E169" s="443"/>
      <c r="F169" s="443"/>
      <c r="G169" s="443"/>
      <c r="H169" s="448"/>
      <c r="I169" s="443"/>
      <c r="J169" s="443"/>
      <c r="K169" s="443"/>
      <c r="L169" s="443"/>
      <c r="AD169" s="434"/>
      <c r="AE169" s="435"/>
      <c r="AF169" s="435"/>
      <c r="AG169" s="435"/>
      <c r="AH169" s="435"/>
      <c r="AI169" s="444"/>
      <c r="AJ169" s="444"/>
    </row>
    <row r="170" spans="1:36" ht="13.2" customHeight="1" x14ac:dyDescent="0.25">
      <c r="A170" s="447"/>
      <c r="B170" s="448"/>
      <c r="C170" s="448"/>
      <c r="D170" s="443"/>
      <c r="E170" s="443"/>
      <c r="F170" s="443"/>
      <c r="G170" s="443"/>
      <c r="H170" s="448"/>
      <c r="I170" s="443"/>
      <c r="J170" s="443"/>
      <c r="K170" s="443"/>
      <c r="L170" s="443"/>
      <c r="AD170" s="434"/>
      <c r="AE170" s="435"/>
      <c r="AF170" s="435"/>
      <c r="AG170" s="435"/>
      <c r="AH170" s="435"/>
      <c r="AI170" s="444"/>
      <c r="AJ170" s="444"/>
    </row>
    <row r="171" spans="1:36" ht="13.2" customHeight="1" x14ac:dyDescent="0.25">
      <c r="A171" s="447"/>
      <c r="B171" s="448"/>
      <c r="C171" s="448"/>
      <c r="D171" s="443"/>
      <c r="E171" s="443"/>
      <c r="F171" s="443"/>
      <c r="G171" s="443"/>
      <c r="H171" s="448"/>
      <c r="I171" s="443"/>
      <c r="J171" s="443"/>
      <c r="K171" s="443"/>
      <c r="L171" s="443"/>
      <c r="AD171" s="434"/>
      <c r="AE171" s="435"/>
      <c r="AF171" s="435"/>
      <c r="AG171" s="435"/>
      <c r="AH171" s="435"/>
      <c r="AI171" s="444"/>
      <c r="AJ171" s="444"/>
    </row>
    <row r="172" spans="1:36" ht="13.2" customHeight="1" x14ac:dyDescent="0.25">
      <c r="A172" s="447"/>
      <c r="B172" s="448"/>
      <c r="C172" s="448"/>
      <c r="D172" s="443"/>
      <c r="E172" s="443"/>
      <c r="F172" s="443"/>
      <c r="G172" s="443"/>
      <c r="H172" s="448"/>
      <c r="I172" s="443"/>
      <c r="J172" s="443"/>
      <c r="K172" s="443"/>
      <c r="L172" s="443"/>
      <c r="AD172" s="434"/>
      <c r="AE172" s="435"/>
      <c r="AF172" s="435"/>
      <c r="AG172" s="435"/>
      <c r="AH172" s="435"/>
      <c r="AI172" s="444"/>
      <c r="AJ172" s="444"/>
    </row>
    <row r="173" spans="1:36" ht="13.2" customHeight="1" x14ac:dyDescent="0.25">
      <c r="A173" s="447"/>
      <c r="B173" s="448"/>
      <c r="C173" s="448"/>
      <c r="D173" s="443"/>
      <c r="E173" s="443"/>
      <c r="F173" s="443"/>
      <c r="G173" s="443"/>
      <c r="H173" s="448"/>
      <c r="I173" s="443"/>
      <c r="J173" s="443"/>
      <c r="K173" s="443"/>
      <c r="L173" s="443"/>
      <c r="AD173" s="434"/>
      <c r="AE173" s="435"/>
      <c r="AF173" s="435"/>
      <c r="AG173" s="435"/>
      <c r="AH173" s="435"/>
      <c r="AI173" s="444"/>
      <c r="AJ173" s="444"/>
    </row>
    <row r="174" spans="1:36" ht="13.2" customHeight="1" x14ac:dyDescent="0.25">
      <c r="A174" s="447"/>
      <c r="B174" s="448"/>
      <c r="C174" s="448"/>
      <c r="D174" s="443"/>
      <c r="E174" s="443"/>
      <c r="F174" s="443"/>
      <c r="G174" s="443"/>
      <c r="H174" s="448"/>
      <c r="I174" s="443"/>
      <c r="J174" s="443"/>
      <c r="K174" s="443"/>
      <c r="L174" s="443"/>
      <c r="AD174" s="434"/>
      <c r="AE174" s="435"/>
      <c r="AF174" s="435"/>
      <c r="AG174" s="435"/>
      <c r="AH174" s="435"/>
      <c r="AI174" s="444"/>
      <c r="AJ174" s="444"/>
    </row>
    <row r="175" spans="1:36" ht="13.2" customHeight="1" x14ac:dyDescent="0.25">
      <c r="A175" s="447"/>
      <c r="B175" s="448"/>
      <c r="C175" s="448"/>
      <c r="D175" s="443"/>
      <c r="E175" s="443"/>
      <c r="F175" s="443"/>
      <c r="G175" s="443"/>
      <c r="H175" s="448"/>
      <c r="I175" s="443"/>
      <c r="J175" s="443"/>
      <c r="K175" s="443"/>
      <c r="L175" s="443"/>
      <c r="AD175" s="434"/>
      <c r="AE175" s="435"/>
      <c r="AF175" s="435"/>
      <c r="AG175" s="435"/>
      <c r="AH175" s="435"/>
      <c r="AI175" s="444"/>
      <c r="AJ175" s="444"/>
    </row>
    <row r="176" spans="1:36" ht="13.2" customHeight="1" x14ac:dyDescent="0.25">
      <c r="A176" s="447"/>
      <c r="B176" s="448"/>
      <c r="C176" s="448"/>
      <c r="D176" s="443"/>
      <c r="E176" s="443"/>
      <c r="F176" s="443"/>
      <c r="G176" s="443"/>
      <c r="H176" s="448"/>
      <c r="I176" s="443"/>
      <c r="J176" s="443"/>
      <c r="K176" s="443"/>
      <c r="L176" s="443"/>
      <c r="AD176" s="434"/>
      <c r="AE176" s="435"/>
      <c r="AF176" s="435"/>
      <c r="AG176" s="435"/>
      <c r="AH176" s="435"/>
      <c r="AI176" s="444"/>
      <c r="AJ176" s="444"/>
    </row>
    <row r="177" spans="1:36" ht="13.2" customHeight="1" x14ac:dyDescent="0.25">
      <c r="A177" s="447"/>
      <c r="B177" s="448"/>
      <c r="C177" s="448"/>
      <c r="D177" s="443"/>
      <c r="E177" s="443"/>
      <c r="F177" s="443"/>
      <c r="G177" s="443"/>
      <c r="H177" s="448"/>
      <c r="I177" s="443"/>
      <c r="J177" s="443"/>
      <c r="K177" s="443"/>
      <c r="L177" s="443"/>
      <c r="AD177" s="434"/>
      <c r="AE177" s="435"/>
      <c r="AF177" s="435"/>
      <c r="AG177" s="435"/>
      <c r="AH177" s="435"/>
      <c r="AI177" s="444"/>
      <c r="AJ177" s="444"/>
    </row>
    <row r="178" spans="1:36" ht="13.2" customHeight="1" x14ac:dyDescent="0.25">
      <c r="A178" s="447"/>
      <c r="B178" s="448"/>
      <c r="C178" s="448"/>
      <c r="D178" s="443"/>
      <c r="E178" s="443"/>
      <c r="F178" s="443"/>
      <c r="G178" s="443"/>
      <c r="H178" s="448"/>
      <c r="I178" s="443"/>
      <c r="J178" s="443"/>
      <c r="K178" s="443"/>
      <c r="L178" s="443"/>
      <c r="AD178" s="434"/>
      <c r="AE178" s="435"/>
      <c r="AF178" s="435"/>
      <c r="AG178" s="435"/>
      <c r="AH178" s="435"/>
      <c r="AI178" s="444"/>
      <c r="AJ178" s="444"/>
    </row>
    <row r="179" spans="1:36" ht="13.2" customHeight="1" x14ac:dyDescent="0.25">
      <c r="A179" s="447"/>
      <c r="B179" s="448"/>
      <c r="C179" s="448"/>
      <c r="D179" s="443"/>
      <c r="E179" s="443"/>
      <c r="F179" s="443"/>
      <c r="G179" s="443"/>
      <c r="H179" s="448"/>
      <c r="I179" s="443"/>
      <c r="J179" s="443"/>
      <c r="K179" s="443"/>
      <c r="L179" s="443"/>
      <c r="AD179" s="434"/>
      <c r="AE179" s="435"/>
      <c r="AF179" s="435"/>
      <c r="AG179" s="435"/>
      <c r="AH179" s="435"/>
      <c r="AI179" s="444"/>
      <c r="AJ179" s="444"/>
    </row>
    <row r="180" spans="1:36" ht="13.2" customHeight="1" x14ac:dyDescent="0.25">
      <c r="A180" s="447"/>
      <c r="B180" s="448"/>
      <c r="C180" s="448"/>
      <c r="D180" s="443"/>
      <c r="E180" s="443"/>
      <c r="F180" s="443"/>
      <c r="G180" s="443"/>
      <c r="H180" s="448"/>
      <c r="I180" s="443"/>
      <c r="J180" s="443"/>
      <c r="K180" s="443"/>
      <c r="L180" s="443"/>
      <c r="AD180" s="434"/>
      <c r="AE180" s="435"/>
      <c r="AF180" s="435"/>
      <c r="AG180" s="435"/>
      <c r="AH180" s="435"/>
      <c r="AI180" s="444"/>
      <c r="AJ180" s="444"/>
    </row>
    <row r="181" spans="1:36" ht="13.2" customHeight="1" x14ac:dyDescent="0.25">
      <c r="A181" s="447"/>
      <c r="B181" s="448"/>
      <c r="C181" s="448"/>
      <c r="D181" s="443"/>
      <c r="E181" s="443"/>
      <c r="F181" s="443"/>
      <c r="G181" s="443"/>
      <c r="H181" s="448"/>
      <c r="I181" s="443"/>
      <c r="J181" s="443"/>
      <c r="K181" s="443"/>
      <c r="L181" s="443"/>
      <c r="AD181" s="434"/>
      <c r="AE181" s="435"/>
      <c r="AF181" s="435"/>
      <c r="AG181" s="435"/>
      <c r="AH181" s="435"/>
      <c r="AI181" s="444"/>
      <c r="AJ181" s="444"/>
    </row>
    <row r="182" spans="1:36" ht="13.2" customHeight="1" x14ac:dyDescent="0.25">
      <c r="A182" s="447"/>
      <c r="B182" s="448"/>
      <c r="C182" s="448"/>
      <c r="D182" s="443"/>
      <c r="E182" s="443"/>
      <c r="F182" s="443"/>
      <c r="G182" s="443"/>
      <c r="H182" s="448"/>
      <c r="I182" s="443"/>
      <c r="J182" s="443"/>
      <c r="K182" s="443"/>
      <c r="L182" s="443"/>
      <c r="AD182" s="434"/>
      <c r="AE182" s="435"/>
      <c r="AF182" s="435"/>
      <c r="AG182" s="435"/>
      <c r="AH182" s="435"/>
      <c r="AI182" s="444"/>
      <c r="AJ182" s="444"/>
    </row>
    <row r="183" spans="1:36" ht="13.2" customHeight="1" x14ac:dyDescent="0.25">
      <c r="A183" s="447"/>
      <c r="B183" s="448"/>
      <c r="C183" s="448"/>
      <c r="D183" s="443"/>
      <c r="E183" s="443"/>
      <c r="F183" s="443"/>
      <c r="G183" s="443"/>
      <c r="H183" s="448"/>
      <c r="I183" s="443"/>
      <c r="J183" s="443"/>
      <c r="K183" s="443"/>
      <c r="L183" s="443"/>
      <c r="AD183" s="434"/>
      <c r="AE183" s="435"/>
      <c r="AF183" s="435"/>
      <c r="AG183" s="435"/>
      <c r="AH183" s="435"/>
      <c r="AI183" s="444"/>
      <c r="AJ183" s="444"/>
    </row>
    <row r="184" spans="1:36" ht="13.2" customHeight="1" x14ac:dyDescent="0.25">
      <c r="A184" s="447"/>
      <c r="B184" s="448"/>
      <c r="C184" s="448"/>
      <c r="D184" s="443"/>
      <c r="E184" s="443"/>
      <c r="F184" s="443"/>
      <c r="G184" s="443"/>
      <c r="H184" s="448"/>
      <c r="I184" s="443"/>
      <c r="J184" s="443"/>
      <c r="K184" s="443"/>
      <c r="L184" s="443"/>
      <c r="AD184" s="434"/>
      <c r="AE184" s="435"/>
      <c r="AF184" s="435"/>
      <c r="AG184" s="435"/>
      <c r="AH184" s="435"/>
      <c r="AI184" s="444"/>
      <c r="AJ184" s="444"/>
    </row>
    <row r="185" spans="1:36" ht="13.2" customHeight="1" x14ac:dyDescent="0.25">
      <c r="A185" s="447"/>
      <c r="B185" s="448"/>
      <c r="C185" s="448"/>
      <c r="D185" s="443"/>
      <c r="E185" s="443"/>
      <c r="F185" s="443"/>
      <c r="G185" s="443"/>
      <c r="H185" s="448"/>
      <c r="I185" s="443"/>
      <c r="J185" s="443"/>
      <c r="K185" s="443"/>
      <c r="L185" s="443"/>
      <c r="AD185" s="434"/>
      <c r="AE185" s="435"/>
      <c r="AF185" s="435"/>
      <c r="AG185" s="435"/>
      <c r="AH185" s="435"/>
      <c r="AI185" s="444"/>
      <c r="AJ185" s="444"/>
    </row>
    <row r="186" spans="1:36" ht="13.2" customHeight="1" x14ac:dyDescent="0.25">
      <c r="A186" s="447"/>
      <c r="B186" s="448"/>
      <c r="C186" s="448"/>
      <c r="D186" s="443"/>
      <c r="E186" s="443"/>
      <c r="F186" s="443"/>
      <c r="G186" s="443"/>
      <c r="H186" s="448"/>
      <c r="I186" s="443"/>
      <c r="J186" s="443"/>
      <c r="K186" s="443"/>
      <c r="L186" s="443"/>
      <c r="AD186" s="434"/>
      <c r="AE186" s="435"/>
      <c r="AF186" s="435"/>
      <c r="AG186" s="435"/>
      <c r="AH186" s="435"/>
      <c r="AI186" s="444"/>
      <c r="AJ186" s="444"/>
    </row>
    <row r="187" spans="1:36" ht="13.2" customHeight="1" x14ac:dyDescent="0.25">
      <c r="A187" s="447"/>
      <c r="B187" s="448"/>
      <c r="C187" s="448"/>
      <c r="D187" s="443"/>
      <c r="E187" s="443"/>
      <c r="F187" s="443"/>
      <c r="G187" s="443"/>
      <c r="H187" s="448"/>
      <c r="I187" s="443"/>
      <c r="J187" s="443"/>
      <c r="K187" s="443"/>
      <c r="L187" s="443"/>
      <c r="AD187" s="434"/>
      <c r="AE187" s="435"/>
      <c r="AF187" s="435"/>
      <c r="AG187" s="435"/>
      <c r="AH187" s="435"/>
      <c r="AI187" s="444"/>
      <c r="AJ187" s="444"/>
    </row>
    <row r="188" spans="1:36" ht="13.2" customHeight="1" x14ac:dyDescent="0.25">
      <c r="A188" s="447"/>
      <c r="B188" s="448"/>
      <c r="C188" s="448"/>
      <c r="D188" s="443"/>
      <c r="E188" s="443"/>
      <c r="F188" s="443"/>
      <c r="G188" s="443"/>
      <c r="H188" s="448"/>
      <c r="I188" s="443"/>
      <c r="J188" s="443"/>
      <c r="K188" s="443"/>
      <c r="L188" s="443"/>
      <c r="AD188" s="434"/>
      <c r="AE188" s="435"/>
      <c r="AF188" s="435"/>
      <c r="AG188" s="435"/>
      <c r="AH188" s="435"/>
      <c r="AI188" s="444"/>
      <c r="AJ188" s="444"/>
    </row>
    <row r="189" spans="1:36" ht="13.2" customHeight="1" x14ac:dyDescent="0.25">
      <c r="A189" s="447"/>
      <c r="B189" s="448"/>
      <c r="C189" s="448"/>
      <c r="D189" s="443"/>
      <c r="E189" s="443"/>
      <c r="F189" s="443"/>
      <c r="G189" s="443"/>
      <c r="H189" s="448"/>
      <c r="I189" s="443"/>
      <c r="J189" s="443"/>
      <c r="K189" s="443"/>
      <c r="L189" s="443"/>
      <c r="AD189" s="434"/>
      <c r="AE189" s="435"/>
      <c r="AF189" s="435"/>
      <c r="AG189" s="435"/>
      <c r="AH189" s="435"/>
      <c r="AI189" s="444"/>
      <c r="AJ189" s="444"/>
    </row>
    <row r="190" spans="1:36" ht="13.2" customHeight="1" x14ac:dyDescent="0.25">
      <c r="A190" s="447"/>
      <c r="B190" s="448"/>
      <c r="C190" s="448"/>
      <c r="D190" s="443"/>
      <c r="E190" s="443"/>
      <c r="F190" s="443"/>
      <c r="G190" s="443"/>
      <c r="H190" s="448"/>
      <c r="I190" s="443"/>
      <c r="J190" s="443"/>
      <c r="K190" s="443"/>
      <c r="L190" s="443"/>
      <c r="AD190" s="434"/>
      <c r="AE190" s="435"/>
      <c r="AF190" s="435"/>
      <c r="AG190" s="435"/>
      <c r="AH190" s="435"/>
      <c r="AI190" s="444"/>
      <c r="AJ190" s="444"/>
    </row>
    <row r="191" spans="1:36" ht="13.2" customHeight="1" x14ac:dyDescent="0.25">
      <c r="A191" s="447"/>
      <c r="B191" s="448"/>
      <c r="C191" s="448"/>
      <c r="D191" s="443"/>
      <c r="E191" s="443"/>
      <c r="F191" s="443"/>
      <c r="G191" s="443"/>
      <c r="H191" s="448"/>
      <c r="I191" s="443"/>
      <c r="J191" s="443"/>
      <c r="K191" s="443"/>
      <c r="L191" s="443"/>
      <c r="AD191" s="434"/>
      <c r="AE191" s="435"/>
      <c r="AF191" s="435"/>
      <c r="AG191" s="435"/>
      <c r="AH191" s="435"/>
      <c r="AI191" s="444"/>
      <c r="AJ191" s="444"/>
    </row>
    <row r="192" spans="1:36" ht="13.2" customHeight="1" x14ac:dyDescent="0.25">
      <c r="A192" s="447"/>
      <c r="B192" s="448"/>
      <c r="C192" s="448"/>
      <c r="D192" s="443"/>
      <c r="E192" s="443"/>
      <c r="F192" s="443"/>
      <c r="G192" s="443"/>
      <c r="H192" s="448"/>
      <c r="I192" s="443"/>
      <c r="J192" s="443"/>
      <c r="K192" s="443"/>
      <c r="L192" s="443"/>
      <c r="AD192" s="434"/>
      <c r="AE192" s="435"/>
      <c r="AF192" s="435"/>
      <c r="AG192" s="435"/>
      <c r="AH192" s="435"/>
      <c r="AI192" s="444"/>
      <c r="AJ192" s="444"/>
    </row>
    <row r="193" spans="30:36" ht="13.2" customHeight="1" x14ac:dyDescent="0.25">
      <c r="AD193" s="434"/>
      <c r="AE193" s="435"/>
      <c r="AF193" s="435"/>
      <c r="AG193" s="435"/>
      <c r="AH193" s="435"/>
      <c r="AI193" s="444"/>
      <c r="AJ193" s="444"/>
    </row>
    <row r="194" spans="30:36" ht="13.2" customHeight="1" x14ac:dyDescent="0.25">
      <c r="AD194" s="434"/>
      <c r="AE194" s="435"/>
      <c r="AF194" s="435"/>
      <c r="AG194" s="435"/>
      <c r="AH194" s="435"/>
      <c r="AI194" s="444"/>
      <c r="AJ194" s="444"/>
    </row>
    <row r="195" spans="30:36" ht="13.2" customHeight="1" x14ac:dyDescent="0.25">
      <c r="AD195" s="434"/>
      <c r="AE195" s="435"/>
      <c r="AF195" s="435"/>
      <c r="AG195" s="435"/>
      <c r="AH195" s="435"/>
      <c r="AI195" s="444"/>
      <c r="AJ195" s="444"/>
    </row>
    <row r="196" spans="30:36" ht="13.2" customHeight="1" x14ac:dyDescent="0.25">
      <c r="AD196" s="434"/>
      <c r="AE196" s="435"/>
      <c r="AF196" s="435"/>
      <c r="AG196" s="435"/>
      <c r="AH196" s="435"/>
      <c r="AI196" s="444"/>
      <c r="AJ196" s="444"/>
    </row>
    <row r="197" spans="30:36" ht="13.2" customHeight="1" x14ac:dyDescent="0.25">
      <c r="AD197" s="434"/>
      <c r="AE197" s="435"/>
      <c r="AF197" s="435"/>
      <c r="AG197" s="435"/>
      <c r="AH197" s="435"/>
      <c r="AI197" s="444"/>
      <c r="AJ197" s="444"/>
    </row>
    <row r="198" spans="30:36" ht="13.2" customHeight="1" x14ac:dyDescent="0.25">
      <c r="AD198" s="434"/>
      <c r="AE198" s="435"/>
      <c r="AF198" s="435"/>
      <c r="AG198" s="435"/>
      <c r="AH198" s="435"/>
      <c r="AI198" s="444"/>
      <c r="AJ198" s="444"/>
    </row>
    <row r="199" spans="30:36" ht="13.2" customHeight="1" x14ac:dyDescent="0.25">
      <c r="AD199" s="434"/>
      <c r="AE199" s="435"/>
      <c r="AF199" s="435"/>
      <c r="AG199" s="435"/>
      <c r="AH199" s="435"/>
      <c r="AI199" s="444"/>
      <c r="AJ199" s="444"/>
    </row>
    <row r="200" spans="30:36" ht="13.2" customHeight="1" x14ac:dyDescent="0.25">
      <c r="AD200" s="434"/>
      <c r="AE200" s="435"/>
      <c r="AF200" s="435"/>
      <c r="AG200" s="435"/>
      <c r="AH200" s="435"/>
      <c r="AI200" s="444"/>
      <c r="AJ200" s="444"/>
    </row>
    <row r="201" spans="30:36" ht="13.2" customHeight="1" x14ac:dyDescent="0.25">
      <c r="AD201" s="434"/>
      <c r="AE201" s="435"/>
      <c r="AF201" s="435"/>
      <c r="AG201" s="435"/>
      <c r="AH201" s="435"/>
      <c r="AI201" s="444"/>
      <c r="AJ201" s="444"/>
    </row>
    <row r="202" spans="30:36" ht="13.2" customHeight="1" x14ac:dyDescent="0.25">
      <c r="AD202" s="434"/>
      <c r="AE202" s="435"/>
      <c r="AF202" s="435"/>
      <c r="AG202" s="435"/>
      <c r="AH202" s="435"/>
      <c r="AI202" s="444"/>
      <c r="AJ202" s="444"/>
    </row>
    <row r="203" spans="30:36" ht="13.2" customHeight="1" x14ac:dyDescent="0.25">
      <c r="AD203" s="434"/>
      <c r="AE203" s="435"/>
      <c r="AF203" s="435"/>
      <c r="AG203" s="435"/>
      <c r="AH203" s="435"/>
      <c r="AI203" s="444"/>
      <c r="AJ203" s="444"/>
    </row>
    <row r="204" spans="30:36" ht="13.2" customHeight="1" x14ac:dyDescent="0.25">
      <c r="AD204" s="434"/>
      <c r="AE204" s="435"/>
      <c r="AF204" s="435"/>
      <c r="AG204" s="435"/>
      <c r="AH204" s="435"/>
      <c r="AI204" s="444"/>
      <c r="AJ204" s="444"/>
    </row>
    <row r="205" spans="30:36" ht="13.2" customHeight="1" x14ac:dyDescent="0.25">
      <c r="AD205" s="434"/>
      <c r="AE205" s="435"/>
      <c r="AF205" s="435"/>
      <c r="AG205" s="435"/>
      <c r="AH205" s="435"/>
      <c r="AI205" s="444"/>
      <c r="AJ205" s="444"/>
    </row>
    <row r="206" spans="30:36" ht="13.2" customHeight="1" x14ac:dyDescent="0.25">
      <c r="AD206" s="434"/>
      <c r="AE206" s="435"/>
      <c r="AF206" s="435"/>
      <c r="AG206" s="435"/>
      <c r="AH206" s="435"/>
      <c r="AI206" s="444"/>
      <c r="AJ206" s="444"/>
    </row>
    <row r="207" spans="30:36" ht="13.2" customHeight="1" x14ac:dyDescent="0.25">
      <c r="AD207" s="434"/>
      <c r="AE207" s="435"/>
      <c r="AF207" s="435"/>
      <c r="AG207" s="435"/>
      <c r="AH207" s="435"/>
      <c r="AI207" s="444"/>
      <c r="AJ207" s="444"/>
    </row>
    <row r="208" spans="30:36" ht="13.2" customHeight="1" x14ac:dyDescent="0.25">
      <c r="AD208" s="434"/>
      <c r="AE208" s="435"/>
      <c r="AF208" s="435"/>
      <c r="AG208" s="435"/>
      <c r="AH208" s="435"/>
      <c r="AI208" s="444"/>
      <c r="AJ208" s="444"/>
    </row>
    <row r="209" spans="30:36" ht="13.2" customHeight="1" x14ac:dyDescent="0.25">
      <c r="AD209" s="434"/>
      <c r="AE209" s="435"/>
      <c r="AF209" s="435"/>
      <c r="AG209" s="435"/>
      <c r="AH209" s="435"/>
      <c r="AI209" s="444"/>
      <c r="AJ209" s="444"/>
    </row>
    <row r="210" spans="30:36" ht="13.2" customHeight="1" x14ac:dyDescent="0.25">
      <c r="AD210" s="434"/>
      <c r="AE210" s="435"/>
      <c r="AF210" s="435"/>
      <c r="AG210" s="435"/>
      <c r="AH210" s="435"/>
      <c r="AI210" s="444"/>
      <c r="AJ210" s="444"/>
    </row>
    <row r="211" spans="30:36" ht="13.2" customHeight="1" x14ac:dyDescent="0.25">
      <c r="AD211" s="434"/>
      <c r="AE211" s="435"/>
      <c r="AF211" s="435"/>
      <c r="AG211" s="435"/>
      <c r="AH211" s="435"/>
      <c r="AI211" s="444"/>
      <c r="AJ211" s="444"/>
    </row>
    <row r="212" spans="30:36" ht="13.2" customHeight="1" x14ac:dyDescent="0.25">
      <c r="AD212" s="434"/>
      <c r="AE212" s="435"/>
      <c r="AF212" s="435"/>
      <c r="AG212" s="435"/>
      <c r="AH212" s="435"/>
      <c r="AI212" s="444"/>
      <c r="AJ212" s="444"/>
    </row>
    <row r="213" spans="30:36" ht="13.2" customHeight="1" x14ac:dyDescent="0.25">
      <c r="AD213" s="434"/>
      <c r="AE213" s="435"/>
      <c r="AF213" s="435"/>
      <c r="AG213" s="435"/>
      <c r="AH213" s="435"/>
      <c r="AI213" s="444"/>
      <c r="AJ213" s="444"/>
    </row>
    <row r="214" spans="30:36" ht="13.2" customHeight="1" x14ac:dyDescent="0.25">
      <c r="AD214" s="434"/>
      <c r="AE214" s="435"/>
      <c r="AF214" s="435"/>
      <c r="AG214" s="435"/>
      <c r="AH214" s="435"/>
      <c r="AI214" s="444"/>
      <c r="AJ214" s="444"/>
    </row>
    <row r="215" spans="30:36" ht="13.2" customHeight="1" x14ac:dyDescent="0.25">
      <c r="AD215" s="434"/>
      <c r="AE215" s="435"/>
      <c r="AF215" s="435"/>
      <c r="AG215" s="435"/>
      <c r="AH215" s="435"/>
      <c r="AI215" s="444"/>
      <c r="AJ215" s="444"/>
    </row>
    <row r="216" spans="30:36" ht="13.2" customHeight="1" x14ac:dyDescent="0.25">
      <c r="AD216" s="434"/>
      <c r="AE216" s="435"/>
      <c r="AF216" s="435"/>
      <c r="AG216" s="435"/>
      <c r="AH216" s="435"/>
      <c r="AI216" s="444"/>
      <c r="AJ216" s="444"/>
    </row>
    <row r="217" spans="30:36" ht="13.2" customHeight="1" x14ac:dyDescent="0.25">
      <c r="AD217" s="434"/>
      <c r="AE217" s="435"/>
      <c r="AF217" s="435"/>
      <c r="AG217" s="435"/>
      <c r="AH217" s="435"/>
      <c r="AI217" s="444"/>
      <c r="AJ217" s="444"/>
    </row>
    <row r="218" spans="30:36" ht="13.2" customHeight="1" x14ac:dyDescent="0.25">
      <c r="AD218" s="434"/>
      <c r="AE218" s="435"/>
      <c r="AF218" s="435"/>
      <c r="AG218" s="435"/>
      <c r="AH218" s="435"/>
      <c r="AI218" s="444"/>
      <c r="AJ218" s="444"/>
    </row>
    <row r="219" spans="30:36" ht="13.2" customHeight="1" x14ac:dyDescent="0.25">
      <c r="AD219" s="434"/>
      <c r="AE219" s="435"/>
      <c r="AF219" s="435"/>
      <c r="AG219" s="435"/>
      <c r="AH219" s="435"/>
      <c r="AI219" s="444"/>
      <c r="AJ219" s="444"/>
    </row>
    <row r="220" spans="30:36" ht="13.2" customHeight="1" x14ac:dyDescent="0.25">
      <c r="AD220" s="434"/>
      <c r="AE220" s="435"/>
      <c r="AF220" s="435"/>
      <c r="AG220" s="435"/>
      <c r="AH220" s="435"/>
      <c r="AI220" s="444"/>
      <c r="AJ220" s="444"/>
    </row>
    <row r="221" spans="30:36" ht="13.2" customHeight="1" x14ac:dyDescent="0.25">
      <c r="AD221" s="434"/>
      <c r="AE221" s="435"/>
      <c r="AF221" s="435"/>
      <c r="AG221" s="435"/>
      <c r="AH221" s="435"/>
      <c r="AI221" s="444"/>
      <c r="AJ221" s="444"/>
    </row>
    <row r="222" spans="30:36" ht="13.2" customHeight="1" x14ac:dyDescent="0.25">
      <c r="AD222" s="434"/>
      <c r="AE222" s="435"/>
      <c r="AF222" s="435"/>
      <c r="AG222" s="435"/>
      <c r="AH222" s="435"/>
      <c r="AI222" s="444"/>
      <c r="AJ222" s="444"/>
    </row>
    <row r="223" spans="30:36" ht="13.2" customHeight="1" x14ac:dyDescent="0.25">
      <c r="AD223" s="434"/>
      <c r="AE223" s="435"/>
      <c r="AF223" s="435"/>
      <c r="AG223" s="435"/>
      <c r="AH223" s="435"/>
      <c r="AI223" s="444"/>
      <c r="AJ223" s="444"/>
    </row>
    <row r="224" spans="30:36" ht="13.2" customHeight="1" x14ac:dyDescent="0.25">
      <c r="AD224" s="434"/>
      <c r="AE224" s="435"/>
      <c r="AF224" s="435"/>
      <c r="AG224" s="435"/>
      <c r="AH224" s="435"/>
      <c r="AI224" s="444"/>
      <c r="AJ224" s="444"/>
    </row>
    <row r="225" spans="30:36" ht="13.2" customHeight="1" x14ac:dyDescent="0.25">
      <c r="AD225" s="434"/>
      <c r="AE225" s="435"/>
      <c r="AF225" s="435"/>
      <c r="AG225" s="435"/>
      <c r="AH225" s="435"/>
      <c r="AI225" s="444"/>
      <c r="AJ225" s="444"/>
    </row>
    <row r="226" spans="30:36" ht="13.2" customHeight="1" x14ac:dyDescent="0.25">
      <c r="AD226" s="434"/>
      <c r="AE226" s="435"/>
      <c r="AF226" s="435"/>
      <c r="AG226" s="435"/>
      <c r="AH226" s="435"/>
      <c r="AI226" s="444"/>
      <c r="AJ226" s="444"/>
    </row>
    <row r="227" spans="30:36" ht="13.2" customHeight="1" x14ac:dyDescent="0.25">
      <c r="AD227" s="434"/>
      <c r="AE227" s="435"/>
      <c r="AF227" s="435"/>
      <c r="AG227" s="435"/>
      <c r="AH227" s="435"/>
      <c r="AI227" s="444"/>
      <c r="AJ227" s="444"/>
    </row>
    <row r="228" spans="30:36" ht="13.2" customHeight="1" x14ac:dyDescent="0.25">
      <c r="AD228" s="434"/>
      <c r="AE228" s="435"/>
      <c r="AF228" s="435"/>
      <c r="AG228" s="435"/>
      <c r="AH228" s="435"/>
      <c r="AI228" s="444"/>
      <c r="AJ228" s="444"/>
    </row>
    <row r="229" spans="30:36" ht="13.2" customHeight="1" x14ac:dyDescent="0.25">
      <c r="AD229" s="434"/>
      <c r="AE229" s="435"/>
      <c r="AF229" s="435"/>
      <c r="AG229" s="435"/>
      <c r="AH229" s="435"/>
      <c r="AI229" s="444"/>
      <c r="AJ229" s="444"/>
    </row>
    <row r="230" spans="30:36" ht="13.2" customHeight="1" x14ac:dyDescent="0.25">
      <c r="AD230" s="434"/>
      <c r="AE230" s="435"/>
      <c r="AF230" s="435"/>
      <c r="AG230" s="435"/>
      <c r="AH230" s="435"/>
      <c r="AI230" s="444"/>
      <c r="AJ230" s="444"/>
    </row>
    <row r="231" spans="30:36" ht="13.2" customHeight="1" x14ac:dyDescent="0.25">
      <c r="AD231" s="434"/>
      <c r="AE231" s="435"/>
      <c r="AF231" s="435"/>
      <c r="AG231" s="435"/>
      <c r="AH231" s="435"/>
      <c r="AI231" s="444"/>
      <c r="AJ231" s="444"/>
    </row>
    <row r="232" spans="30:36" ht="13.2" customHeight="1" x14ac:dyDescent="0.25">
      <c r="AD232" s="434"/>
      <c r="AE232" s="435"/>
      <c r="AF232" s="435"/>
      <c r="AG232" s="435"/>
      <c r="AH232" s="435"/>
      <c r="AI232" s="444"/>
      <c r="AJ232" s="444"/>
    </row>
    <row r="233" spans="30:36" ht="13.2" customHeight="1" x14ac:dyDescent="0.25">
      <c r="AD233" s="434"/>
      <c r="AE233" s="435"/>
      <c r="AF233" s="435"/>
      <c r="AG233" s="435"/>
      <c r="AH233" s="435"/>
      <c r="AI233" s="444"/>
      <c r="AJ233" s="444"/>
    </row>
    <row r="234" spans="30:36" ht="13.2" customHeight="1" x14ac:dyDescent="0.25">
      <c r="AD234" s="434"/>
      <c r="AE234" s="435"/>
      <c r="AF234" s="435"/>
      <c r="AG234" s="435"/>
      <c r="AH234" s="435"/>
      <c r="AI234" s="444"/>
      <c r="AJ234" s="444"/>
    </row>
    <row r="235" spans="30:36" ht="13.2" customHeight="1" x14ac:dyDescent="0.25">
      <c r="AD235" s="434"/>
      <c r="AE235" s="435"/>
      <c r="AF235" s="435"/>
      <c r="AG235" s="435"/>
      <c r="AH235" s="435"/>
      <c r="AI235" s="444"/>
      <c r="AJ235" s="444"/>
    </row>
  </sheetData>
  <mergeCells count="3">
    <mergeCell ref="D3:G3"/>
    <mergeCell ref="K3:M3"/>
    <mergeCell ref="H3:J3"/>
  </mergeCells>
  <hyperlinks>
    <hyperlink ref="AD22" r:id="rId1" location=":~:text=Private%2Dsector%20forecasters%2C%20on%20average,forecast%20since%20the%202023%20Budget." xr:uid="{00000000-0004-0000-0200-000000000000}"/>
  </hyperlinks>
  <pageMargins left="0.7" right="0.7" top="0.75" bottom="0.75" header="0.3" footer="0.3"/>
  <pageSetup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0">
    <tabColor theme="4" tint="0.79998168889431442"/>
  </sheetPr>
  <dimension ref="A1:W204"/>
  <sheetViews>
    <sheetView topLeftCell="A130" workbookViewId="0">
      <selection activeCell="N162" sqref="N162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11" width="9.44140625" style="1" bestFit="1" customWidth="1"/>
    <col min="12" max="12" width="9.33203125" style="1"/>
    <col min="13" max="13" width="14.77734375" style="1" bestFit="1" customWidth="1"/>
    <col min="14" max="14" width="12.88671875" style="1" bestFit="1" customWidth="1"/>
    <col min="15" max="15" width="13.88671875" style="1" bestFit="1" customWidth="1"/>
    <col min="16" max="16" width="13.77734375" style="1" customWidth="1"/>
    <col min="17" max="17" width="13.88671875" style="1" bestFit="1" customWidth="1"/>
    <col min="18" max="18" width="12.44140625" style="1" customWidth="1"/>
    <col min="19" max="19" width="19.6640625" style="1" customWidth="1"/>
    <col min="20" max="20" width="9.33203125" style="1"/>
    <col min="21" max="21" width="13.77734375" style="1" bestFit="1" customWidth="1"/>
    <col min="22" max="22" width="12.44140625" style="1" bestFit="1" customWidth="1"/>
    <col min="23" max="16384" width="9.33203125" style="1"/>
  </cols>
  <sheetData>
    <row r="1" spans="1:20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G1&amp;"Norm"</f>
        <v>HDD18Norm</v>
      </c>
      <c r="F1" s="267" t="str">
        <f>H1&amp;"Norm"</f>
        <v>CDD12Norm</v>
      </c>
      <c r="G1" s="267" t="str">
        <f>'Monthly Data'!BB1</f>
        <v>HDD18</v>
      </c>
      <c r="H1" s="267" t="str">
        <f>'Monthly Data'!BI1</f>
        <v>CDD12</v>
      </c>
      <c r="I1" s="267" t="str">
        <f>'Monthly Data'!CG1</f>
        <v>COVID_AM</v>
      </c>
      <c r="J1" s="266" t="str">
        <f>'Monthly Data'!AL1</f>
        <v>OEA_GDP</v>
      </c>
      <c r="K1" s="267" t="str">
        <f>'Monthly Data'!CD1</f>
        <v>Month Days</v>
      </c>
      <c r="M1" s="265" t="s">
        <v>152</v>
      </c>
      <c r="N1" s="267" t="str">
        <f>E1</f>
        <v>HDD18Norm</v>
      </c>
      <c r="O1" s="267" t="str">
        <f>F1</f>
        <v>CDD12Norm</v>
      </c>
      <c r="P1" s="267" t="str">
        <f>I1</f>
        <v>COVID_AM</v>
      </c>
      <c r="Q1" s="267" t="str">
        <f>J1</f>
        <v>OEA_GDP</v>
      </c>
      <c r="R1" s="267" t="str">
        <f>K1</f>
        <v>Month Days</v>
      </c>
      <c r="S1" s="265" t="s">
        <v>420</v>
      </c>
      <c r="T1" s="265"/>
    </row>
    <row r="2" spans="1:20" x14ac:dyDescent="0.25">
      <c r="A2" s="3">
        <f>'Monthly Data'!A2</f>
        <v>42005</v>
      </c>
      <c r="B2" s="1">
        <f t="shared" ref="B2:B57" si="0">YEAR(A2)</f>
        <v>2015</v>
      </c>
      <c r="C2" s="1">
        <f t="shared" ref="C2:C57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Data'!BB2</f>
        <v>797.89184782608675</v>
      </c>
      <c r="H2" s="269">
        <f>'Monthly Data'!BI2</f>
        <v>0</v>
      </c>
      <c r="I2" s="24">
        <f>'Monthly Data'!CG2</f>
        <v>0</v>
      </c>
      <c r="J2" s="269">
        <f>'Monthly Data'!AL2</f>
        <v>718587</v>
      </c>
      <c r="K2" s="269">
        <f>'Monthly Data'!CD2</f>
        <v>31</v>
      </c>
      <c r="M2" s="18"/>
      <c r="N2" s="18">
        <f ca="1">(E2-G2)*'GS 50-999 Predicted Monthly'!$V$11</f>
        <v>-1815755.576271438</v>
      </c>
      <c r="O2" s="18">
        <f ca="1">(F2-H2)*'GS 50-999 Predicted Monthly'!$V$12</f>
        <v>0</v>
      </c>
      <c r="P2" s="18"/>
      <c r="Q2" s="18"/>
      <c r="R2" s="18"/>
      <c r="S2" s="18">
        <f t="shared" ref="S2:S33" ca="1" si="2">D2+N2+O2</f>
        <v>30888538.80480177</v>
      </c>
    </row>
    <row r="3" spans="1:20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Data'!BB3</f>
        <v>865.85434782608706</v>
      </c>
      <c r="H3" s="269">
        <f>'Monthly Data'!BI3</f>
        <v>0</v>
      </c>
      <c r="I3" s="24">
        <f>'Monthly Data'!CG3</f>
        <v>0</v>
      </c>
      <c r="J3" s="269">
        <f>'Monthly Data'!AL3</f>
        <v>718587</v>
      </c>
      <c r="K3" s="269">
        <f>'Monthly Data'!CD3</f>
        <v>28</v>
      </c>
      <c r="M3" s="18"/>
      <c r="N3" s="18">
        <f ca="1">(E3-G3)*'GS 50-999 Predicted Monthly'!$V$11</f>
        <v>-4362525.1111391084</v>
      </c>
      <c r="O3" s="18">
        <f ca="1">(F3-H3)*'GS 50-999 Predicted Monthly'!$V$12</f>
        <v>0</v>
      </c>
      <c r="P3" s="18"/>
      <c r="Q3" s="18"/>
      <c r="R3" s="18"/>
      <c r="S3" s="18">
        <f t="shared" ca="1" si="2"/>
        <v>29743338.379677225</v>
      </c>
    </row>
    <row r="4" spans="1:20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Data'!BB4</f>
        <v>637.79999999999995</v>
      </c>
      <c r="H4" s="269">
        <f>'Monthly Data'!BI4</f>
        <v>0</v>
      </c>
      <c r="I4" s="24">
        <f>'Monthly Data'!CG4</f>
        <v>0</v>
      </c>
      <c r="J4" s="269">
        <f>'Monthly Data'!AL4</f>
        <v>718587</v>
      </c>
      <c r="K4" s="269">
        <f>'Monthly Data'!CD4</f>
        <v>31</v>
      </c>
      <c r="M4" s="18"/>
      <c r="N4" s="18">
        <f ca="1">(E4-G4)*'GS 50-999 Predicted Monthly'!$V$11</f>
        <v>-1655218.3206025949</v>
      </c>
      <c r="O4" s="18">
        <f ca="1">(F4-H4)*'GS 50-999 Predicted Monthly'!$V$12</f>
        <v>841.1012724562529</v>
      </c>
      <c r="P4" s="18"/>
      <c r="Q4" s="18"/>
      <c r="R4" s="18"/>
      <c r="S4" s="18">
        <f t="shared" ca="1" si="2"/>
        <v>27828665.137972638</v>
      </c>
    </row>
    <row r="5" spans="1:20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Data'!BB5</f>
        <v>346.75037878787867</v>
      </c>
      <c r="H5" s="269">
        <f>'Monthly Data'!BI5</f>
        <v>1.5333333333333332</v>
      </c>
      <c r="I5" s="24">
        <f>'Monthly Data'!CG5</f>
        <v>0</v>
      </c>
      <c r="J5" s="269">
        <f>'Monthly Data'!AL5</f>
        <v>723726</v>
      </c>
      <c r="K5" s="269">
        <f>'Monthly Data'!CD5</f>
        <v>30</v>
      </c>
      <c r="M5" s="18"/>
      <c r="N5" s="18">
        <f ca="1">(E5-G5)*'GS 50-999 Predicted Monthly'!$V$11</f>
        <v>102267.14313647196</v>
      </c>
      <c r="O5" s="18">
        <f ca="1">(F5-H5)*'GS 50-999 Predicted Monthly'!$V$12</f>
        <v>116818.30489705963</v>
      </c>
      <c r="P5" s="18"/>
      <c r="Q5" s="18"/>
      <c r="R5" s="18"/>
      <c r="S5" s="18">
        <f t="shared" ca="1" si="2"/>
        <v>25203219.488266736</v>
      </c>
    </row>
    <row r="6" spans="1:20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Data'!BB6</f>
        <v>108.22189440993786</v>
      </c>
      <c r="H6" s="269">
        <f>'Monthly Data'!BI6</f>
        <v>105.49404761904762</v>
      </c>
      <c r="I6" s="24">
        <f>'Monthly Data'!CG6</f>
        <v>0</v>
      </c>
      <c r="J6" s="269">
        <f>'Monthly Data'!AL6</f>
        <v>723726</v>
      </c>
      <c r="K6" s="269">
        <f>'Monthly Data'!CD6</f>
        <v>31</v>
      </c>
      <c r="M6" s="18"/>
      <c r="N6" s="18">
        <f ca="1">(E6-G6)*'GS 50-999 Predicted Monthly'!$V$11</f>
        <v>756853.32116916019</v>
      </c>
      <c r="O6" s="18">
        <f ca="1">(F6-H6)*'GS 50-999 Predicted Monthly'!$V$12</f>
        <v>-548815.06735550344</v>
      </c>
      <c r="P6" s="18"/>
      <c r="Q6" s="18"/>
      <c r="R6" s="18"/>
      <c r="S6" s="18">
        <f t="shared" ca="1" si="2"/>
        <v>25375200.943664867</v>
      </c>
    </row>
    <row r="7" spans="1:20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Data'!BB7</f>
        <v>44.925000000000004</v>
      </c>
      <c r="H7" s="269">
        <f>'Monthly Data'!BI7</f>
        <v>150.2583333333333</v>
      </c>
      <c r="I7" s="24">
        <f>'Monthly Data'!CG7</f>
        <v>0</v>
      </c>
      <c r="J7" s="269">
        <f>'Monthly Data'!AL7</f>
        <v>723726</v>
      </c>
      <c r="K7" s="269">
        <f>'Monthly Data'!CD7</f>
        <v>30</v>
      </c>
      <c r="M7" s="18"/>
      <c r="N7" s="18">
        <f ca="1">(E7-G7)*'GS 50-999 Predicted Monthly'!$V$11</f>
        <v>-223978.65860687746</v>
      </c>
      <c r="O7" s="18">
        <f ca="1">(F7-H7)*'GS 50-999 Predicted Monthly'!$V$12</f>
        <v>1270451.985309124</v>
      </c>
      <c r="P7" s="18"/>
      <c r="Q7" s="18"/>
      <c r="R7" s="18"/>
      <c r="S7" s="18">
        <f t="shared" ca="1" si="2"/>
        <v>25355607.428050045</v>
      </c>
    </row>
    <row r="8" spans="1:20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Data'!BB8</f>
        <v>6.0874999999999986</v>
      </c>
      <c r="H8" s="269">
        <f>'Monthly Data'!BI8</f>
        <v>267.53749999999997</v>
      </c>
      <c r="I8" s="24">
        <f>'Monthly Data'!CG8</f>
        <v>0</v>
      </c>
      <c r="J8" s="269">
        <f>'Monthly Data'!AL8</f>
        <v>730341</v>
      </c>
      <c r="K8" s="269">
        <f>'Monthly Data'!CD8</f>
        <v>31</v>
      </c>
      <c r="M8" s="18"/>
      <c r="N8" s="18">
        <f ca="1">(E8-G8)*'GS 50-999 Predicted Monthly'!$V$11</f>
        <v>-80706.637520015953</v>
      </c>
      <c r="O8" s="18">
        <f ca="1">(F8-H8)*'GS 50-999 Predicted Monthly'!$V$12</f>
        <v>864601.27014086174</v>
      </c>
      <c r="P8" s="18"/>
      <c r="Q8" s="18"/>
      <c r="R8" s="18"/>
      <c r="S8" s="18">
        <f t="shared" ca="1" si="2"/>
        <v>28212054.000512086</v>
      </c>
    </row>
    <row r="9" spans="1:20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Data'!BB9</f>
        <v>9.4166666666666572</v>
      </c>
      <c r="H9" s="269">
        <f>'Monthly Data'!BI9</f>
        <v>229.94166666666666</v>
      </c>
      <c r="I9" s="24">
        <f>'Monthly Data'!CG9</f>
        <v>0</v>
      </c>
      <c r="J9" s="269">
        <f>'Monthly Data'!AL9</f>
        <v>730341</v>
      </c>
      <c r="K9" s="269">
        <f>'Monthly Data'!CD9</f>
        <v>31</v>
      </c>
      <c r="M9" s="18"/>
      <c r="N9" s="18">
        <f ca="1">(E9-G9)*'GS 50-999 Predicted Monthly'!$V$11</f>
        <v>-68014.170148311998</v>
      </c>
      <c r="O9" s="18">
        <f ca="1">(F9-H9)*'GS 50-999 Predicted Monthly'!$V$12</f>
        <v>1223238.5892838913</v>
      </c>
      <c r="P9" s="18"/>
      <c r="Q9" s="18"/>
      <c r="R9" s="18"/>
      <c r="S9" s="18">
        <f t="shared" ca="1" si="2"/>
        <v>27833122.587582294</v>
      </c>
    </row>
    <row r="10" spans="1:20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Data'!BB10</f>
        <v>42.631547619047623</v>
      </c>
      <c r="H10" s="269">
        <f>'Monthly Data'!BI10</f>
        <v>188.96011904761906</v>
      </c>
      <c r="I10" s="24">
        <f>'Monthly Data'!CG10</f>
        <v>0</v>
      </c>
      <c r="J10" s="269">
        <f>'Monthly Data'!AL10</f>
        <v>730341</v>
      </c>
      <c r="K10" s="269">
        <f>'Monthly Data'!CD10</f>
        <v>30</v>
      </c>
      <c r="M10" s="18"/>
      <c r="N10" s="18">
        <f ca="1">(E10-G10)*'GS 50-999 Predicted Monthly'!$V$11</f>
        <v>222603.03652032686</v>
      </c>
      <c r="O10" s="18">
        <f ca="1">(F10-H10)*'GS 50-999 Predicted Monthly'!$V$12</f>
        <v>-861192.26879432716</v>
      </c>
      <c r="P10" s="18"/>
      <c r="Q10" s="18"/>
      <c r="R10" s="18"/>
      <c r="S10" s="18">
        <f t="shared" ca="1" si="2"/>
        <v>24729832.950563464</v>
      </c>
    </row>
    <row r="11" spans="1:20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Data'!BB11</f>
        <v>276.98750000000001</v>
      </c>
      <c r="H11" s="269">
        <f>'Monthly Data'!BI11</f>
        <v>13.895833333333337</v>
      </c>
      <c r="I11" s="24">
        <f>'Monthly Data'!CG11</f>
        <v>0</v>
      </c>
      <c r="J11" s="269">
        <f>'Monthly Data'!AL11</f>
        <v>737784</v>
      </c>
      <c r="K11" s="269">
        <f>'Monthly Data'!CD11</f>
        <v>31</v>
      </c>
      <c r="M11" s="18"/>
      <c r="N11" s="18">
        <f ca="1">(E11-G11)*'GS 50-999 Predicted Monthly'!$V$11</f>
        <v>-705855.06171147013</v>
      </c>
      <c r="O11" s="18">
        <f ca="1">(F11-H11)*'GS 50-999 Predicted Monthly'!$V$12</f>
        <v>609360.10214937164</v>
      </c>
      <c r="P11" s="18"/>
      <c r="Q11" s="18"/>
      <c r="R11" s="18"/>
      <c r="S11" s="18">
        <f t="shared" ca="1" si="2"/>
        <v>25588120.755257268</v>
      </c>
    </row>
    <row r="12" spans="1:20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Data'!BB12</f>
        <v>371.77083333333326</v>
      </c>
      <c r="H12" s="269">
        <f>'Monthly Data'!BI12</f>
        <v>3.5374999999999979</v>
      </c>
      <c r="I12" s="24">
        <f>'Monthly Data'!CG12</f>
        <v>0</v>
      </c>
      <c r="J12" s="269">
        <f>'Monthly Data'!AL12</f>
        <v>737784</v>
      </c>
      <c r="K12" s="269">
        <f>'Monthly Data'!CD12</f>
        <v>30</v>
      </c>
      <c r="M12" s="18"/>
      <c r="N12" s="18">
        <f ca="1">(E12-G12)*'GS 50-999 Predicted Monthly'!$V$11</f>
        <v>990582.70067049586</v>
      </c>
      <c r="O12" s="18">
        <f ca="1">(F12-H12)*'GS 50-999 Predicted Monthly'!$V$12</f>
        <v>-35811.959811764616</v>
      </c>
      <c r="P12" s="18"/>
      <c r="Q12" s="18"/>
      <c r="R12" s="18"/>
      <c r="S12" s="18">
        <f t="shared" ca="1" si="2"/>
        <v>28052449.856563535</v>
      </c>
    </row>
    <row r="13" spans="1:20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Data'!BB13</f>
        <v>437.62590579710155</v>
      </c>
      <c r="H13" s="269">
        <f>'Monthly Data'!BI13</f>
        <v>0</v>
      </c>
      <c r="I13" s="24">
        <f>'Monthly Data'!CG13</f>
        <v>0</v>
      </c>
      <c r="J13" s="269">
        <f>'Monthly Data'!AL13</f>
        <v>737784</v>
      </c>
      <c r="K13" s="269">
        <f>'Monthly Data'!CD13</f>
        <v>31</v>
      </c>
      <c r="M13" s="18"/>
      <c r="N13" s="18">
        <f ca="1">(E13-G13)*'GS 50-999 Predicted Monthly'!$V$11</f>
        <v>2533415.3097708211</v>
      </c>
      <c r="O13" s="18">
        <f ca="1">(F13-H13)*'GS 50-999 Predicted Monthly'!$V$12</f>
        <v>0</v>
      </c>
      <c r="P13" s="18"/>
      <c r="Q13" s="18"/>
      <c r="R13" s="18"/>
      <c r="S13" s="18">
        <f t="shared" ca="1" si="2"/>
        <v>31489608.551264416</v>
      </c>
    </row>
    <row r="14" spans="1:20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25" ca="1" si="3">E2</f>
        <v>697.33418478260876</v>
      </c>
      <c r="F14" s="269">
        <f t="shared" ca="1" si="3"/>
        <v>0</v>
      </c>
      <c r="G14" s="269">
        <f>'Monthly Data'!BB14</f>
        <v>675.87916666666683</v>
      </c>
      <c r="H14" s="269">
        <f>'Monthly Data'!BI14</f>
        <v>0</v>
      </c>
      <c r="I14" s="24">
        <f>'Monthly Data'!CG14</f>
        <v>0</v>
      </c>
      <c r="J14" s="269">
        <f>'Monthly Data'!AL14</f>
        <v>743287</v>
      </c>
      <c r="K14" s="269">
        <f>'Monthly Data'!CD14</f>
        <v>31</v>
      </c>
      <c r="M14" s="18"/>
      <c r="N14" s="18">
        <f ca="1">(E14-G14)*'GS 50-999 Predicted Monthly'!$V$11</f>
        <v>387410.24407242297</v>
      </c>
      <c r="O14" s="18">
        <f ca="1">(F14-H14)*'GS 50-999 Predicted Monthly'!$V$12</f>
        <v>0</v>
      </c>
      <c r="P14" s="18"/>
      <c r="Q14" s="18"/>
      <c r="R14" s="18"/>
      <c r="S14" s="18">
        <f t="shared" ca="1" si="2"/>
        <v>32812090.636135459</v>
      </c>
    </row>
    <row r="15" spans="1:20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Data'!BB15</f>
        <v>603.70833333333337</v>
      </c>
      <c r="H15" s="269">
        <f>'Monthly Data'!BI15</f>
        <v>0</v>
      </c>
      <c r="I15" s="24">
        <f>'Monthly Data'!CG15</f>
        <v>0</v>
      </c>
      <c r="J15" s="269">
        <f>'Monthly Data'!AL15</f>
        <v>743287</v>
      </c>
      <c r="K15" s="269">
        <f>'Monthly Data'!CD15</f>
        <v>29</v>
      </c>
      <c r="M15" s="18"/>
      <c r="N15" s="18">
        <f ca="1">(E15-G15)*'GS 50-999 Predicted Monthly'!$V$11</f>
        <v>371008.5968463904</v>
      </c>
      <c r="O15" s="18">
        <f ca="1">(F15-H15)*'GS 50-999 Predicted Monthly'!$V$12</f>
        <v>0</v>
      </c>
      <c r="P15" s="18"/>
      <c r="Q15" s="18"/>
      <c r="R15" s="18"/>
      <c r="S15" s="18">
        <f t="shared" ca="1" si="2"/>
        <v>29253423.235615734</v>
      </c>
    </row>
    <row r="16" spans="1:20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Data'!BB16</f>
        <v>515.07934782608686</v>
      </c>
      <c r="H16" s="269">
        <f>'Monthly Data'!BI16</f>
        <v>0</v>
      </c>
      <c r="I16" s="24">
        <f>'Monthly Data'!CG16</f>
        <v>0</v>
      </c>
      <c r="J16" s="269">
        <f>'Monthly Data'!AL16</f>
        <v>743287</v>
      </c>
      <c r="K16" s="269">
        <f>'Monthly Data'!CD16</f>
        <v>31</v>
      </c>
      <c r="M16" s="18"/>
      <c r="N16" s="18">
        <f ca="1">(E16-G16)*'GS 50-999 Predicted Monthly'!$V$11</f>
        <v>560731.23276068526</v>
      </c>
      <c r="O16" s="18">
        <f ca="1">(F16-H16)*'GS 50-999 Predicted Monthly'!$V$12</f>
        <v>841.1012724562529</v>
      </c>
      <c r="P16" s="18"/>
      <c r="Q16" s="18"/>
      <c r="R16" s="18"/>
      <c r="S16" s="18">
        <f t="shared" ca="1" si="2"/>
        <v>31632611.644405127</v>
      </c>
    </row>
    <row r="17" spans="1:21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Data'!BB17</f>
        <v>405.98333333333341</v>
      </c>
      <c r="H17" s="269">
        <f>'Monthly Data'!BI17</f>
        <v>3.2208333333333368</v>
      </c>
      <c r="I17" s="24">
        <f>'Monthly Data'!CG17</f>
        <v>0</v>
      </c>
      <c r="J17" s="269">
        <f>'Monthly Data'!AL17</f>
        <v>740632</v>
      </c>
      <c r="K17" s="269">
        <f>'Monthly Data'!CD17</f>
        <v>30</v>
      </c>
      <c r="M17" s="18"/>
      <c r="N17" s="18">
        <f ca="1">(E17-G17)*'GS 50-999 Predicted Monthly'!$V$11</f>
        <v>-967293.98487462429</v>
      </c>
      <c r="O17" s="18">
        <f ca="1">(F17-H17)*'GS 50-999 Predicted Monthly'!$V$12</f>
        <v>68839.992876666933</v>
      </c>
      <c r="P17" s="18"/>
      <c r="Q17" s="18"/>
      <c r="R17" s="18"/>
      <c r="S17" s="18">
        <f t="shared" ca="1" si="2"/>
        <v>24795338.196507148</v>
      </c>
    </row>
    <row r="18" spans="1:21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Data'!BB18</f>
        <v>154.58611111111114</v>
      </c>
      <c r="H18" s="269">
        <f>'Monthly Data'!BI18</f>
        <v>98.295833333333348</v>
      </c>
      <c r="I18" s="24">
        <f>'Monthly Data'!CG18</f>
        <v>0</v>
      </c>
      <c r="J18" s="269">
        <f>'Monthly Data'!AL18</f>
        <v>740632</v>
      </c>
      <c r="K18" s="269">
        <f>'Monthly Data'!CD18</f>
        <v>31</v>
      </c>
      <c r="M18" s="18"/>
      <c r="N18" s="18">
        <f ca="1">(E18-G18)*'GS 50-999 Predicted Monthly'!$V$11</f>
        <v>-80338.817814949711</v>
      </c>
      <c r="O18" s="18">
        <f ca="1">(F18-H18)*'GS 50-999 Predicted Monthly'!$V$12</f>
        <v>-344158.37343571283</v>
      </c>
      <c r="P18" s="18"/>
      <c r="Q18" s="18"/>
      <c r="R18" s="18"/>
      <c r="S18" s="18">
        <f t="shared" ca="1" si="2"/>
        <v>25139128.322923273</v>
      </c>
    </row>
    <row r="19" spans="1:21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Data'!BB19</f>
        <v>30.204166666666669</v>
      </c>
      <c r="H19" s="269">
        <f>'Monthly Data'!BI19</f>
        <v>203.85416666666669</v>
      </c>
      <c r="I19" s="24">
        <f>'Monthly Data'!CG19</f>
        <v>0</v>
      </c>
      <c r="J19" s="269">
        <f>'Monthly Data'!AL19</f>
        <v>740632</v>
      </c>
      <c r="K19" s="269">
        <f>'Monthly Data'!CD19</f>
        <v>30</v>
      </c>
      <c r="M19" s="18"/>
      <c r="N19" s="18">
        <f ca="1">(E19-G19)*'GS 50-999 Predicted Monthly'!$V$11</f>
        <v>41833.358134258327</v>
      </c>
      <c r="O19" s="18">
        <f ca="1">(F19-H19)*'GS 50-999 Predicted Monthly'!$V$12</f>
        <v>-253362.89745213685</v>
      </c>
      <c r="P19" s="18"/>
      <c r="Q19" s="18"/>
      <c r="R19" s="18"/>
      <c r="S19" s="18">
        <f t="shared" ca="1" si="2"/>
        <v>24776936.834948234</v>
      </c>
      <c r="U19" s="279"/>
    </row>
    <row r="20" spans="1:21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Data'!BB20</f>
        <v>1.6583333333333314</v>
      </c>
      <c r="H20" s="269">
        <f>'Monthly Data'!BI20</f>
        <v>313.22916666666657</v>
      </c>
      <c r="I20" s="24">
        <f>'Monthly Data'!CG20</f>
        <v>0</v>
      </c>
      <c r="J20" s="269">
        <f>'Monthly Data'!AL20</f>
        <v>746606</v>
      </c>
      <c r="K20" s="269">
        <f>'Monthly Data'!CD20</f>
        <v>31</v>
      </c>
      <c r="M20" s="18"/>
      <c r="N20" s="18">
        <f ca="1">(E20-G20)*'GS 50-999 Predicted Monthly'!$V$11</f>
        <v>-729.79806464448939</v>
      </c>
      <c r="O20" s="18">
        <f ca="1">(F20-H20)*'GS 50-999 Predicted Monthly'!$V$12</f>
        <v>-434485.56841623591</v>
      </c>
      <c r="P20" s="18"/>
      <c r="Q20" s="18"/>
      <c r="R20" s="18"/>
      <c r="S20" s="18">
        <f t="shared" ca="1" si="2"/>
        <v>29742698.403401952</v>
      </c>
    </row>
    <row r="21" spans="1:21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Data'!BB21</f>
        <v>1.1291666666666664</v>
      </c>
      <c r="H21" s="269">
        <f>'Monthly Data'!BI21</f>
        <v>328.02499999999998</v>
      </c>
      <c r="I21" s="24">
        <f>'Monthly Data'!CG21</f>
        <v>0</v>
      </c>
      <c r="J21" s="269">
        <f>'Monthly Data'!AL21</f>
        <v>746606</v>
      </c>
      <c r="K21" s="269">
        <f>'Monthly Data'!CD21</f>
        <v>31</v>
      </c>
      <c r="M21" s="18"/>
      <c r="N21" s="18">
        <f ca="1">(E21-G21)*'GS 50-999 Predicted Monthly'!$V$11</f>
        <v>81632.051560750682</v>
      </c>
      <c r="O21" s="18">
        <f ca="1">(F21-H21)*'GS 50-999 Predicted Monthly'!$V$12</f>
        <v>-1565426.7562964584</v>
      </c>
      <c r="P21" s="18"/>
      <c r="Q21" s="18"/>
      <c r="R21" s="18"/>
      <c r="S21" s="18">
        <f t="shared" ca="1" si="2"/>
        <v>28620009.224779267</v>
      </c>
    </row>
    <row r="22" spans="1:21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Data'!BB22</f>
        <v>40.929166666666667</v>
      </c>
      <c r="H22" s="269">
        <f>'Monthly Data'!BI22</f>
        <v>176.5541666666667</v>
      </c>
      <c r="I22" s="24">
        <f>'Monthly Data'!CG22</f>
        <v>0</v>
      </c>
      <c r="J22" s="269">
        <f>'Monthly Data'!AL22</f>
        <v>746606</v>
      </c>
      <c r="K22" s="269">
        <f>'Monthly Data'!CD22</f>
        <v>30</v>
      </c>
      <c r="M22" s="18"/>
      <c r="N22" s="18">
        <f ca="1">(E22-G22)*'GS 50-999 Predicted Monthly'!$V$11</f>
        <v>253342.68990594207</v>
      </c>
      <c r="O22" s="18">
        <f ca="1">(F22-H22)*'GS 50-999 Predicted Monthly'!$V$12</f>
        <v>-508471.28850190365</v>
      </c>
      <c r="P22" s="18"/>
      <c r="Q22" s="18"/>
      <c r="R22" s="18"/>
      <c r="S22" s="18">
        <f t="shared" ca="1" si="2"/>
        <v>25084293.232875701</v>
      </c>
    </row>
    <row r="23" spans="1:21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Data'!BB23</f>
        <v>222.13333333333333</v>
      </c>
      <c r="H23" s="269">
        <f>'Monthly Data'!BI23</f>
        <v>52.383333333333333</v>
      </c>
      <c r="I23" s="24">
        <f>'Monthly Data'!CG23</f>
        <v>0</v>
      </c>
      <c r="J23" s="269">
        <f>'Monthly Data'!AL23</f>
        <v>745380</v>
      </c>
      <c r="K23" s="269">
        <f>'Monthly Data'!CD23</f>
        <v>31</v>
      </c>
      <c r="M23" s="18"/>
      <c r="N23" s="18">
        <f ca="1">(E23-G23)*'GS 50-999 Predicted Monthly'!$V$11</f>
        <v>284638.9095302659</v>
      </c>
      <c r="O23" s="18">
        <f ca="1">(F23-H23)*'GS 50-999 Predicted Monthly'!$V$12</f>
        <v>-484900.80681943434</v>
      </c>
      <c r="P23" s="18"/>
      <c r="Q23" s="18"/>
      <c r="R23" s="18"/>
      <c r="S23" s="18">
        <f t="shared" ca="1" si="2"/>
        <v>26231229.792036604</v>
      </c>
    </row>
    <row r="24" spans="1:21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Data'!BB24</f>
        <v>377.33511904761912</v>
      </c>
      <c r="H24" s="269">
        <f>'Monthly Data'!BI24</f>
        <v>1.3291666666666675</v>
      </c>
      <c r="I24" s="24">
        <f>'Monthly Data'!CG24</f>
        <v>0</v>
      </c>
      <c r="J24" s="269">
        <f>'Monthly Data'!AL24</f>
        <v>745380</v>
      </c>
      <c r="K24" s="269">
        <f>'Monthly Data'!CD24</f>
        <v>30</v>
      </c>
      <c r="M24" s="18"/>
      <c r="N24" s="18">
        <f ca="1">(E24-G24)*'GS 50-999 Predicted Monthly'!$V$11</f>
        <v>890109.17624786019</v>
      </c>
      <c r="O24" s="18">
        <f ca="1">(F24-H24)*'GS 50-999 Predicted Monthly'!$V$12</f>
        <v>26974.473202576235</v>
      </c>
      <c r="P24" s="18"/>
      <c r="Q24" s="18"/>
      <c r="R24" s="18"/>
      <c r="S24" s="18">
        <f t="shared" ca="1" si="2"/>
        <v>27402052.036203604</v>
      </c>
    </row>
    <row r="25" spans="1:21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Data'!BB25</f>
        <v>616.67083333333335</v>
      </c>
      <c r="H25" s="269">
        <f>'Monthly Data'!BI25</f>
        <v>0</v>
      </c>
      <c r="I25" s="24">
        <f>'Monthly Data'!CG25</f>
        <v>0</v>
      </c>
      <c r="J25" s="269">
        <f>'Monthly Data'!AL25</f>
        <v>745380</v>
      </c>
      <c r="K25" s="269">
        <f>'Monthly Data'!CD25</f>
        <v>31</v>
      </c>
      <c r="M25" s="18"/>
      <c r="N25" s="18">
        <f ca="1">(E25-G25)*'GS 50-999 Predicted Monthly'!$V$11</f>
        <v>-699573.76075346651</v>
      </c>
      <c r="O25" s="18">
        <f ca="1">(F25-H25)*'GS 50-999 Predicted Monthly'!$V$12</f>
        <v>0</v>
      </c>
      <c r="P25" s="18"/>
      <c r="Q25" s="18"/>
      <c r="R25" s="18"/>
      <c r="S25" s="18">
        <f t="shared" ca="1" si="2"/>
        <v>30521668.730587035</v>
      </c>
    </row>
    <row r="26" spans="1:21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ref="E26:F33" ca="1" si="4">E14</f>
        <v>697.33418478260876</v>
      </c>
      <c r="F26" s="269">
        <f t="shared" ca="1" si="4"/>
        <v>0</v>
      </c>
      <c r="G26" s="269">
        <f>'Monthly Data'!BB26</f>
        <v>620.2166666666667</v>
      </c>
      <c r="H26" s="269">
        <f>'Monthly Data'!BI26</f>
        <v>0</v>
      </c>
      <c r="I26" s="24">
        <f>'Monthly Data'!CG26</f>
        <v>0</v>
      </c>
      <c r="J26" s="269">
        <f>'Monthly Data'!AL26</f>
        <v>756702</v>
      </c>
      <c r="K26" s="269">
        <f>'Monthly Data'!CD26</f>
        <v>31</v>
      </c>
      <c r="M26" s="18"/>
      <c r="N26" s="18">
        <f ca="1">(E26-G26)*'GS 50-999 Predicted Monthly'!$V$11</f>
        <v>1392500.1766070512</v>
      </c>
      <c r="O26" s="18">
        <f ca="1">(F26-H26)*'GS 50-999 Predicted Monthly'!$V$12</f>
        <v>0</v>
      </c>
      <c r="P26" s="18"/>
      <c r="Q26" s="18"/>
      <c r="R26" s="18"/>
      <c r="S26" s="18">
        <f t="shared" ca="1" si="2"/>
        <v>36199236.586689524</v>
      </c>
    </row>
    <row r="27" spans="1:21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4"/>
        <v>624.25501811594188</v>
      </c>
      <c r="F27" s="269">
        <f t="shared" ca="1" si="4"/>
        <v>0</v>
      </c>
      <c r="G27" s="269">
        <f>'Monthly Data'!BB27</f>
        <v>530.08333333333337</v>
      </c>
      <c r="H27" s="269">
        <f>'Monthly Data'!BI27</f>
        <v>0</v>
      </c>
      <c r="I27" s="24">
        <f>'Monthly Data'!CG27</f>
        <v>0</v>
      </c>
      <c r="J27" s="269">
        <f>'Monthly Data'!AL27</f>
        <v>756702</v>
      </c>
      <c r="K27" s="269">
        <f>'Monthly Data'!CD27</f>
        <v>28</v>
      </c>
      <c r="M27" s="18"/>
      <c r="N27" s="18">
        <f ca="1">(E27-G27)*'GS 50-999 Predicted Monthly'!$V$11</f>
        <v>1700444.8651214736</v>
      </c>
      <c r="O27" s="18">
        <f ca="1">(F27-H27)*'GS 50-999 Predicted Monthly'!$V$12</f>
        <v>0</v>
      </c>
      <c r="P27" s="18"/>
      <c r="Q27" s="18"/>
      <c r="R27" s="18"/>
      <c r="S27" s="18">
        <f t="shared" ca="1" si="2"/>
        <v>30538614.906214576</v>
      </c>
    </row>
    <row r="28" spans="1:21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4"/>
        <v>546.13298913043491</v>
      </c>
      <c r="F28" s="269">
        <f t="shared" ca="1" si="4"/>
        <v>2.9583333333332896E-2</v>
      </c>
      <c r="G28" s="269">
        <f>'Monthly Data'!BB28</f>
        <v>599.67916666666667</v>
      </c>
      <c r="H28" s="269">
        <f>'Monthly Data'!BI28</f>
        <v>0</v>
      </c>
      <c r="I28" s="24">
        <f>'Monthly Data'!CG28</f>
        <v>0</v>
      </c>
      <c r="J28" s="269">
        <f>'Monthly Data'!AL28</f>
        <v>756702</v>
      </c>
      <c r="K28" s="269">
        <f>'Monthly Data'!CD28</f>
        <v>31</v>
      </c>
      <c r="M28" s="18"/>
      <c r="N28" s="18">
        <f ca="1">(E28-G28)*'GS 50-999 Predicted Monthly'!$V$11</f>
        <v>-966875.79550645908</v>
      </c>
      <c r="O28" s="18">
        <f ca="1">(F28-H28)*'GS 50-999 Predicted Monthly'!$V$12</f>
        <v>841.1012724562529</v>
      </c>
      <c r="P28" s="18"/>
      <c r="Q28" s="18"/>
      <c r="R28" s="18"/>
      <c r="S28" s="18">
        <f t="shared" ca="1" si="2"/>
        <v>29980982.887835275</v>
      </c>
    </row>
    <row r="29" spans="1:21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4"/>
        <v>352.41399621212122</v>
      </c>
      <c r="F29" s="269">
        <f t="shared" ca="1" si="4"/>
        <v>5.6420833333333338</v>
      </c>
      <c r="G29" s="269">
        <f>'Monthly Data'!BB29</f>
        <v>288.73333333333335</v>
      </c>
      <c r="H29" s="269">
        <f>'Monthly Data'!BI29</f>
        <v>12.412500000000001</v>
      </c>
      <c r="I29" s="24">
        <f>'Monthly Data'!CG29</f>
        <v>0</v>
      </c>
      <c r="J29" s="269">
        <f>'Monthly Data'!AL29</f>
        <v>764644</v>
      </c>
      <c r="K29" s="269">
        <f>'Monthly Data'!CD29</f>
        <v>30</v>
      </c>
      <c r="M29" s="18"/>
      <c r="N29" s="18">
        <f ca="1">(E29-G29)*'GS 50-999 Predicted Monthly'!$V$11</f>
        <v>1149872.7717332342</v>
      </c>
      <c r="O29" s="18">
        <f ca="1">(F29-H29)*'GS 50-999 Predicted Monthly'!$V$12</f>
        <v>-192493.7264245332</v>
      </c>
      <c r="P29" s="18"/>
      <c r="Q29" s="18"/>
      <c r="R29" s="18"/>
      <c r="S29" s="18">
        <f t="shared" ca="1" si="2"/>
        <v>26759393.60173345</v>
      </c>
    </row>
    <row r="30" spans="1:21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4"/>
        <v>150.136897859768</v>
      </c>
      <c r="F30" s="269">
        <f t="shared" ca="1" si="4"/>
        <v>86.191046176046171</v>
      </c>
      <c r="G30" s="269">
        <f>'Monthly Data'!BB30</f>
        <v>188.63749999999999</v>
      </c>
      <c r="H30" s="269">
        <f>'Monthly Data'!BI30</f>
        <v>54.529166666666683</v>
      </c>
      <c r="I30" s="24">
        <f>'Monthly Data'!CG30</f>
        <v>0</v>
      </c>
      <c r="J30" s="269">
        <f>'Monthly Data'!AL30</f>
        <v>764644</v>
      </c>
      <c r="K30" s="269">
        <f>'Monthly Data'!CD30</f>
        <v>31</v>
      </c>
      <c r="M30" s="18"/>
      <c r="N30" s="18">
        <f ca="1">(E30-G30)*'GS 50-999 Predicted Monthly'!$V$11</f>
        <v>-695199.95702076331</v>
      </c>
      <c r="O30" s="18">
        <f ca="1">(F30-H30)*'GS 50-999 Predicted Monthly'!$V$12</f>
        <v>900197.64992775361</v>
      </c>
      <c r="P30" s="18"/>
      <c r="Q30" s="18"/>
      <c r="R30" s="18"/>
      <c r="S30" s="18">
        <f t="shared" ca="1" si="2"/>
        <v>27852141.648529969</v>
      </c>
    </row>
    <row r="31" spans="1:21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4"/>
        <v>32.520923826173821</v>
      </c>
      <c r="F31" s="269">
        <f t="shared" ca="1" si="4"/>
        <v>194.94285087738348</v>
      </c>
      <c r="G31" s="269">
        <f>'Monthly Data'!BB31</f>
        <v>47.73249999999998</v>
      </c>
      <c r="H31" s="269">
        <f>'Monthly Data'!BI31</f>
        <v>168.62166666666667</v>
      </c>
      <c r="I31" s="24">
        <f>'Monthly Data'!CG31</f>
        <v>0</v>
      </c>
      <c r="J31" s="269">
        <f>'Monthly Data'!AL31</f>
        <v>764644</v>
      </c>
      <c r="K31" s="269">
        <f>'Monthly Data'!CD31</f>
        <v>30</v>
      </c>
      <c r="M31" s="18"/>
      <c r="N31" s="18">
        <f ca="1">(E31-G31)*'GS 50-999 Predicted Monthly'!$V$11</f>
        <v>-274673.29117981147</v>
      </c>
      <c r="O31" s="18">
        <f ca="1">(F31-H31)*'GS 50-999 Predicted Monthly'!$V$12</f>
        <v>748353.1785528902</v>
      </c>
      <c r="P31" s="18"/>
      <c r="Q31" s="18"/>
      <c r="R31" s="18"/>
      <c r="S31" s="18">
        <f t="shared" ca="1" si="2"/>
        <v>24984002.859695442</v>
      </c>
    </row>
    <row r="32" spans="1:21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4"/>
        <v>1.6179166666666653</v>
      </c>
      <c r="F32" s="269">
        <f t="shared" ca="1" si="4"/>
        <v>297.94737858727848</v>
      </c>
      <c r="G32" s="269">
        <f>'Monthly Data'!BB32</f>
        <v>1.8041666666666707</v>
      </c>
      <c r="H32" s="269">
        <f>'Monthly Data'!BI32</f>
        <v>260.16666666666657</v>
      </c>
      <c r="I32" s="24">
        <f>'Monthly Data'!CG32</f>
        <v>0</v>
      </c>
      <c r="J32" s="269">
        <f>'Monthly Data'!AL32</f>
        <v>765060</v>
      </c>
      <c r="K32" s="269">
        <f>'Monthly Data'!CD32</f>
        <v>31</v>
      </c>
      <c r="M32" s="18"/>
      <c r="N32" s="18">
        <f ca="1">(E32-G32)*'GS 50-999 Predicted Monthly'!$V$11</f>
        <v>-3363.0900504752649</v>
      </c>
      <c r="O32" s="18">
        <f ca="1">(F32-H32)*'GS 50-999 Predicted Monthly'!$V$12</f>
        <v>1074165.7984472204</v>
      </c>
      <c r="P32" s="18"/>
      <c r="Q32" s="18"/>
      <c r="R32" s="18"/>
      <c r="S32" s="18">
        <f t="shared" ca="1" si="2"/>
        <v>32540350.150899861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4"/>
        <v>5.6499999999999977</v>
      </c>
      <c r="F33" s="269">
        <f t="shared" ca="1" si="4"/>
        <v>272.96558794466404</v>
      </c>
      <c r="G33" s="269">
        <f>'Monthly Data'!BB33</f>
        <v>17.950000000000006</v>
      </c>
      <c r="H33" s="269">
        <f>'Monthly Data'!BI33</f>
        <v>217.42409420289852</v>
      </c>
      <c r="I33" s="24">
        <f>'Monthly Data'!CG33</f>
        <v>0</v>
      </c>
      <c r="J33" s="269">
        <f>'Monthly Data'!AL33</f>
        <v>765060</v>
      </c>
      <c r="K33" s="269">
        <f>'Monthly Data'!CD33</f>
        <v>31</v>
      </c>
      <c r="M33" s="18"/>
      <c r="N33" s="18">
        <f ca="1">(E33-G33)*'GS 50-999 Predicted Monthly'!$V$11</f>
        <v>-222099.36977634681</v>
      </c>
      <c r="O33" s="18">
        <f ca="1">(F33-H33)*'GS 50-999 Predicted Monthly'!$V$12</f>
        <v>1579133.1062643609</v>
      </c>
      <c r="P33" s="18"/>
      <c r="Q33" s="18"/>
      <c r="R33" s="18"/>
      <c r="S33" s="18">
        <f t="shared" ca="1" si="2"/>
        <v>28398179.548472889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49" ca="1" si="5">E22</f>
        <v>54.959440993788824</v>
      </c>
      <c r="F34" s="269">
        <f t="shared" ca="1" si="5"/>
        <v>158.67014233954447</v>
      </c>
      <c r="G34" s="269">
        <f>'Monthly Data'!BB34</f>
        <v>65.699999999999989</v>
      </c>
      <c r="H34" s="269">
        <f>'Monthly Data'!BI34</f>
        <v>161.3125</v>
      </c>
      <c r="I34" s="24">
        <f>'Monthly Data'!CG34</f>
        <v>0</v>
      </c>
      <c r="J34" s="269">
        <f>'Monthly Data'!AL34</f>
        <v>765060</v>
      </c>
      <c r="K34" s="269">
        <f>'Monthly Data'!CD34</f>
        <v>30</v>
      </c>
      <c r="M34" s="18"/>
      <c r="N34" s="18">
        <f ca="1">(E34-G34)*'GS 50-999 Predicted Monthly'!$V$11</f>
        <v>-193940.76311586698</v>
      </c>
      <c r="O34" s="18">
        <f ca="1">(F34-H34)*'GS 50-999 Predicted Monthly'!$V$12</f>
        <v>-75126.435734998551</v>
      </c>
      <c r="P34" s="18"/>
      <c r="Q34" s="18"/>
      <c r="R34" s="18"/>
      <c r="S34" s="18">
        <f t="shared" ref="S34:S65" ca="1" si="6">D34+N34+O34</f>
        <v>27432559.857374974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5"/>
        <v>237.89681159420289</v>
      </c>
      <c r="F35" s="269">
        <f t="shared" ca="1" si="5"/>
        <v>35.32833333333334</v>
      </c>
      <c r="G35" s="269">
        <f>'Monthly Data'!BB35</f>
        <v>179.70833333333334</v>
      </c>
      <c r="H35" s="269">
        <f>'Monthly Data'!BI35</f>
        <v>59.400000000000006</v>
      </c>
      <c r="I35" s="24">
        <f>'Monthly Data'!CG35</f>
        <v>0</v>
      </c>
      <c r="J35" s="269">
        <f>'Monthly Data'!AL35</f>
        <v>771453</v>
      </c>
      <c r="K35" s="269">
        <f>'Monthly Data'!CD35</f>
        <v>31</v>
      </c>
      <c r="M35" s="18"/>
      <c r="N35" s="18">
        <f ca="1">(E35-G35)*'GS 50-999 Predicted Monthly'!$V$11</f>
        <v>1050701.1666653475</v>
      </c>
      <c r="O35" s="18">
        <f ca="1">(F35-H35)*'GS 50-999 Predicted Monthly'!$V$12</f>
        <v>-684395.81284990651</v>
      </c>
      <c r="P35" s="18"/>
      <c r="Q35" s="18"/>
      <c r="R35" s="18"/>
      <c r="S35" s="18">
        <f t="shared" ca="1" si="6"/>
        <v>28909432.089412965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5"/>
        <v>426.62991389045737</v>
      </c>
      <c r="F36" s="269">
        <f t="shared" ca="1" si="5"/>
        <v>2.2779166666666657</v>
      </c>
      <c r="G36" s="269">
        <f>'Monthly Data'!BB36</f>
        <v>442.61174242424244</v>
      </c>
      <c r="H36" s="269">
        <f>'Monthly Data'!BI36</f>
        <v>0</v>
      </c>
      <c r="I36" s="24">
        <f>'Monthly Data'!CG36</f>
        <v>0</v>
      </c>
      <c r="J36" s="269">
        <f>'Monthly Data'!AL36</f>
        <v>771453</v>
      </c>
      <c r="K36" s="269">
        <f>'Monthly Data'!CD36</f>
        <v>30</v>
      </c>
      <c r="M36" s="18"/>
      <c r="N36" s="18">
        <f ca="1">(E36-G36)*'GS 50-999 Predicted Monthly'!$V$11</f>
        <v>-288581.62969327619</v>
      </c>
      <c r="O36" s="18">
        <f ca="1">(F36-H36)*'GS 50-999 Predicted Monthly'!$V$12</f>
        <v>64764.797979132403</v>
      </c>
      <c r="P36" s="18"/>
      <c r="Q36" s="18"/>
      <c r="R36" s="18"/>
      <c r="S36" s="18">
        <f t="shared" ca="1" si="6"/>
        <v>28734828.035732578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5"/>
        <v>577.92800724637686</v>
      </c>
      <c r="F37" s="269">
        <f t="shared" ca="1" si="5"/>
        <v>0</v>
      </c>
      <c r="G37" s="269">
        <f>'Monthly Data'!BB37</f>
        <v>736.31250000000011</v>
      </c>
      <c r="H37" s="269">
        <f>'Monthly Data'!BI37</f>
        <v>0</v>
      </c>
      <c r="I37" s="24">
        <f>'Monthly Data'!CG37</f>
        <v>0</v>
      </c>
      <c r="J37" s="269">
        <f>'Monthly Data'!AL37</f>
        <v>771453</v>
      </c>
      <c r="K37" s="269">
        <f>'Monthly Data'!CD37</f>
        <v>31</v>
      </c>
      <c r="M37" s="18"/>
      <c r="N37" s="18">
        <f ca="1">(E37-G37)*'GS 50-999 Predicted Monthly'!$V$11</f>
        <v>-2859926.5059289485</v>
      </c>
      <c r="O37" s="18">
        <f ca="1">(F37-H37)*'GS 50-999 Predicted Monthly'!$V$12</f>
        <v>0</v>
      </c>
      <c r="P37" s="18"/>
      <c r="Q37" s="18"/>
      <c r="R37" s="18"/>
      <c r="S37" s="18">
        <f t="shared" ca="1" si="6"/>
        <v>29743767.473365616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5"/>
        <v>697.33418478260876</v>
      </c>
      <c r="F38" s="269">
        <f t="shared" ca="1" si="5"/>
        <v>0</v>
      </c>
      <c r="G38" s="269">
        <f>'Monthly Data'!BB38</f>
        <v>750.53750000000002</v>
      </c>
      <c r="H38" s="269">
        <f>'Monthly Data'!BI38</f>
        <v>0</v>
      </c>
      <c r="I38" s="24">
        <f>'Monthly Data'!CG38</f>
        <v>0</v>
      </c>
      <c r="J38" s="269">
        <f>'Monthly Data'!AL38</f>
        <v>779459</v>
      </c>
      <c r="K38" s="269">
        <f>'Monthly Data'!CD38</f>
        <v>31</v>
      </c>
      <c r="M38" s="18"/>
      <c r="N38" s="18">
        <f ca="1">(E38-G38)*'GS 50-999 Predicted Monthly'!$V$11</f>
        <v>-960684.77884511498</v>
      </c>
      <c r="O38" s="18">
        <f ca="1">(F38-H38)*'GS 50-999 Predicted Monthly'!$V$12</f>
        <v>0</v>
      </c>
      <c r="P38" s="18"/>
      <c r="Q38" s="18"/>
      <c r="R38" s="18"/>
      <c r="S38" s="18">
        <f t="shared" ca="1" si="6"/>
        <v>32912018.311264321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5"/>
        <v>624.25501811594188</v>
      </c>
      <c r="F39" s="269">
        <f t="shared" ca="1" si="5"/>
        <v>0</v>
      </c>
      <c r="G39" s="269">
        <f>'Monthly Data'!BB39</f>
        <v>576.49583333333317</v>
      </c>
      <c r="H39" s="269">
        <f>'Monthly Data'!BI39</f>
        <v>0</v>
      </c>
      <c r="I39" s="24">
        <f>'Monthly Data'!CG39</f>
        <v>0</v>
      </c>
      <c r="J39" s="269">
        <f>'Monthly Data'!AL39</f>
        <v>779459</v>
      </c>
      <c r="K39" s="269">
        <f>'Monthly Data'!CD39</f>
        <v>28</v>
      </c>
      <c r="M39" s="18"/>
      <c r="N39" s="18">
        <f ca="1">(E39-G39)*'GS 50-999 Predicted Monthly'!$V$11</f>
        <v>862380.88140239683</v>
      </c>
      <c r="O39" s="18">
        <f ca="1">(F39-H39)*'GS 50-999 Predicted Monthly'!$V$12</f>
        <v>0</v>
      </c>
      <c r="P39" s="18"/>
      <c r="Q39" s="18"/>
      <c r="R39" s="18"/>
      <c r="S39" s="18">
        <f t="shared" ca="1" si="6"/>
        <v>27902120.051591072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5"/>
        <v>546.13298913043491</v>
      </c>
      <c r="F40" s="269">
        <f t="shared" ca="1" si="5"/>
        <v>2.9583333333332896E-2</v>
      </c>
      <c r="G40" s="269">
        <f>'Monthly Data'!BB40</f>
        <v>567.2791666666667</v>
      </c>
      <c r="H40" s="269">
        <f>'Monthly Data'!BI40</f>
        <v>0</v>
      </c>
      <c r="I40" s="24">
        <f>'Monthly Data'!CG40</f>
        <v>0</v>
      </c>
      <c r="J40" s="269">
        <f>'Monthly Data'!AL40</f>
        <v>779459</v>
      </c>
      <c r="K40" s="269">
        <f>'Monthly Data'!CD40</f>
        <v>31</v>
      </c>
      <c r="M40" s="18"/>
      <c r="N40" s="18">
        <f ca="1">(E40-G40)*'GS 50-999 Predicted Monthly'!$V$11</f>
        <v>-381833.55316876579</v>
      </c>
      <c r="O40" s="18">
        <f ca="1">(F40-H40)*'GS 50-999 Predicted Monthly'!$V$12</f>
        <v>841.1012724562529</v>
      </c>
      <c r="P40" s="18"/>
      <c r="Q40" s="18"/>
      <c r="R40" s="18"/>
      <c r="S40" s="18">
        <f t="shared" ca="1" si="6"/>
        <v>28608344.860490881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5"/>
        <v>352.41399621212122</v>
      </c>
      <c r="F41" s="269">
        <f t="shared" ca="1" si="5"/>
        <v>5.6420833333333338</v>
      </c>
      <c r="G41" s="269">
        <f>'Monthly Data'!BB41</f>
        <v>452.51666666666677</v>
      </c>
      <c r="H41" s="269">
        <f>'Monthly Data'!BI41</f>
        <v>0</v>
      </c>
      <c r="I41" s="24">
        <f>'Monthly Data'!CG41</f>
        <v>0</v>
      </c>
      <c r="J41" s="269">
        <f>'Monthly Data'!AL41</f>
        <v>784896</v>
      </c>
      <c r="K41" s="269">
        <f>'Monthly Data'!CD41</f>
        <v>30</v>
      </c>
      <c r="M41" s="18"/>
      <c r="N41" s="18">
        <f ca="1">(E41-G41)*'GS 50-999 Predicted Monthly'!$V$11</f>
        <v>-1807539.8390962507</v>
      </c>
      <c r="O41" s="18">
        <f ca="1">(F41-H41)*'GS 50-999 Predicted Monthly'!$V$12</f>
        <v>160413.41310324351</v>
      </c>
      <c r="P41" s="18"/>
      <c r="Q41" s="18"/>
      <c r="R41" s="18"/>
      <c r="S41" s="18">
        <f t="shared" ca="1" si="6"/>
        <v>25645508.933776613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5"/>
        <v>150.136897859768</v>
      </c>
      <c r="F42" s="269">
        <f t="shared" ca="1" si="5"/>
        <v>86.191046176046171</v>
      </c>
      <c r="G42" s="269">
        <f>'Monthly Data'!BB42</f>
        <v>95.407196969696969</v>
      </c>
      <c r="H42" s="269">
        <f>'Monthly Data'!BI42</f>
        <v>127.46720779220779</v>
      </c>
      <c r="I42" s="24">
        <f>'Monthly Data'!CG42</f>
        <v>0</v>
      </c>
      <c r="J42" s="269">
        <f>'Monthly Data'!AL42</f>
        <v>784896</v>
      </c>
      <c r="K42" s="269">
        <f>'Monthly Data'!CD42</f>
        <v>31</v>
      </c>
      <c r="M42" s="18"/>
      <c r="N42" s="18">
        <f ca="1">(E42-G42)*'GS 50-999 Predicted Monthly'!$V$11</f>
        <v>988246.51022217353</v>
      </c>
      <c r="O42" s="18">
        <f ca="1">(F42-H42)*'GS 50-999 Predicted Monthly'!$V$12</f>
        <v>-1173546.9991255435</v>
      </c>
      <c r="P42" s="18"/>
      <c r="Q42" s="18"/>
      <c r="R42" s="18"/>
      <c r="S42" s="18">
        <f t="shared" ca="1" si="6"/>
        <v>22923573.560260385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5"/>
        <v>32.520923826173821</v>
      </c>
      <c r="F43" s="269">
        <f t="shared" ca="1" si="5"/>
        <v>194.94285087738348</v>
      </c>
      <c r="G43" s="269">
        <f>'Monthly Data'!BB43</f>
        <v>23.060227272727261</v>
      </c>
      <c r="H43" s="269">
        <f>'Monthly Data'!BI43</f>
        <v>198.19393939393944</v>
      </c>
      <c r="I43" s="24">
        <f>'Monthly Data'!CG43</f>
        <v>0</v>
      </c>
      <c r="J43" s="269">
        <f>'Monthly Data'!AL43</f>
        <v>784896</v>
      </c>
      <c r="K43" s="269">
        <f>'Monthly Data'!CD43</f>
        <v>30</v>
      </c>
      <c r="M43" s="18"/>
      <c r="N43" s="18">
        <f ca="1">(E43-G43)*'GS 50-999 Predicted Monthly'!$V$11</f>
        <v>170830.46684274275</v>
      </c>
      <c r="O43" s="18">
        <f ca="1">(F43-H43)*'GS 50-999 Predicted Monthly'!$V$12</f>
        <v>-92433.623261177781</v>
      </c>
      <c r="P43" s="18"/>
      <c r="Q43" s="18"/>
      <c r="R43" s="18"/>
      <c r="S43" s="18">
        <f t="shared" ca="1" si="6"/>
        <v>27077215.73490594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5"/>
        <v>1.6179166666666653</v>
      </c>
      <c r="F44" s="269">
        <f t="shared" ca="1" si="5"/>
        <v>297.94737858727848</v>
      </c>
      <c r="G44" s="269">
        <f>'Monthly Data'!BB44</f>
        <v>0.19999999999999574</v>
      </c>
      <c r="H44" s="269">
        <f>'Monthly Data'!BI44</f>
        <v>318.39861424807077</v>
      </c>
      <c r="I44" s="24">
        <f>'Monthly Data'!CG44</f>
        <v>0</v>
      </c>
      <c r="J44" s="269">
        <f>'Monthly Data'!AL44</f>
        <v>794140</v>
      </c>
      <c r="K44" s="269">
        <f>'Monthly Data'!CD44</f>
        <v>31</v>
      </c>
      <c r="M44" s="18"/>
      <c r="N44" s="18">
        <f ca="1">(E44-G44)*'GS 50-999 Predicted Monthly'!$V$11</f>
        <v>25603.121793662238</v>
      </c>
      <c r="O44" s="18">
        <f ca="1">(F44-H44)*'GS 50-999 Predicted Monthly'!$V$12</f>
        <v>-581461.19451026525</v>
      </c>
      <c r="P44" s="18"/>
      <c r="Q44" s="18"/>
      <c r="R44" s="18"/>
      <c r="S44" s="18">
        <f t="shared" ca="1" si="6"/>
        <v>28785774.039796066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5"/>
        <v>5.6499999999999977</v>
      </c>
      <c r="F45" s="269">
        <f t="shared" ca="1" si="5"/>
        <v>272.96558794466404</v>
      </c>
      <c r="G45" s="269">
        <f>'Monthly Data'!BB45</f>
        <v>0.90833333333333144</v>
      </c>
      <c r="H45" s="269">
        <f>'Monthly Data'!BI45</f>
        <v>314.24583333333334</v>
      </c>
      <c r="I45" s="24">
        <f>'Monthly Data'!CG45</f>
        <v>0</v>
      </c>
      <c r="J45" s="269">
        <f>'Monthly Data'!AL45</f>
        <v>794140</v>
      </c>
      <c r="K45" s="269">
        <f>'Monthly Data'!CD45</f>
        <v>31</v>
      </c>
      <c r="M45" s="18"/>
      <c r="N45" s="18">
        <f ca="1">(E45-G45)*'GS 50-999 Predicted Monthly'!$V$11</f>
        <v>85619.60799643716</v>
      </c>
      <c r="O45" s="18">
        <f ca="1">(F45-H45)*'GS 50-999 Predicted Monthly'!$V$12</f>
        <v>-1173663.1072805622</v>
      </c>
      <c r="P45" s="18"/>
      <c r="Q45" s="18"/>
      <c r="R45" s="18"/>
      <c r="S45" s="18">
        <f t="shared" ca="1" si="6"/>
        <v>25281406.899113338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5"/>
        <v>54.959440993788824</v>
      </c>
      <c r="F46" s="269">
        <f t="shared" ca="1" si="5"/>
        <v>158.67014233954447</v>
      </c>
      <c r="G46" s="269">
        <f>'Monthly Data'!BB46</f>
        <v>59.1875</v>
      </c>
      <c r="H46" s="269">
        <f>'Monthly Data'!BI46</f>
        <v>183.48333333333329</v>
      </c>
      <c r="I46" s="24">
        <f>'Monthly Data'!CG46</f>
        <v>0</v>
      </c>
      <c r="J46" s="269">
        <f>'Monthly Data'!AL46</f>
        <v>794140</v>
      </c>
      <c r="K46" s="269">
        <f>'Monthly Data'!CD46</f>
        <v>30</v>
      </c>
      <c r="M46" s="18"/>
      <c r="N46" s="18">
        <f ca="1">(E46-G46)*'GS 50-999 Predicted Monthly'!$V$11</f>
        <v>-76345.466720057622</v>
      </c>
      <c r="O46" s="18">
        <f ca="1">(F46-H46)*'GS 50-999 Predicted Monthly'!$V$12</f>
        <v>-705478.53020539007</v>
      </c>
      <c r="P46" s="18"/>
      <c r="Q46" s="18"/>
      <c r="R46" s="18"/>
      <c r="S46" s="18">
        <f t="shared" ca="1" si="6"/>
        <v>24436630.83602025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5"/>
        <v>237.89681159420289</v>
      </c>
      <c r="F47" s="269">
        <f t="shared" ca="1" si="5"/>
        <v>35.32833333333334</v>
      </c>
      <c r="G47" s="269">
        <f>'Monthly Data'!BB47</f>
        <v>305.10000000000002</v>
      </c>
      <c r="H47" s="269">
        <f>'Monthly Data'!BI47</f>
        <v>25.358333333333334</v>
      </c>
      <c r="I47" s="24">
        <f>'Monthly Data'!CG47</f>
        <v>0</v>
      </c>
      <c r="J47" s="269">
        <f>'Monthly Data'!AL47</f>
        <v>799632</v>
      </c>
      <c r="K47" s="269">
        <f>'Monthly Data'!CD47</f>
        <v>31</v>
      </c>
      <c r="M47" s="18"/>
      <c r="N47" s="18">
        <f ca="1">(E47-G47)*'GS 50-999 Predicted Monthly'!$V$11</f>
        <v>-1213478.5196657423</v>
      </c>
      <c r="O47" s="18">
        <f ca="1">(F47-H47)*'GS 50-999 Predicted Monthly'!$V$12</f>
        <v>283462.97531455674</v>
      </c>
      <c r="P47" s="18"/>
      <c r="Q47" s="18"/>
      <c r="R47" s="18"/>
      <c r="S47" s="18">
        <f t="shared" ca="1" si="6"/>
        <v>24437294.107040241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5"/>
        <v>426.62991389045737</v>
      </c>
      <c r="F48" s="269">
        <f t="shared" ca="1" si="5"/>
        <v>2.2779166666666657</v>
      </c>
      <c r="G48" s="269">
        <f>'Monthly Data'!BB48</f>
        <v>503.52500000000003</v>
      </c>
      <c r="H48" s="269">
        <f>'Monthly Data'!BI48</f>
        <v>0</v>
      </c>
      <c r="I48" s="24">
        <f>'Monthly Data'!CG48</f>
        <v>0</v>
      </c>
      <c r="J48" s="269">
        <f>'Monthly Data'!AL48</f>
        <v>799632</v>
      </c>
      <c r="K48" s="269">
        <f>'Monthly Data'!CD48</f>
        <v>30</v>
      </c>
      <c r="M48" s="18"/>
      <c r="N48" s="18">
        <f ca="1">(E48-G48)*'GS 50-999 Predicted Monthly'!$V$11</f>
        <v>-1388483.7531566939</v>
      </c>
      <c r="O48" s="18">
        <f ca="1">(F48-H48)*'GS 50-999 Predicted Monthly'!$V$12</f>
        <v>64764.797979132403</v>
      </c>
      <c r="P48" s="18"/>
      <c r="Q48" s="18"/>
      <c r="R48" s="18"/>
      <c r="S48" s="18">
        <f t="shared" ca="1" si="6"/>
        <v>27129646.974041846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5"/>
        <v>577.92800724637686</v>
      </c>
      <c r="F49" s="269">
        <f t="shared" ca="1" si="5"/>
        <v>0</v>
      </c>
      <c r="G49" s="269">
        <f>'Monthly Data'!BB49</f>
        <v>584.91666666666663</v>
      </c>
      <c r="H49" s="269">
        <f>'Monthly Data'!BI49</f>
        <v>0</v>
      </c>
      <c r="I49" s="24">
        <f>'Monthly Data'!CG49</f>
        <v>0</v>
      </c>
      <c r="J49" s="269">
        <f>'Monthly Data'!AL49</f>
        <v>799632</v>
      </c>
      <c r="K49" s="269">
        <f>'Monthly Data'!CD49</f>
        <v>31</v>
      </c>
      <c r="M49" s="18"/>
      <c r="N49" s="18">
        <f ca="1">(E49-G49)*'GS 50-999 Predicted Monthly'!$V$11</f>
        <v>-126193.24006730771</v>
      </c>
      <c r="O49" s="18">
        <f ca="1">(F49-H49)*'GS 50-999 Predicted Monthly'!$V$12</f>
        <v>0</v>
      </c>
      <c r="P49" s="18"/>
      <c r="Q49" s="18"/>
      <c r="R49" s="18"/>
      <c r="S49" s="18">
        <f t="shared" ca="1" si="6"/>
        <v>29680662.459390912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ref="E50:F65" ca="1" si="7">E38</f>
        <v>697.33418478260876</v>
      </c>
      <c r="F50" s="269">
        <f t="shared" ca="1" si="7"/>
        <v>0</v>
      </c>
      <c r="G50" s="269">
        <f>'Monthly Data'!BB50</f>
        <v>779.93333333333351</v>
      </c>
      <c r="H50" s="269">
        <f>'Monthly Data'!BI50</f>
        <v>0</v>
      </c>
      <c r="I50" s="24">
        <f>'Monthly Data'!CG50</f>
        <v>0</v>
      </c>
      <c r="J50" s="269">
        <f>'Monthly Data'!AL50</f>
        <v>800724</v>
      </c>
      <c r="K50" s="269">
        <f>'Monthly Data'!CD50</f>
        <v>31</v>
      </c>
      <c r="M50" s="18"/>
      <c r="N50" s="18">
        <f ca="1">(E50-G50)*'GS 50-999 Predicted Monthly'!$V$11</f>
        <v>-1491481.2062746997</v>
      </c>
      <c r="O50" s="18">
        <f ca="1">(F50-H50)*'GS 50-999 Predicted Monthly'!$V$12</f>
        <v>0</v>
      </c>
      <c r="P50" s="18"/>
      <c r="Q50" s="18"/>
      <c r="R50" s="18"/>
      <c r="S50" s="18">
        <f t="shared" ca="1" si="6"/>
        <v>33101308.377224546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7"/>
        <v>624.25501811594188</v>
      </c>
      <c r="F51" s="269">
        <f t="shared" ca="1" si="7"/>
        <v>0</v>
      </c>
      <c r="G51" s="269">
        <f>'Monthly Data'!BB51</f>
        <v>639.30416666666645</v>
      </c>
      <c r="H51" s="269">
        <f>'Monthly Data'!BI51</f>
        <v>0</v>
      </c>
      <c r="I51" s="24">
        <f>'Monthly Data'!CG51</f>
        <v>0</v>
      </c>
      <c r="J51" s="269">
        <f>'Monthly Data'!AL51</f>
        <v>800724</v>
      </c>
      <c r="K51" s="269">
        <f>'Monthly Data'!CD51</f>
        <v>28</v>
      </c>
      <c r="M51" s="18"/>
      <c r="N51" s="18">
        <f ca="1">(E51-G51)*'GS 50-999 Predicted Monthly'!$V$11</f>
        <v>-271740.35843793064</v>
      </c>
      <c r="O51" s="18">
        <f ca="1">(F51-H51)*'GS 50-999 Predicted Monthly'!$V$12</f>
        <v>0</v>
      </c>
      <c r="P51" s="18"/>
      <c r="Q51" s="18"/>
      <c r="R51" s="18"/>
      <c r="S51" s="18">
        <f t="shared" ca="1" si="6"/>
        <v>29830492.223476462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7"/>
        <v>546.13298913043491</v>
      </c>
      <c r="F52" s="269">
        <f t="shared" ca="1" si="7"/>
        <v>2.9583333333332896E-2</v>
      </c>
      <c r="G52" s="269">
        <f>'Monthly Data'!BB52</f>
        <v>611.45833333333337</v>
      </c>
      <c r="H52" s="269">
        <f>'Monthly Data'!BI52</f>
        <v>0</v>
      </c>
      <c r="I52" s="24">
        <f>'Monthly Data'!CG52</f>
        <v>0</v>
      </c>
      <c r="J52" s="269">
        <f>'Monthly Data'!AL52</f>
        <v>800724</v>
      </c>
      <c r="K52" s="269">
        <f>'Monthly Data'!CD52</f>
        <v>31</v>
      </c>
      <c r="M52" s="18"/>
      <c r="N52" s="18">
        <f ca="1">(E52-G52)*'GS 50-999 Predicted Monthly'!$V$11</f>
        <v>-1179570.5510476967</v>
      </c>
      <c r="O52" s="18">
        <f ca="1">(F52-H52)*'GS 50-999 Predicted Monthly'!$V$12</f>
        <v>841.1012724562529</v>
      </c>
      <c r="P52" s="18"/>
      <c r="Q52" s="18"/>
      <c r="R52" s="18"/>
      <c r="S52" s="18">
        <f t="shared" ca="1" si="6"/>
        <v>29511737.060376272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7"/>
        <v>352.41399621212122</v>
      </c>
      <c r="F53" s="269">
        <f t="shared" ca="1" si="7"/>
        <v>5.6420833333333338</v>
      </c>
      <c r="G53" s="269">
        <f>'Monthly Data'!BB53</f>
        <v>366.65416666666664</v>
      </c>
      <c r="H53" s="269">
        <f>'Monthly Data'!BI53</f>
        <v>0.84583333333333144</v>
      </c>
      <c r="I53" s="24">
        <f>'Monthly Data'!CG53</f>
        <v>0</v>
      </c>
      <c r="J53" s="269">
        <f>'Monthly Data'!AL53</f>
        <v>806630</v>
      </c>
      <c r="K53" s="269">
        <f>'Monthly Data'!CD53</f>
        <v>30</v>
      </c>
      <c r="M53" s="18"/>
      <c r="N53" s="18">
        <f ca="1">(E53-G53)*'GS 50-999 Predicted Monthly'!$V$11</f>
        <v>-257132.75475303171</v>
      </c>
      <c r="O53" s="18">
        <f ca="1">(F53-H53)*'GS 50-999 Predicted Monthly'!$V$12</f>
        <v>136365.02460907149</v>
      </c>
      <c r="P53" s="18"/>
      <c r="Q53" s="18"/>
      <c r="R53" s="18"/>
      <c r="S53" s="18">
        <f t="shared" ca="1" si="6"/>
        <v>25457258.718958784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ca="1" si="7"/>
        <v>150.136897859768</v>
      </c>
      <c r="F54" s="269">
        <f t="shared" ca="1" si="7"/>
        <v>86.191046176046171</v>
      </c>
      <c r="G54" s="269">
        <f>'Monthly Data'!BB54</f>
        <v>205.53464912280697</v>
      </c>
      <c r="H54" s="269">
        <f>'Monthly Data'!BI54</f>
        <v>27.579166666666666</v>
      </c>
      <c r="I54" s="24">
        <f>'Monthly Data'!CG54</f>
        <v>0</v>
      </c>
      <c r="J54" s="269">
        <f>'Monthly Data'!AL54</f>
        <v>806630</v>
      </c>
      <c r="K54" s="269">
        <f>'Monthly Data'!CD54</f>
        <v>31</v>
      </c>
      <c r="M54" s="18"/>
      <c r="N54" s="18">
        <f ca="1">(E54-G54)*'GS 50-999 Predicted Monthly'!$V$11</f>
        <v>-1000309.4018331518</v>
      </c>
      <c r="O54" s="18">
        <f ca="1">(F54-H54)*'GS 50-999 Predicted Monthly'!$V$12</f>
        <v>1666429.0626386167</v>
      </c>
      <c r="P54" s="18"/>
      <c r="Q54" s="18"/>
      <c r="R54" s="18"/>
      <c r="S54" s="18">
        <f t="shared" ca="1" si="6"/>
        <v>25442413.772718329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7"/>
        <v>32.520923826173821</v>
      </c>
      <c r="F55" s="269">
        <f t="shared" ca="1" si="7"/>
        <v>194.94285087738348</v>
      </c>
      <c r="G55" s="269">
        <f>'Monthly Data'!BB55</f>
        <v>46.120833333333351</v>
      </c>
      <c r="H55" s="269">
        <f>'Monthly Data'!BI55</f>
        <v>173.67083333333326</v>
      </c>
      <c r="I55" s="24">
        <f>'Monthly Data'!CG55</f>
        <v>0</v>
      </c>
      <c r="J55" s="269">
        <f>'Monthly Data'!AL55</f>
        <v>806630</v>
      </c>
      <c r="K55" s="269">
        <f>'Monthly Data'!CD55</f>
        <v>30</v>
      </c>
      <c r="M55" s="18"/>
      <c r="N55" s="18">
        <f ca="1">(E55-G55)*'GS 50-999 Predicted Monthly'!$V$11</f>
        <v>-245571.65289068921</v>
      </c>
      <c r="O55" s="18">
        <f ca="1">(F55-H55)*'GS 50-999 Predicted Monthly'!$V$12</f>
        <v>604797.3303891595</v>
      </c>
      <c r="P55" s="18"/>
      <c r="Q55" s="18"/>
      <c r="R55" s="18"/>
      <c r="S55" s="18">
        <f t="shared" ca="1" si="6"/>
        <v>25191760.29566646</v>
      </c>
    </row>
    <row r="56" spans="1:19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7"/>
        <v>1.6179166666666653</v>
      </c>
      <c r="F56" s="269">
        <f t="shared" ca="1" si="7"/>
        <v>297.94737858727848</v>
      </c>
      <c r="G56" s="269">
        <f>'Monthly Data'!BB56</f>
        <v>0</v>
      </c>
      <c r="H56" s="269">
        <f>'Monthly Data'!BI56</f>
        <v>321.60000000000002</v>
      </c>
      <c r="I56" s="24">
        <f>'Monthly Data'!CG56</f>
        <v>0</v>
      </c>
      <c r="J56" s="269">
        <f>'Monthly Data'!AL56</f>
        <v>810347</v>
      </c>
      <c r="K56" s="269">
        <f>'Monthly Data'!CD56</f>
        <v>31</v>
      </c>
      <c r="M56" s="18"/>
      <c r="N56" s="18">
        <f ca="1">(E56-G56)*'GS 50-999 Predicted Monthly'!$V$11</f>
        <v>29214.493659944223</v>
      </c>
      <c r="O56" s="18">
        <f ca="1">(F56-H56)*'GS 50-999 Predicted Monthly'!$V$12</f>
        <v>-672481.68903097685</v>
      </c>
      <c r="P56" s="18"/>
      <c r="Q56" s="18"/>
      <c r="R56" s="18"/>
      <c r="S56" s="18">
        <f t="shared" ca="1" si="6"/>
        <v>29150152.043074254</v>
      </c>
    </row>
    <row r="57" spans="1:19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7"/>
        <v>5.6499999999999977</v>
      </c>
      <c r="F57" s="269">
        <f t="shared" ca="1" si="7"/>
        <v>272.96558794466404</v>
      </c>
      <c r="G57" s="269">
        <f>'Monthly Data'!BB57</f>
        <v>4.645833333333325</v>
      </c>
      <c r="H57" s="269">
        <f>'Monthly Data'!BI57</f>
        <v>252.07083333333335</v>
      </c>
      <c r="I57" s="24">
        <f>'Monthly Data'!CG57</f>
        <v>0</v>
      </c>
      <c r="J57" s="269">
        <f>'Monthly Data'!AL57</f>
        <v>810347</v>
      </c>
      <c r="K57" s="269">
        <f>'Monthly Data'!CD57</f>
        <v>31</v>
      </c>
      <c r="M57" s="18"/>
      <c r="N57" s="18">
        <f ca="1">(E57-G57)*'GS 50-999 Predicted Monthly'!$V$11</f>
        <v>18132.096245291283</v>
      </c>
      <c r="O57" s="18">
        <f ca="1">(F57-H57)*'GS 50-999 Predicted Monthly'!$V$12</f>
        <v>594071.14449301374</v>
      </c>
      <c r="P57" s="18"/>
      <c r="Q57" s="18"/>
      <c r="R57" s="18"/>
      <c r="S57" s="18">
        <f t="shared" ca="1" si="6"/>
        <v>26897976.395278446</v>
      </c>
    </row>
    <row r="58" spans="1:19" x14ac:dyDescent="0.25">
      <c r="A58" s="3">
        <f>'Monthly Data'!A58</f>
        <v>43709</v>
      </c>
      <c r="B58" s="1">
        <f t="shared" ref="B58:B115" si="8">YEAR(A58)</f>
        <v>2019</v>
      </c>
      <c r="C58" s="1">
        <f t="shared" ref="C58:C115" si="9">MONTH(A58)</f>
        <v>9</v>
      </c>
      <c r="D58" s="259">
        <f>'Monthly Data'!N58</f>
        <v>24447792.044599112</v>
      </c>
      <c r="E58" s="269">
        <f t="shared" ca="1" si="7"/>
        <v>54.959440993788824</v>
      </c>
      <c r="F58" s="269">
        <f t="shared" ca="1" si="7"/>
        <v>158.67014233954447</v>
      </c>
      <c r="G58" s="269">
        <f>'Monthly Data'!BB58</f>
        <v>62.054166666666653</v>
      </c>
      <c r="H58" s="269">
        <f>'Monthly Data'!BI58</f>
        <v>131.93750000000003</v>
      </c>
      <c r="I58" s="24">
        <f>'Monthly Data'!CG58</f>
        <v>0</v>
      </c>
      <c r="J58" s="269">
        <f>'Monthly Data'!AL58</f>
        <v>810347</v>
      </c>
      <c r="K58" s="269">
        <f>'Monthly Data'!CD58</f>
        <v>30</v>
      </c>
      <c r="M58" s="18"/>
      <c r="N58" s="18">
        <f ca="1">(E58-G58)*'GS 50-999 Predicted Monthly'!$V$11</f>
        <v>-128108.46347010022</v>
      </c>
      <c r="O58" s="18">
        <f ca="1">(F58-H58)*'GS 50-999 Predicted Monthly'!$V$12</f>
        <v>760051.58832368662</v>
      </c>
      <c r="P58" s="18"/>
      <c r="Q58" s="18"/>
      <c r="R58" s="18"/>
      <c r="S58" s="18">
        <f t="shared" ca="1" si="6"/>
        <v>25079735.169452697</v>
      </c>
    </row>
    <row r="59" spans="1:19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Data'!N59</f>
        <v>24249973.509908725</v>
      </c>
      <c r="E59" s="269">
        <f t="shared" ca="1" si="7"/>
        <v>237.89681159420289</v>
      </c>
      <c r="F59" s="269">
        <f t="shared" ca="1" si="7"/>
        <v>35.32833333333334</v>
      </c>
      <c r="G59" s="269">
        <f>'Monthly Data'!BB59</f>
        <v>243.77916666666664</v>
      </c>
      <c r="H59" s="269">
        <f>'Monthly Data'!BI59</f>
        <v>16.670833333333334</v>
      </c>
      <c r="I59" s="24">
        <f>'Monthly Data'!CG59</f>
        <v>0</v>
      </c>
      <c r="J59" s="269">
        <f>'Monthly Data'!AL59</f>
        <v>811397</v>
      </c>
      <c r="K59" s="269">
        <f>'Monthly Data'!CD59</f>
        <v>31</v>
      </c>
      <c r="M59" s="18"/>
      <c r="N59" s="18">
        <f ca="1">(E59-G59)*'GS 50-999 Predicted Monthly'!$V$11</f>
        <v>-106216.85808088581</v>
      </c>
      <c r="O59" s="18">
        <f ca="1">(F59-H59)*'GS 50-999 Predicted Monthly'!$V$12</f>
        <v>530462.43349361501</v>
      </c>
      <c r="P59" s="18"/>
      <c r="Q59" s="18"/>
      <c r="R59" s="18"/>
      <c r="S59" s="18">
        <f t="shared" ca="1" si="6"/>
        <v>24674219.085321452</v>
      </c>
    </row>
    <row r="60" spans="1:19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Data'!N60</f>
        <v>30825542.226426981</v>
      </c>
      <c r="E60" s="269">
        <f t="shared" ca="1" si="7"/>
        <v>426.62991389045737</v>
      </c>
      <c r="F60" s="269">
        <f t="shared" ca="1" si="7"/>
        <v>2.2779166666666657</v>
      </c>
      <c r="G60" s="269">
        <f>'Monthly Data'!BB60</f>
        <v>529.72500000000002</v>
      </c>
      <c r="H60" s="269">
        <f>'Monthly Data'!BI60</f>
        <v>0</v>
      </c>
      <c r="I60" s="24">
        <f>'Monthly Data'!CG60</f>
        <v>0</v>
      </c>
      <c r="J60" s="269">
        <f>'Monthly Data'!AL60</f>
        <v>811397</v>
      </c>
      <c r="K60" s="269">
        <f>'Monthly Data'!CD60</f>
        <v>30</v>
      </c>
      <c r="M60" s="18"/>
      <c r="N60" s="18">
        <f ca="1">(E60-G60)*'GS 50-999 Predicted Monthly'!$V$11</f>
        <v>-1861573.4676396435</v>
      </c>
      <c r="O60" s="18">
        <f ca="1">(F60-H60)*'GS 50-999 Predicted Monthly'!$V$12</f>
        <v>64764.797979132403</v>
      </c>
      <c r="P60" s="18"/>
      <c r="Q60" s="18"/>
      <c r="R60" s="18"/>
      <c r="S60" s="18">
        <f t="shared" ca="1" si="6"/>
        <v>29028733.556766469</v>
      </c>
    </row>
    <row r="61" spans="1:19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Data'!N61</f>
        <v>30515644.19160156</v>
      </c>
      <c r="E61" s="269">
        <f t="shared" ca="1" si="7"/>
        <v>577.92800724637686</v>
      </c>
      <c r="F61" s="269">
        <f t="shared" ca="1" si="7"/>
        <v>0</v>
      </c>
      <c r="G61" s="269">
        <f>'Monthly Data'!BB61</f>
        <v>614.42916666666667</v>
      </c>
      <c r="H61" s="269">
        <f>'Monthly Data'!BI61</f>
        <v>0</v>
      </c>
      <c r="I61" s="24">
        <f>'Monthly Data'!CG61</f>
        <v>0</v>
      </c>
      <c r="J61" s="269">
        <f>'Monthly Data'!AL61</f>
        <v>811397</v>
      </c>
      <c r="K61" s="269">
        <f>'Monthly Data'!CD61</f>
        <v>31</v>
      </c>
      <c r="M61" s="18"/>
      <c r="N61" s="18">
        <f ca="1">(E61-G61)*'GS 50-999 Predicted Monthly'!$V$11</f>
        <v>-659096.30108555499</v>
      </c>
      <c r="O61" s="18">
        <f ca="1">(F61-H61)*'GS 50-999 Predicted Monthly'!$V$12</f>
        <v>0</v>
      </c>
      <c r="P61" s="18"/>
      <c r="Q61" s="18"/>
      <c r="R61" s="18"/>
      <c r="S61" s="18">
        <f t="shared" ca="1" si="6"/>
        <v>29856547.890516005</v>
      </c>
    </row>
    <row r="62" spans="1:19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Data'!N62</f>
        <v>31665184.615771491</v>
      </c>
      <c r="E62" s="269">
        <f t="shared" ca="1" si="7"/>
        <v>697.33418478260876</v>
      </c>
      <c r="F62" s="269">
        <f t="shared" ca="1" si="7"/>
        <v>0</v>
      </c>
      <c r="G62" s="269">
        <f>'Monthly Data'!BB62</f>
        <v>628.82083333333333</v>
      </c>
      <c r="H62" s="269">
        <f>'Monthly Data'!BI62</f>
        <v>0</v>
      </c>
      <c r="I62" s="24">
        <f>'Monthly Data'!CG62</f>
        <v>0</v>
      </c>
      <c r="J62" s="269">
        <f>'Monthly Data'!AL62</f>
        <v>800126</v>
      </c>
      <c r="K62" s="269">
        <f>'Monthly Data'!CD62</f>
        <v>31</v>
      </c>
      <c r="M62" s="18"/>
      <c r="N62" s="18">
        <f ca="1">(E62-G62)*'GS 50-999 Predicted Monthly'!$V$11</f>
        <v>1237135.9494430423</v>
      </c>
      <c r="O62" s="18">
        <f ca="1">(F62-H62)*'GS 50-999 Predicted Monthly'!$V$12</f>
        <v>0</v>
      </c>
      <c r="P62" s="18"/>
      <c r="Q62" s="18"/>
      <c r="R62" s="18"/>
      <c r="S62" s="18">
        <f t="shared" ca="1" si="6"/>
        <v>32902320.565214533</v>
      </c>
    </row>
    <row r="63" spans="1:19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Data'!N63</f>
        <v>28996456.425020933</v>
      </c>
      <c r="E63" s="269">
        <f t="shared" ca="1" si="7"/>
        <v>624.25501811594188</v>
      </c>
      <c r="F63" s="269">
        <f t="shared" ca="1" si="7"/>
        <v>0</v>
      </c>
      <c r="G63" s="269">
        <f>'Monthly Data'!BB63</f>
        <v>620.40000000000009</v>
      </c>
      <c r="H63" s="269">
        <f>'Monthly Data'!BI63</f>
        <v>0</v>
      </c>
      <c r="I63" s="24">
        <f>'Monthly Data'!CG63</f>
        <v>0</v>
      </c>
      <c r="J63" s="269">
        <f>'Monthly Data'!AL63</f>
        <v>800126</v>
      </c>
      <c r="K63" s="269">
        <f>'Monthly Data'!CD63</f>
        <v>29</v>
      </c>
      <c r="M63" s="18"/>
      <c r="N63" s="18">
        <f ca="1">(E63-G63)*'GS 50-999 Predicted Monthly'!$V$11</f>
        <v>69609.519839599234</v>
      </c>
      <c r="O63" s="18">
        <f ca="1">(F63-H63)*'GS 50-999 Predicted Monthly'!$V$12</f>
        <v>0</v>
      </c>
      <c r="P63" s="18"/>
      <c r="Q63" s="18"/>
      <c r="R63" s="18"/>
      <c r="S63" s="18">
        <f t="shared" ca="1" si="6"/>
        <v>29066065.944860533</v>
      </c>
    </row>
    <row r="64" spans="1:19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Data'!N64</f>
        <v>27523984.230147589</v>
      </c>
      <c r="E64" s="269">
        <f t="shared" ca="1" si="7"/>
        <v>546.13298913043491</v>
      </c>
      <c r="F64" s="269">
        <f t="shared" ca="1" si="7"/>
        <v>2.9583333333332896E-2</v>
      </c>
      <c r="G64" s="269">
        <f>'Monthly Data'!BB64</f>
        <v>481.57083333333344</v>
      </c>
      <c r="H64" s="269">
        <f>'Monthly Data'!BI64</f>
        <v>0</v>
      </c>
      <c r="I64" s="24">
        <f>'Monthly Data'!CG64</f>
        <v>0.5</v>
      </c>
      <c r="J64" s="269">
        <f>'Monthly Data'!AL64</f>
        <v>800126</v>
      </c>
      <c r="K64" s="269">
        <f>'Monthly Data'!CD64</f>
        <v>31</v>
      </c>
      <c r="M64" s="18"/>
      <c r="N64" s="18">
        <f ca="1">(E64-G64)*'GS 50-999 Predicted Monthly'!$V$11</f>
        <v>1165789.7653608571</v>
      </c>
      <c r="O64" s="18">
        <f ca="1">(F64-H64)*'GS 50-999 Predicted Monthly'!$V$12</f>
        <v>841.1012724562529</v>
      </c>
      <c r="P64" s="18"/>
      <c r="Q64" s="18"/>
      <c r="R64" s="18"/>
      <c r="S64" s="18">
        <f t="shared" ca="1" si="6"/>
        <v>28690615.096780904</v>
      </c>
    </row>
    <row r="65" spans="1:19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Data'!N65</f>
        <v>22124574.074711651</v>
      </c>
      <c r="E65" s="269">
        <f t="shared" ca="1" si="7"/>
        <v>352.41399621212122</v>
      </c>
      <c r="F65" s="269">
        <f t="shared" ca="1" si="7"/>
        <v>5.6420833333333338</v>
      </c>
      <c r="G65" s="269">
        <f>'Monthly Data'!BB65</f>
        <v>379.67500000000013</v>
      </c>
      <c r="H65" s="269">
        <f>'Monthly Data'!BI65</f>
        <v>0</v>
      </c>
      <c r="I65" s="24">
        <f>'Monthly Data'!CG65</f>
        <v>1</v>
      </c>
      <c r="J65" s="269">
        <f>'Monthly Data'!AL65</f>
        <v>706539</v>
      </c>
      <c r="K65" s="269">
        <f>'Monthly Data'!CD65</f>
        <v>30</v>
      </c>
      <c r="M65" s="18"/>
      <c r="N65" s="18">
        <f ca="1">(E65-G65)*'GS 50-999 Predicted Monthly'!$V$11</f>
        <v>-492248.11063077272</v>
      </c>
      <c r="O65" s="18">
        <f ca="1">(F65-H65)*'GS 50-999 Predicted Monthly'!$V$12</f>
        <v>160413.41310324351</v>
      </c>
      <c r="P65" s="18"/>
      <c r="Q65" s="18"/>
      <c r="R65" s="18"/>
      <c r="S65" s="18">
        <f t="shared" ca="1" si="6"/>
        <v>21792739.377184123</v>
      </c>
    </row>
    <row r="66" spans="1:19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Data'!N66</f>
        <v>21859678.942449689</v>
      </c>
      <c r="E66" s="269">
        <f t="shared" ref="E66:F81" ca="1" si="10">E54</f>
        <v>150.136897859768</v>
      </c>
      <c r="F66" s="269">
        <f t="shared" ca="1" si="10"/>
        <v>86.191046176046171</v>
      </c>
      <c r="G66" s="269">
        <f>'Monthly Data'!BB66</f>
        <v>212.73690476190475</v>
      </c>
      <c r="H66" s="269">
        <f>'Monthly Data'!BI66</f>
        <v>77.750595238095229</v>
      </c>
      <c r="I66" s="24">
        <f>'Monthly Data'!CG66</f>
        <v>1</v>
      </c>
      <c r="J66" s="269">
        <f>'Monthly Data'!AL66</f>
        <v>706539</v>
      </c>
      <c r="K66" s="269">
        <f>'Monthly Data'!CD66</f>
        <v>31</v>
      </c>
      <c r="M66" s="18"/>
      <c r="N66" s="18">
        <f ca="1">(E66-G66)*'GS 50-999 Predicted Monthly'!$V$11</f>
        <v>-1130359.5187771972</v>
      </c>
      <c r="O66" s="18">
        <f ca="1">(F66-H66)*'GS 50-999 Predicted Monthly'!$V$12</f>
        <v>239975.45996671153</v>
      </c>
      <c r="P66" s="18"/>
      <c r="Q66" s="18"/>
      <c r="R66" s="18"/>
      <c r="S66" s="18">
        <f t="shared" ref="S66:S97" ca="1" si="11">D66+N66+O66</f>
        <v>20969294.883639202</v>
      </c>
    </row>
    <row r="67" spans="1:19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Data'!N67</f>
        <v>24219008.095878799</v>
      </c>
      <c r="E67" s="269">
        <f t="shared" ca="1" si="10"/>
        <v>32.520923826173821</v>
      </c>
      <c r="F67" s="269">
        <f t="shared" ca="1" si="10"/>
        <v>194.94285087738348</v>
      </c>
      <c r="G67" s="269">
        <f>'Monthly Data'!BB67</f>
        <v>29.733333333333348</v>
      </c>
      <c r="H67" s="269">
        <f>'Monthly Data'!BI67</f>
        <v>222.53623188405788</v>
      </c>
      <c r="I67" s="24">
        <f>'Monthly Data'!CG67</f>
        <v>0.5</v>
      </c>
      <c r="J67" s="269">
        <f>'Monthly Data'!AL67</f>
        <v>706539</v>
      </c>
      <c r="K67" s="269">
        <f>'Monthly Data'!CD67</f>
        <v>30</v>
      </c>
      <c r="M67" s="18"/>
      <c r="N67" s="18">
        <f ca="1">(E67-G67)*'GS 50-999 Predicted Monthly'!$V$11</f>
        <v>50335.129402797116</v>
      </c>
      <c r="O67" s="18">
        <f ca="1">(F67-H67)*'GS 50-999 Predicted Monthly'!$V$12</f>
        <v>-784523.75919158489</v>
      </c>
      <c r="P67" s="18"/>
      <c r="Q67" s="18"/>
      <c r="R67" s="18"/>
      <c r="S67" s="18">
        <f t="shared" ca="1" si="11"/>
        <v>23484819.466090012</v>
      </c>
    </row>
    <row r="68" spans="1:19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Data'!N68</f>
        <v>28888464.206618078</v>
      </c>
      <c r="E68" s="269">
        <f t="shared" ca="1" si="10"/>
        <v>1.6179166666666653</v>
      </c>
      <c r="F68" s="269">
        <f t="shared" ca="1" si="10"/>
        <v>297.94737858727848</v>
      </c>
      <c r="G68" s="269">
        <f>'Monthly Data'!BB68</f>
        <v>0</v>
      </c>
      <c r="H68" s="269">
        <f>'Monthly Data'!BI68</f>
        <v>370.88750000000005</v>
      </c>
      <c r="I68" s="24">
        <f>'Monthly Data'!CG68</f>
        <v>0.5</v>
      </c>
      <c r="J68" s="269">
        <f>'Monthly Data'!AL68</f>
        <v>777225</v>
      </c>
      <c r="K68" s="269">
        <f>'Monthly Data'!CD68</f>
        <v>31</v>
      </c>
      <c r="M68" s="18"/>
      <c r="N68" s="18">
        <f ca="1">(E68-G68)*'GS 50-999 Predicted Monthly'!$V$11</f>
        <v>29214.493659944223</v>
      </c>
      <c r="O68" s="18">
        <f ca="1">(F68-H68)*'GS 50-999 Predicted Monthly'!$V$12</f>
        <v>-2073803.7949302963</v>
      </c>
      <c r="P68" s="18"/>
      <c r="Q68" s="18"/>
      <c r="R68" s="18"/>
      <c r="S68" s="18">
        <f t="shared" ca="1" si="11"/>
        <v>26843874.905347724</v>
      </c>
    </row>
    <row r="69" spans="1:19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Data'!N69</f>
        <v>26919034.292032495</v>
      </c>
      <c r="E69" s="269">
        <f t="shared" ca="1" si="10"/>
        <v>5.6499999999999977</v>
      </c>
      <c r="F69" s="269">
        <f t="shared" ca="1" si="10"/>
        <v>272.96558794466404</v>
      </c>
      <c r="G69" s="269">
        <f>'Monthly Data'!BB69</f>
        <v>3.4874999999999972</v>
      </c>
      <c r="H69" s="269">
        <f>'Monthly Data'!BI69</f>
        <v>278.93106060606061</v>
      </c>
      <c r="I69" s="24">
        <f>'Monthly Data'!CG69</f>
        <v>0.5</v>
      </c>
      <c r="J69" s="269">
        <f>'Monthly Data'!AL69</f>
        <v>777225</v>
      </c>
      <c r="K69" s="269">
        <f>'Monthly Data'!CD69</f>
        <v>31</v>
      </c>
      <c r="M69" s="18"/>
      <c r="N69" s="18">
        <f ca="1">(E69-G69)*'GS 50-999 Predicted Monthly'!$V$11</f>
        <v>39047.958304174783</v>
      </c>
      <c r="O69" s="18">
        <f ca="1">(F69-H69)*'GS 50-999 Predicted Monthly'!$V$12</f>
        <v>-169607.88663561881</v>
      </c>
      <c r="P69" s="18"/>
      <c r="Q69" s="18"/>
      <c r="R69" s="18"/>
      <c r="S69" s="18">
        <f t="shared" ca="1" si="11"/>
        <v>26788474.363701049</v>
      </c>
    </row>
    <row r="70" spans="1:19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Data'!N70</f>
        <v>22899887.372774672</v>
      </c>
      <c r="E70" s="269">
        <f t="shared" ca="1" si="10"/>
        <v>54.959440993788824</v>
      </c>
      <c r="F70" s="269">
        <f t="shared" ca="1" si="10"/>
        <v>158.67014233954447</v>
      </c>
      <c r="G70" s="269">
        <f>'Monthly Data'!BB70</f>
        <v>85.042028985507244</v>
      </c>
      <c r="H70" s="269">
        <f>'Monthly Data'!BI70</f>
        <v>120.81213768115938</v>
      </c>
      <c r="I70" s="24">
        <f>'Monthly Data'!CG70</f>
        <v>0.5</v>
      </c>
      <c r="J70" s="269">
        <f>'Monthly Data'!AL70</f>
        <v>777225</v>
      </c>
      <c r="K70" s="269">
        <f>'Monthly Data'!CD70</f>
        <v>30</v>
      </c>
      <c r="M70" s="18"/>
      <c r="N70" s="18">
        <f ca="1">(E70-G70)*'GS 50-999 Predicted Monthly'!$V$11</f>
        <v>-543197.05969123216</v>
      </c>
      <c r="O70" s="18">
        <f ca="1">(F70-H70)*'GS 50-999 Predicted Monthly'!$V$12</f>
        <v>1076363.3540559858</v>
      </c>
      <c r="P70" s="18"/>
      <c r="Q70" s="18"/>
      <c r="R70" s="18"/>
      <c r="S70" s="18">
        <f t="shared" ca="1" si="11"/>
        <v>23433053.667139426</v>
      </c>
    </row>
    <row r="71" spans="1:19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Data'!N71</f>
        <v>22361323.862121925</v>
      </c>
      <c r="E71" s="269">
        <f t="shared" ca="1" si="10"/>
        <v>237.89681159420289</v>
      </c>
      <c r="F71" s="269">
        <f t="shared" ca="1" si="10"/>
        <v>35.32833333333334</v>
      </c>
      <c r="G71" s="269">
        <f>'Monthly Data'!BB71</f>
        <v>287.83333333333331</v>
      </c>
      <c r="H71" s="269">
        <f>'Monthly Data'!BI71</f>
        <v>10.262500000000003</v>
      </c>
      <c r="I71" s="24">
        <f>'Monthly Data'!CG71</f>
        <v>0.5</v>
      </c>
      <c r="J71" s="269">
        <f>'Monthly Data'!AL71</f>
        <v>795879</v>
      </c>
      <c r="K71" s="269">
        <f>'Monthly Data'!CD71</f>
        <v>31</v>
      </c>
      <c r="M71" s="18"/>
      <c r="N71" s="18">
        <f ca="1">(E71-G71)*'GS 50-999 Predicted Monthly'!$V$11</f>
        <v>-901696.74854339042</v>
      </c>
      <c r="O71" s="18">
        <f ca="1">(F71-H71)*'GS 50-999 Predicted Monthly'!$V$12</f>
        <v>712661.55420315522</v>
      </c>
      <c r="P71" s="18"/>
      <c r="Q71" s="18"/>
      <c r="R71" s="18"/>
      <c r="S71" s="18">
        <f t="shared" ca="1" si="11"/>
        <v>22172288.667781692</v>
      </c>
    </row>
    <row r="72" spans="1:19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Data'!N72</f>
        <v>23101196.568596739</v>
      </c>
      <c r="E72" s="269">
        <f t="shared" ca="1" si="10"/>
        <v>426.62991389045737</v>
      </c>
      <c r="F72" s="269">
        <f t="shared" ca="1" si="10"/>
        <v>2.2779166666666657</v>
      </c>
      <c r="G72" s="269">
        <f>'Monthly Data'!BB72</f>
        <v>366.30072463768118</v>
      </c>
      <c r="H72" s="269">
        <f>'Monthly Data'!BI72</f>
        <v>1.8291666666666622</v>
      </c>
      <c r="I72" s="24">
        <f>'Monthly Data'!CG72</f>
        <v>0.5</v>
      </c>
      <c r="J72" s="269">
        <f>'Monthly Data'!AL72</f>
        <v>795879</v>
      </c>
      <c r="K72" s="269">
        <f>'Monthly Data'!CD72</f>
        <v>30</v>
      </c>
      <c r="M72" s="18"/>
      <c r="N72" s="18">
        <f ca="1">(E72-G72)*'GS 50-999 Predicted Monthly'!$V$11</f>
        <v>1089355.6839154095</v>
      </c>
      <c r="O72" s="18">
        <f ca="1">(F72-H72)*'GS 50-999 Predicted Monthly'!$V$12</f>
        <v>12758.677048385985</v>
      </c>
      <c r="P72" s="18"/>
      <c r="Q72" s="18"/>
      <c r="R72" s="18"/>
      <c r="S72" s="18">
        <f t="shared" ca="1" si="11"/>
        <v>24203310.929560535</v>
      </c>
    </row>
    <row r="73" spans="1:19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Data'!N73</f>
        <v>31742077.27981564</v>
      </c>
      <c r="E73" s="269">
        <f t="shared" ca="1" si="10"/>
        <v>577.92800724637686</v>
      </c>
      <c r="F73" s="269">
        <f t="shared" ca="1" si="10"/>
        <v>0</v>
      </c>
      <c r="G73" s="269">
        <f>'Monthly Data'!BB73</f>
        <v>582.90416666666681</v>
      </c>
      <c r="H73" s="269">
        <f>'Monthly Data'!BI73</f>
        <v>0</v>
      </c>
      <c r="I73" s="24">
        <f>'Monthly Data'!CG73</f>
        <v>0.5</v>
      </c>
      <c r="J73" s="269">
        <f>'Monthly Data'!AL73</f>
        <v>795879</v>
      </c>
      <c r="K73" s="269">
        <f>'Monthly Data'!CD73</f>
        <v>31</v>
      </c>
      <c r="M73" s="18"/>
      <c r="N73" s="18">
        <f ca="1">(E73-G73)*'GS 50-999 Predicted Monthly'!$V$11</f>
        <v>-89853.810662847769</v>
      </c>
      <c r="O73" s="18">
        <f ca="1">(F73-H73)*'GS 50-999 Predicted Monthly'!$V$12</f>
        <v>0</v>
      </c>
      <c r="P73" s="18"/>
      <c r="Q73" s="18"/>
      <c r="R73" s="18"/>
      <c r="S73" s="18">
        <f t="shared" ca="1" si="11"/>
        <v>31652223.469152793</v>
      </c>
    </row>
    <row r="74" spans="1:19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 ca="1">'Monthly Data'!N74</f>
        <v>29798844.243443634</v>
      </c>
      <c r="E74" s="269">
        <f t="shared" ca="1" si="10"/>
        <v>697.33418478260876</v>
      </c>
      <c r="F74" s="269">
        <f t="shared" ca="1" si="10"/>
        <v>0</v>
      </c>
      <c r="G74" s="269">
        <f>'Monthly Data'!BB74</f>
        <v>653.50416666666661</v>
      </c>
      <c r="H74" s="269">
        <f>'Monthly Data'!BI74</f>
        <v>0</v>
      </c>
      <c r="I74" s="24">
        <f>'Monthly Data'!CG74</f>
        <v>0.5</v>
      </c>
      <c r="J74" s="269">
        <f>'Monthly Data'!AL74</f>
        <v>808584</v>
      </c>
      <c r="K74" s="269">
        <f>'Monthly Data'!CD74</f>
        <v>31</v>
      </c>
      <c r="M74" s="18"/>
      <c r="N74" s="18">
        <f ca="1">(E74-G74)*'GS 50-999 Predicted Monthly'!$V$11</f>
        <v>791432.47161273251</v>
      </c>
      <c r="O74" s="18">
        <f ca="1">(F74-H74)*'GS 50-999 Predicted Monthly'!$V$12</f>
        <v>0</v>
      </c>
      <c r="P74" s="18"/>
      <c r="Q74" s="18"/>
      <c r="R74" s="18"/>
      <c r="S74" s="18">
        <f t="shared" ca="1" si="11"/>
        <v>30590276.715056367</v>
      </c>
    </row>
    <row r="75" spans="1:19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 ca="1">'Monthly Data'!N75</f>
        <v>25706093.351383086</v>
      </c>
      <c r="E75" s="269">
        <f t="shared" ca="1" si="10"/>
        <v>624.25501811594188</v>
      </c>
      <c r="F75" s="269">
        <f t="shared" ca="1" si="10"/>
        <v>0</v>
      </c>
      <c r="G75" s="269">
        <f>'Monthly Data'!BB75</f>
        <v>653.45416666666654</v>
      </c>
      <c r="H75" s="269">
        <f>'Monthly Data'!BI75</f>
        <v>0</v>
      </c>
      <c r="I75" s="24">
        <f>'Monthly Data'!CG75</f>
        <v>0.5</v>
      </c>
      <c r="J75" s="269">
        <f>'Monthly Data'!AL75</f>
        <v>808584</v>
      </c>
      <c r="K75" s="269">
        <f>'Monthly Data'!CD75</f>
        <v>28</v>
      </c>
      <c r="M75" s="18"/>
      <c r="N75" s="18">
        <f ca="1">(E75-G75)*'GS 50-999 Predicted Monthly'!$V$11</f>
        <v>-527244.91797738802</v>
      </c>
      <c r="O75" s="18">
        <f ca="1">(F75-H75)*'GS 50-999 Predicted Monthly'!$V$12</f>
        <v>0</v>
      </c>
      <c r="P75" s="18"/>
      <c r="Q75" s="18"/>
      <c r="R75" s="18"/>
      <c r="S75" s="18">
        <f t="shared" ca="1" si="11"/>
        <v>25178848.433405697</v>
      </c>
    </row>
    <row r="76" spans="1:19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 ca="1">'Monthly Data'!N76</f>
        <v>29786403.420041516</v>
      </c>
      <c r="E76" s="269">
        <f t="shared" ca="1" si="10"/>
        <v>546.13298913043491</v>
      </c>
      <c r="F76" s="269">
        <f t="shared" ca="1" si="10"/>
        <v>2.9583333333332896E-2</v>
      </c>
      <c r="G76" s="269">
        <f>'Monthly Data'!BB76</f>
        <v>492.59637681159415</v>
      </c>
      <c r="H76" s="269">
        <f>'Monthly Data'!BI76</f>
        <v>0.29583333333332895</v>
      </c>
      <c r="I76" s="24">
        <f>'Monthly Data'!CG76</f>
        <v>0.5</v>
      </c>
      <c r="J76" s="269">
        <f>'Monthly Data'!AL76</f>
        <v>808584</v>
      </c>
      <c r="K76" s="269">
        <f>'Monthly Data'!CD76</f>
        <v>31</v>
      </c>
      <c r="M76" s="18"/>
      <c r="N76" s="18">
        <f ca="1">(E76-G76)*'GS 50-999 Predicted Monthly'!$V$11</f>
        <v>966703.07772155514</v>
      </c>
      <c r="O76" s="18">
        <f ca="1">(F76-H76)*'GS 50-999 Predicted Monthly'!$V$12</f>
        <v>-7569.9114521062756</v>
      </c>
      <c r="P76" s="18"/>
      <c r="Q76" s="18"/>
      <c r="R76" s="18"/>
      <c r="S76" s="18">
        <f t="shared" ca="1" si="11"/>
        <v>30745536.586310964</v>
      </c>
    </row>
    <row r="77" spans="1:19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 ca="1">'Monthly Data'!N77</f>
        <v>23602654.788700633</v>
      </c>
      <c r="E77" s="269">
        <f t="shared" ca="1" si="10"/>
        <v>352.41399621212122</v>
      </c>
      <c r="F77" s="269">
        <f t="shared" ca="1" si="10"/>
        <v>5.6420833333333338</v>
      </c>
      <c r="G77" s="269">
        <f>'Monthly Data'!BB77</f>
        <v>319.79583333333329</v>
      </c>
      <c r="H77" s="269">
        <f>'Monthly Data'!BI77</f>
        <v>11.054166666666664</v>
      </c>
      <c r="I77" s="24">
        <f>'Monthly Data'!CG77</f>
        <v>0.5</v>
      </c>
      <c r="J77" s="269">
        <f>'Monthly Data'!AL77</f>
        <v>802518</v>
      </c>
      <c r="K77" s="269">
        <f>'Monthly Data'!CD77</f>
        <v>30</v>
      </c>
      <c r="M77" s="18"/>
      <c r="N77" s="18">
        <f ca="1">(E77-G77)*'GS 50-999 Predicted Monthly'!$V$11</f>
        <v>588981.57875130279</v>
      </c>
      <c r="O77" s="18">
        <f ca="1">(F77-H77)*'GS 50-999 Predicted Monthly'!$V$12</f>
        <v>-153874.14687231582</v>
      </c>
      <c r="P77" s="18"/>
      <c r="Q77" s="18"/>
      <c r="R77" s="18"/>
      <c r="S77" s="18">
        <f t="shared" ca="1" si="11"/>
        <v>24037762.22057962</v>
      </c>
    </row>
    <row r="78" spans="1:19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 ca="1">'Monthly Data'!N78</f>
        <v>23210470.667977381</v>
      </c>
      <c r="E78" s="269">
        <f t="shared" ca="1" si="10"/>
        <v>150.136897859768</v>
      </c>
      <c r="F78" s="269">
        <f t="shared" ca="1" si="10"/>
        <v>86.191046176046171</v>
      </c>
      <c r="G78" s="269">
        <f>'Monthly Data'!BB78</f>
        <v>173.64305555555555</v>
      </c>
      <c r="H78" s="269">
        <f>'Monthly Data'!BI78</f>
        <v>83.256944444444414</v>
      </c>
      <c r="I78" s="24">
        <f>'Monthly Data'!CG78</f>
        <v>0.5</v>
      </c>
      <c r="J78" s="269">
        <f>'Monthly Data'!AL78</f>
        <v>802518</v>
      </c>
      <c r="K78" s="269">
        <f>'Monthly Data'!CD78</f>
        <v>31</v>
      </c>
      <c r="M78" s="18"/>
      <c r="N78" s="18">
        <f ca="1">(E78-G78)*'GS 50-999 Predicted Monthly'!$V$11</f>
        <v>-424447.38293478341</v>
      </c>
      <c r="O78" s="18">
        <f ca="1">(F78-H78)*'GS 50-999 Predicted Monthly'!$V$12</f>
        <v>83421.184224215307</v>
      </c>
      <c r="P78" s="18"/>
      <c r="Q78" s="18"/>
      <c r="R78" s="18"/>
      <c r="S78" s="18">
        <f t="shared" ca="1" si="11"/>
        <v>22869444.469266813</v>
      </c>
    </row>
    <row r="79" spans="1:19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 ca="1">'Monthly Data'!N79</f>
        <v>25279139.756389167</v>
      </c>
      <c r="E79" s="269">
        <f t="shared" ca="1" si="10"/>
        <v>32.520923826173821</v>
      </c>
      <c r="F79" s="269">
        <f t="shared" ca="1" si="10"/>
        <v>194.94285087738348</v>
      </c>
      <c r="G79" s="269">
        <f>'Monthly Data'!BB79</f>
        <v>14.254166666666677</v>
      </c>
      <c r="H79" s="269">
        <f>'Monthly Data'!BI79</f>
        <v>241.67500000000001</v>
      </c>
      <c r="I79" s="24">
        <f>'Monthly Data'!CG79</f>
        <v>0.5</v>
      </c>
      <c r="J79" s="269">
        <f>'Monthly Data'!AL79</f>
        <v>802518</v>
      </c>
      <c r="K79" s="269">
        <f>'Monthly Data'!CD79</f>
        <v>30</v>
      </c>
      <c r="M79" s="18"/>
      <c r="N79" s="18">
        <f ca="1">(E79-G79)*'GS 50-999 Predicted Monthly'!$V$11</f>
        <v>329840.26447025244</v>
      </c>
      <c r="O79" s="18">
        <f ca="1">(F79-H79)*'GS 50-999 Predicted Monthly'!$V$12</f>
        <v>-1328669.4115486888</v>
      </c>
      <c r="P79" s="18"/>
      <c r="Q79" s="18"/>
      <c r="R79" s="18"/>
      <c r="S79" s="18">
        <f t="shared" ca="1" si="11"/>
        <v>24280310.609310731</v>
      </c>
    </row>
    <row r="80" spans="1:19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 ca="1">'Monthly Data'!N80</f>
        <v>26273466.379551142</v>
      </c>
      <c r="E80" s="269">
        <f t="shared" ca="1" si="10"/>
        <v>1.6179166666666653</v>
      </c>
      <c r="F80" s="269">
        <f t="shared" ca="1" si="10"/>
        <v>297.94737858727848</v>
      </c>
      <c r="G80" s="269">
        <f>'Monthly Data'!BB80</f>
        <v>5.3541666666666572</v>
      </c>
      <c r="H80" s="269">
        <f>'Monthly Data'!BI80</f>
        <v>254.87499999999994</v>
      </c>
      <c r="I80" s="24">
        <f>'Monthly Data'!CG80</f>
        <v>0.5</v>
      </c>
      <c r="J80" s="269">
        <f>'Monthly Data'!AL80</f>
        <v>819564</v>
      </c>
      <c r="K80" s="269">
        <f>'Monthly Data'!CD80</f>
        <v>31</v>
      </c>
      <c r="M80" s="18"/>
      <c r="N80" s="18">
        <f ca="1">(E80-G80)*'GS 50-999 Predicted Monthly'!$V$11</f>
        <v>-67464.940676981583</v>
      </c>
      <c r="O80" s="18">
        <f ca="1">(F80-H80)*'GS 50-999 Predicted Monthly'!$V$12</f>
        <v>1224616.3077457342</v>
      </c>
      <c r="P80" s="18"/>
      <c r="Q80" s="18"/>
      <c r="R80" s="18"/>
      <c r="S80" s="18">
        <f t="shared" ca="1" si="11"/>
        <v>27430617.746619895</v>
      </c>
    </row>
    <row r="81" spans="1:19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 ca="1">'Monthly Data'!N81</f>
        <v>29378242.468364421</v>
      </c>
      <c r="E81" s="269">
        <f t="shared" ca="1" si="10"/>
        <v>5.6499999999999977</v>
      </c>
      <c r="F81" s="269">
        <f t="shared" ca="1" si="10"/>
        <v>272.96558794466404</v>
      </c>
      <c r="G81" s="269">
        <f>'Monthly Data'!BB81</f>
        <v>0.69166666666666643</v>
      </c>
      <c r="H81" s="269">
        <f>'Monthly Data'!BI81</f>
        <v>328.06249999999989</v>
      </c>
      <c r="I81" s="24">
        <f>'Monthly Data'!CG81</f>
        <v>0.5</v>
      </c>
      <c r="J81" s="269">
        <f>'Monthly Data'!AL81</f>
        <v>819564</v>
      </c>
      <c r="K81" s="269">
        <f>'Monthly Data'!CD81</f>
        <v>31</v>
      </c>
      <c r="M81" s="18"/>
      <c r="N81" s="18">
        <f ca="1">(E81-G81)*'GS 50-999 Predicted Monthly'!$V$11</f>
        <v>89531.927518242694</v>
      </c>
      <c r="O81" s="18">
        <f ca="1">(F81-H81)*'GS 50-999 Predicted Monthly'!$V$12</f>
        <v>-1566492.9410080202</v>
      </c>
      <c r="P81" s="18"/>
      <c r="Q81" s="18"/>
      <c r="R81" s="18"/>
      <c r="S81" s="18">
        <f t="shared" ca="1" si="11"/>
        <v>27901281.454874642</v>
      </c>
    </row>
    <row r="82" spans="1:19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 ca="1">'Monthly Data'!N82</f>
        <v>22144788.873658702</v>
      </c>
      <c r="E82" s="269">
        <f t="shared" ref="E82:F97" ca="1" si="12">E70</f>
        <v>54.959440993788824</v>
      </c>
      <c r="F82" s="269">
        <f t="shared" ca="1" si="12"/>
        <v>158.67014233954447</v>
      </c>
      <c r="G82" s="269">
        <f>'Monthly Data'!BB82</f>
        <v>45.679166666666674</v>
      </c>
      <c r="H82" s="269">
        <f>'Monthly Data'!BI82</f>
        <v>149.55833333333328</v>
      </c>
      <c r="I82" s="24">
        <f>'Monthly Data'!CG82</f>
        <v>0.5</v>
      </c>
      <c r="J82" s="269">
        <f>'Monthly Data'!AL82</f>
        <v>819564</v>
      </c>
      <c r="K82" s="269">
        <f>'Monthly Data'!CD82</f>
        <v>30</v>
      </c>
      <c r="M82" s="18"/>
      <c r="N82" s="18">
        <f ca="1">(E82-G82)*'GS 50-999 Predicted Monthly'!$V$11</f>
        <v>167572.60808174303</v>
      </c>
      <c r="O82" s="18">
        <f ca="1">(F82-H82)*'GS 50-999 Predicted Monthly'!$V$12</f>
        <v>259063.23885642894</v>
      </c>
      <c r="P82" s="18"/>
      <c r="Q82" s="18"/>
      <c r="R82" s="18"/>
      <c r="S82" s="18">
        <f t="shared" ca="1" si="11"/>
        <v>22571424.720596872</v>
      </c>
    </row>
    <row r="83" spans="1:19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 ca="1">'Monthly Data'!N83</f>
        <v>26549272.757541277</v>
      </c>
      <c r="E83" s="269">
        <f t="shared" ca="1" si="12"/>
        <v>237.89681159420289</v>
      </c>
      <c r="F83" s="269">
        <f t="shared" ca="1" si="12"/>
        <v>35.32833333333334</v>
      </c>
      <c r="G83" s="269">
        <f>'Monthly Data'!BB83</f>
        <v>153.47499999999997</v>
      </c>
      <c r="H83" s="269">
        <f>'Monthly Data'!BI83</f>
        <v>77.979166666666686</v>
      </c>
      <c r="I83" s="24">
        <f>'Monthly Data'!CG83</f>
        <v>0.5</v>
      </c>
      <c r="J83" s="269">
        <f>'Monthly Data'!AL83</f>
        <v>838397</v>
      </c>
      <c r="K83" s="269">
        <f>'Monthly Data'!CD83</f>
        <v>31</v>
      </c>
      <c r="M83" s="18"/>
      <c r="N83" s="18">
        <f ca="1">(E83-G83)*'GS 50-999 Predicted Monthly'!$V$11</f>
        <v>1524392.7764593451</v>
      </c>
      <c r="O83" s="18">
        <f ca="1">(F83-H83)*'GS 50-999 Predicted Monthly'!$V$12</f>
        <v>-1212631.1049460319</v>
      </c>
      <c r="P83" s="18"/>
      <c r="Q83" s="18"/>
      <c r="R83" s="18"/>
      <c r="S83" s="18">
        <f t="shared" ca="1" si="11"/>
        <v>26861034.429054588</v>
      </c>
    </row>
    <row r="84" spans="1:19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 ca="1">'Monthly Data'!N84</f>
        <v>26220542.418517999</v>
      </c>
      <c r="E84" s="269">
        <f t="shared" ca="1" si="12"/>
        <v>426.62991389045737</v>
      </c>
      <c r="F84" s="269">
        <f t="shared" ca="1" si="12"/>
        <v>2.2779166666666657</v>
      </c>
      <c r="G84" s="269">
        <f>'Monthly Data'!BB84</f>
        <v>446.3126035196687</v>
      </c>
      <c r="H84" s="269">
        <f>'Monthly Data'!BI84</f>
        <v>0</v>
      </c>
      <c r="I84" s="24">
        <f>'Monthly Data'!CG84</f>
        <v>0.5</v>
      </c>
      <c r="J84" s="269">
        <f>'Monthly Data'!AL84</f>
        <v>838397</v>
      </c>
      <c r="K84" s="269">
        <f>'Monthly Data'!CD84</f>
        <v>30</v>
      </c>
      <c r="M84" s="18"/>
      <c r="N84" s="18">
        <f ca="1">(E84-G84)*'GS 50-999 Predicted Monthly'!$V$11</f>
        <v>-355407.55789847719</v>
      </c>
      <c r="O84" s="18">
        <f ca="1">(F84-H84)*'GS 50-999 Predicted Monthly'!$V$12</f>
        <v>64764.797979132403</v>
      </c>
      <c r="P84" s="18"/>
      <c r="Q84" s="18"/>
      <c r="R84" s="18"/>
      <c r="S84" s="18">
        <f t="shared" ca="1" si="11"/>
        <v>25929899.658598654</v>
      </c>
    </row>
    <row r="85" spans="1:19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 ca="1">'Monthly Data'!N85</f>
        <v>31156263.187342376</v>
      </c>
      <c r="E85" s="269">
        <f t="shared" ca="1" si="12"/>
        <v>577.92800724637686</v>
      </c>
      <c r="F85" s="269">
        <f t="shared" ca="1" si="12"/>
        <v>0</v>
      </c>
      <c r="G85" s="269">
        <f>'Monthly Data'!BB85</f>
        <v>533.04583333333346</v>
      </c>
      <c r="H85" s="269">
        <f>'Monthly Data'!BI85</f>
        <v>0</v>
      </c>
      <c r="I85" s="24">
        <f>'Monthly Data'!CG85</f>
        <v>0.5</v>
      </c>
      <c r="J85" s="269">
        <f>'Monthly Data'!AL85</f>
        <v>838397</v>
      </c>
      <c r="K85" s="269">
        <f>'Monthly Data'!CD85</f>
        <v>31</v>
      </c>
      <c r="M85" s="18"/>
      <c r="N85" s="18">
        <f ca="1">(E85-G85)*'GS 50-999 Predicted Monthly'!$V$11</f>
        <v>810431.10083571763</v>
      </c>
      <c r="O85" s="18">
        <f ca="1">(F85-H85)*'GS 50-999 Predicted Monthly'!$V$12</f>
        <v>0</v>
      </c>
      <c r="P85" s="18"/>
      <c r="Q85" s="18"/>
      <c r="R85" s="18"/>
      <c r="S85" s="18">
        <f t="shared" ca="1" si="11"/>
        <v>31966694.288178094</v>
      </c>
    </row>
    <row r="86" spans="1:19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 ca="1">'Monthly Data'!N86</f>
        <v>35176801.96527338</v>
      </c>
      <c r="E86" s="269">
        <f t="shared" ca="1" si="12"/>
        <v>697.33418478260876</v>
      </c>
      <c r="F86" s="269">
        <f t="shared" ca="1" si="12"/>
        <v>0</v>
      </c>
      <c r="G86" s="269">
        <f>'Monthly Data'!BB86</f>
        <v>825.49166666666656</v>
      </c>
      <c r="H86" s="269">
        <f>'Monthly Data'!BI86</f>
        <v>0</v>
      </c>
      <c r="I86" s="24">
        <f>'Monthly Data'!CG86</f>
        <v>0.25</v>
      </c>
      <c r="J86" s="269">
        <f>'Monthly Data'!AL86</f>
        <v>845218</v>
      </c>
      <c r="K86" s="269">
        <f>'Monthly Data'!CD86</f>
        <v>31</v>
      </c>
      <c r="M86" s="18"/>
      <c r="N86" s="18">
        <f ca="1">(E86-G86)*'GS 50-999 Predicted Monthly'!$V$11</f>
        <v>-2314121.6226481954</v>
      </c>
      <c r="O86" s="18">
        <f ca="1">(F86-H86)*'GS 50-999 Predicted Monthly'!$V$12</f>
        <v>0</v>
      </c>
      <c r="P86" s="18"/>
      <c r="Q86" s="18"/>
      <c r="R86" s="18"/>
      <c r="S86" s="18">
        <f t="shared" ca="1" si="11"/>
        <v>32862680.342625186</v>
      </c>
    </row>
    <row r="87" spans="1:19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 ca="1">'Monthly Data'!N87</f>
        <v>33408771.139714204</v>
      </c>
      <c r="E87" s="269">
        <f t="shared" ca="1" si="12"/>
        <v>624.25501811594188</v>
      </c>
      <c r="F87" s="269">
        <f t="shared" ca="1" si="12"/>
        <v>0</v>
      </c>
      <c r="G87" s="269">
        <f>'Monthly Data'!BB87</f>
        <v>636.84999999999991</v>
      </c>
      <c r="H87" s="269">
        <f>'Monthly Data'!BI87</f>
        <v>0</v>
      </c>
      <c r="I87" s="24">
        <f>'Monthly Data'!CG87</f>
        <v>0.25</v>
      </c>
      <c r="J87" s="269">
        <f>'Monthly Data'!AL87</f>
        <v>845218</v>
      </c>
      <c r="K87" s="269">
        <f>'Monthly Data'!CD87</f>
        <v>28</v>
      </c>
      <c r="M87" s="18"/>
      <c r="N87" s="18">
        <f ca="1">(E87-G87)*'GS 50-999 Predicted Monthly'!$V$11</f>
        <v>-227425.81616209689</v>
      </c>
      <c r="O87" s="18">
        <f ca="1">(F87-H87)*'GS 50-999 Predicted Monthly'!$V$12</f>
        <v>0</v>
      </c>
      <c r="P87" s="18"/>
      <c r="Q87" s="18"/>
      <c r="R87" s="18"/>
      <c r="S87" s="18">
        <f t="shared" ca="1" si="11"/>
        <v>33181345.323552106</v>
      </c>
    </row>
    <row r="88" spans="1:19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 ca="1">'Monthly Data'!N88</f>
        <v>30298393.215115838</v>
      </c>
      <c r="E88" s="269">
        <f t="shared" ca="1" si="12"/>
        <v>546.13298913043491</v>
      </c>
      <c r="F88" s="269">
        <f t="shared" ca="1" si="12"/>
        <v>2.9583333333332896E-2</v>
      </c>
      <c r="G88" s="269">
        <f>'Monthly Data'!BB88</f>
        <v>544.7208333333333</v>
      </c>
      <c r="H88" s="269">
        <f>'Monthly Data'!BI88</f>
        <v>0</v>
      </c>
      <c r="I88" s="24">
        <f>'Monthly Data'!CG88</f>
        <v>0.25</v>
      </c>
      <c r="J88" s="269">
        <f>'Monthly Data'!AL88</f>
        <v>845218</v>
      </c>
      <c r="K88" s="269">
        <f>'Monthly Data'!CD88</f>
        <v>31</v>
      </c>
      <c r="M88" s="18"/>
      <c r="N88" s="18">
        <f ca="1">(E88-G88)*'GS 50-999 Predicted Monthly'!$V$11</f>
        <v>25499.098582299255</v>
      </c>
      <c r="O88" s="18">
        <f ca="1">(F88-H88)*'GS 50-999 Predicted Monthly'!$V$12</f>
        <v>841.1012724562529</v>
      </c>
      <c r="P88" s="18"/>
      <c r="Q88" s="18"/>
      <c r="R88" s="18"/>
      <c r="S88" s="18">
        <f t="shared" ca="1" si="11"/>
        <v>30324733.414970592</v>
      </c>
    </row>
    <row r="89" spans="1:19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 ca="1">'Monthly Data'!N89</f>
        <v>27521169.928174544</v>
      </c>
      <c r="E89" s="269">
        <f t="shared" ca="1" si="12"/>
        <v>352.41399621212122</v>
      </c>
      <c r="F89" s="269">
        <f t="shared" ca="1" si="12"/>
        <v>5.6420833333333338</v>
      </c>
      <c r="G89" s="269">
        <f>'Monthly Data'!BB89</f>
        <v>354.33333333333331</v>
      </c>
      <c r="H89" s="269">
        <f>'Monthly Data'!BI89</f>
        <v>2.2541666666666629</v>
      </c>
      <c r="I89" s="24">
        <f>'Monthly Data'!CG89</f>
        <v>0.25</v>
      </c>
      <c r="J89" s="269">
        <f>'Monthly Data'!AL89</f>
        <v>851621</v>
      </c>
      <c r="K89" s="269">
        <f>'Monthly Data'!CD89</f>
        <v>30</v>
      </c>
      <c r="M89" s="18"/>
      <c r="N89" s="18">
        <f ca="1">(E89-G89)*'GS 50-999 Predicted Monthly'!$V$11</f>
        <v>-34657.200407280798</v>
      </c>
      <c r="O89" s="18">
        <f ca="1">(F89-H89)*'GS 50-999 Predicted Monthly'!$V$12</f>
        <v>96323.86544143525</v>
      </c>
      <c r="P89" s="18"/>
      <c r="Q89" s="18"/>
      <c r="R89" s="18"/>
      <c r="S89" s="18">
        <f t="shared" ca="1" si="11"/>
        <v>27582836.593208697</v>
      </c>
    </row>
    <row r="90" spans="1:19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 ca="1">'Monthly Data'!N90</f>
        <v>25761255.044132829</v>
      </c>
      <c r="E90" s="269">
        <f t="shared" ca="1" si="12"/>
        <v>150.136897859768</v>
      </c>
      <c r="F90" s="269">
        <f t="shared" ca="1" si="12"/>
        <v>86.191046176046171</v>
      </c>
      <c r="G90" s="269">
        <f>'Monthly Data'!BB90</f>
        <v>109.50833333333333</v>
      </c>
      <c r="H90" s="269">
        <f>'Monthly Data'!BI90</f>
        <v>109.43749999999997</v>
      </c>
      <c r="I90" s="24">
        <f>'Monthly Data'!CG90</f>
        <v>0.25</v>
      </c>
      <c r="J90" s="269">
        <f>'Monthly Data'!AL90</f>
        <v>851621</v>
      </c>
      <c r="K90" s="269">
        <f>'Monthly Data'!CD90</f>
        <v>31</v>
      </c>
      <c r="M90" s="18"/>
      <c r="N90" s="18">
        <f ca="1">(E90-G90)*'GS 50-999 Predicted Monthly'!$V$11</f>
        <v>733624.27449095738</v>
      </c>
      <c r="O90" s="18">
        <f ca="1">(F90-H90)*'GS 50-999 Predicted Monthly'!$V$12</f>
        <v>-660933.69773825433</v>
      </c>
      <c r="P90" s="18"/>
      <c r="Q90" s="18"/>
      <c r="R90" s="18"/>
      <c r="S90" s="18">
        <f t="shared" ca="1" si="11"/>
        <v>25833945.620885532</v>
      </c>
    </row>
    <row r="91" spans="1:19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 ca="1">'Monthly Data'!N91</f>
        <v>27040158.176146176</v>
      </c>
      <c r="E91" s="269">
        <f t="shared" ca="1" si="12"/>
        <v>32.520923826173821</v>
      </c>
      <c r="F91" s="269">
        <f t="shared" ca="1" si="12"/>
        <v>194.94285087738348</v>
      </c>
      <c r="G91" s="269">
        <f>'Monthly Data'!BB91</f>
        <v>36.166510989010987</v>
      </c>
      <c r="H91" s="269">
        <f>'Monthly Data'!BI91</f>
        <v>180.92250416250408</v>
      </c>
      <c r="I91" s="24">
        <f>'Monthly Data'!CG91</f>
        <v>0.25</v>
      </c>
      <c r="J91" s="269">
        <f>'Monthly Data'!AL91</f>
        <v>851621</v>
      </c>
      <c r="K91" s="269">
        <f>'Monthly Data'!CD91</f>
        <v>30</v>
      </c>
      <c r="M91" s="18"/>
      <c r="N91" s="18">
        <f ca="1">(E91-G91)*'GS 50-999 Predicted Monthly'!$V$11</f>
        <v>-65827.854579745894</v>
      </c>
      <c r="O91" s="18">
        <f ca="1">(F91-H91)*'GS 50-999 Predicted Monthly'!$V$12</f>
        <v>398620.78181959706</v>
      </c>
      <c r="P91" s="18"/>
      <c r="Q91" s="18"/>
      <c r="R91" s="18"/>
      <c r="S91" s="18">
        <f t="shared" ca="1" si="11"/>
        <v>27372951.103386026</v>
      </c>
    </row>
    <row r="92" spans="1:19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 ca="1">'Monthly Data'!N92</f>
        <v>30484938.389494199</v>
      </c>
      <c r="E92" s="269">
        <f t="shared" ca="1" si="12"/>
        <v>1.6179166666666653</v>
      </c>
      <c r="F92" s="269">
        <f t="shared" ca="1" si="12"/>
        <v>297.94737858727848</v>
      </c>
      <c r="G92" s="269">
        <f>'Monthly Data'!BB92</f>
        <v>0.62083333333333357</v>
      </c>
      <c r="H92" s="269">
        <f>'Monthly Data'!BI92</f>
        <v>283.8543382913806</v>
      </c>
      <c r="I92" s="24">
        <f>'Monthly Data'!CG92</f>
        <v>0.25</v>
      </c>
      <c r="J92" s="269">
        <f>'Monthly Data'!AL92</f>
        <v>852979</v>
      </c>
      <c r="K92" s="269">
        <f>'Monthly Data'!CD92</f>
        <v>31</v>
      </c>
      <c r="M92" s="18"/>
      <c r="N92" s="18">
        <f ca="1">(E92-G92)*'GS 50-999 Predicted Monthly'!$V$11</f>
        <v>18004.193491693655</v>
      </c>
      <c r="O92" s="18">
        <f ca="1">(F92-H92)*'GS 50-999 Predicted Monthly'!$V$12</f>
        <v>400687.57607855083</v>
      </c>
      <c r="P92" s="18"/>
      <c r="Q92" s="18"/>
      <c r="R92" s="18"/>
      <c r="S92" s="18">
        <f t="shared" ca="1" si="11"/>
        <v>30903630.159064442</v>
      </c>
    </row>
    <row r="93" spans="1:19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 ca="1">'Monthly Data'!N93</f>
        <v>28259452.094492789</v>
      </c>
      <c r="E93" s="269">
        <f t="shared" ca="1" si="12"/>
        <v>5.6499999999999977</v>
      </c>
      <c r="F93" s="269">
        <f t="shared" ca="1" si="12"/>
        <v>272.96558794466404</v>
      </c>
      <c r="G93" s="269">
        <f>'Monthly Data'!BB93</f>
        <v>0.76250000000000284</v>
      </c>
      <c r="H93" s="269">
        <f>'Monthly Data'!BI93</f>
        <v>290.28333333333336</v>
      </c>
      <c r="I93" s="24">
        <f>'Monthly Data'!CG93</f>
        <v>0.25</v>
      </c>
      <c r="J93" s="269">
        <f>'Monthly Data'!AL93</f>
        <v>852979</v>
      </c>
      <c r="K93" s="269">
        <f>'Monthly Data'!CD93</f>
        <v>31</v>
      </c>
      <c r="M93" s="18"/>
      <c r="N93" s="18">
        <f ca="1">(E93-G93)*'GS 50-999 Predicted Monthly'!$V$11</f>
        <v>88252.899982267743</v>
      </c>
      <c r="O93" s="18">
        <f ca="1">(F93-H93)*'GS 50-999 Predicted Monthly'!$V$12</f>
        <v>-492371.0765909878</v>
      </c>
      <c r="P93" s="18"/>
      <c r="Q93" s="18"/>
      <c r="R93" s="18"/>
      <c r="S93" s="18">
        <f t="shared" ca="1" si="11"/>
        <v>27855333.917884067</v>
      </c>
    </row>
    <row r="94" spans="1:19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 ca="1">'Monthly Data'!N94</f>
        <v>27495717.611174747</v>
      </c>
      <c r="E94" s="269">
        <f t="shared" ca="1" si="12"/>
        <v>54.959440993788824</v>
      </c>
      <c r="F94" s="269">
        <f t="shared" ca="1" si="12"/>
        <v>158.67014233954447</v>
      </c>
      <c r="G94" s="269">
        <f>'Monthly Data'!BB94</f>
        <v>71.412499999999994</v>
      </c>
      <c r="H94" s="269">
        <f>'Monthly Data'!BI94</f>
        <v>139.79166666666663</v>
      </c>
      <c r="I94" s="24">
        <f>'Monthly Data'!CG94</f>
        <v>0.25</v>
      </c>
      <c r="J94" s="269">
        <f>'Monthly Data'!AL94</f>
        <v>852979</v>
      </c>
      <c r="K94" s="269">
        <f>'Monthly Data'!CD94</f>
        <v>30</v>
      </c>
      <c r="M94" s="18"/>
      <c r="N94" s="18">
        <f ca="1">(E94-G94)*'GS 50-999 Predicted Monthly'!$V$11</f>
        <v>-297090.57204654842</v>
      </c>
      <c r="O94" s="18">
        <f ca="1">(F94-H94)*'GS 50-999 Predicted Monthly'!$V$12</f>
        <v>536745.12373494764</v>
      </c>
      <c r="P94" s="18"/>
      <c r="Q94" s="18"/>
      <c r="R94" s="18"/>
      <c r="S94" s="18">
        <f t="shared" ca="1" si="11"/>
        <v>27735372.162863147</v>
      </c>
    </row>
    <row r="95" spans="1:19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 ca="1">'Monthly Data'!N95</f>
        <v>26748748.465016764</v>
      </c>
      <c r="E95" s="269">
        <f t="shared" ca="1" si="12"/>
        <v>237.89681159420289</v>
      </c>
      <c r="F95" s="269">
        <f t="shared" ca="1" si="12"/>
        <v>35.32833333333334</v>
      </c>
      <c r="G95" s="269">
        <f>'Monthly Data'!BB95</f>
        <v>268.85561594202898</v>
      </c>
      <c r="H95" s="269">
        <f>'Monthly Data'!BI95</f>
        <v>11.604166666666668</v>
      </c>
      <c r="I95" s="24">
        <f>'Monthly Data'!CG95</f>
        <v>0.25</v>
      </c>
      <c r="J95" s="269">
        <f>'Monthly Data'!AL95</f>
        <v>852029</v>
      </c>
      <c r="K95" s="269">
        <f>'Monthly Data'!CD95</f>
        <v>31</v>
      </c>
      <c r="M95" s="18"/>
      <c r="N95" s="18">
        <f ca="1">(E95-G95)*'GS 50-999 Predicted Monthly'!$V$11</f>
        <v>-559018.77517734922</v>
      </c>
      <c r="O95" s="18">
        <f ca="1">(F95-H95)*'GS 50-999 Predicted Monthly'!$V$12</f>
        <v>674515.83452274441</v>
      </c>
      <c r="P95" s="18"/>
      <c r="Q95" s="18"/>
      <c r="R95" s="18"/>
      <c r="S95" s="18">
        <f t="shared" ca="1" si="11"/>
        <v>26864245.524362158</v>
      </c>
    </row>
    <row r="96" spans="1:19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 ca="1">'Monthly Data'!N96</f>
        <v>27275002.248175103</v>
      </c>
      <c r="E96" s="269">
        <f t="shared" ca="1" si="12"/>
        <v>426.62991389045737</v>
      </c>
      <c r="F96" s="269">
        <f t="shared" ca="1" si="12"/>
        <v>2.2779166666666657</v>
      </c>
      <c r="G96" s="269">
        <f>'Monthly Data'!BB96</f>
        <v>411.83333333333348</v>
      </c>
      <c r="H96" s="269">
        <f>'Monthly Data'!BI96</f>
        <v>6.5791666666666675</v>
      </c>
      <c r="I96" s="24">
        <f>'Monthly Data'!CG96</f>
        <v>0.25</v>
      </c>
      <c r="J96" s="269">
        <f>'Monthly Data'!AL96</f>
        <v>852029</v>
      </c>
      <c r="K96" s="269">
        <f>'Monthly Data'!CD96</f>
        <v>30</v>
      </c>
      <c r="M96" s="18"/>
      <c r="N96" s="18">
        <f ca="1">(E96-G96)*'GS 50-999 Predicted Monthly'!$V$11</f>
        <v>267179.77370586665</v>
      </c>
      <c r="O96" s="18">
        <f ca="1">(F96-H96)*'GS 50-999 Predicted Monthly'!$V$12</f>
        <v>-122291.38641642296</v>
      </c>
      <c r="P96" s="18"/>
      <c r="Q96" s="18"/>
      <c r="R96" s="18"/>
      <c r="S96" s="18">
        <f t="shared" ca="1" si="11"/>
        <v>27419890.635464545</v>
      </c>
    </row>
    <row r="97" spans="1:23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 ca="1">'Monthly Data'!N97</f>
        <v>33271813.999341901</v>
      </c>
      <c r="E97" s="269">
        <f t="shared" ca="1" si="12"/>
        <v>577.92800724637686</v>
      </c>
      <c r="F97" s="269">
        <f t="shared" ca="1" si="12"/>
        <v>0</v>
      </c>
      <c r="G97" s="269">
        <f>'Monthly Data'!BB97</f>
        <v>585.12083333333328</v>
      </c>
      <c r="H97" s="269">
        <f>'Monthly Data'!BI97</f>
        <v>0</v>
      </c>
      <c r="I97" s="24">
        <f>'Monthly Data'!CG97</f>
        <v>0.25</v>
      </c>
      <c r="J97" s="269">
        <f>'Monthly Data'!AL97</f>
        <v>852029</v>
      </c>
      <c r="K97" s="269">
        <f>'Monthly Data'!CD97</f>
        <v>31</v>
      </c>
      <c r="M97" s="18"/>
      <c r="N97" s="18">
        <f ca="1">(E97-G97)*'GS 50-999 Predicted Monthly'!$V$11</f>
        <v>-129879.84884747038</v>
      </c>
      <c r="O97" s="18">
        <f ca="1">(F97-H97)*'GS 50-999 Predicted Monthly'!$V$12</f>
        <v>0</v>
      </c>
      <c r="P97" s="18"/>
      <c r="Q97" s="18"/>
      <c r="R97" s="18"/>
      <c r="S97" s="18">
        <f t="shared" ca="1" si="11"/>
        <v>33141934.15049443</v>
      </c>
    </row>
    <row r="98" spans="1:23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 ca="1">'Monthly Data'!N98</f>
        <v>33661587.019219451</v>
      </c>
      <c r="E98" s="269">
        <f t="shared" ref="E98:F109" ca="1" si="13">E86</f>
        <v>697.33418478260876</v>
      </c>
      <c r="F98" s="269">
        <f t="shared" ca="1" si="13"/>
        <v>0</v>
      </c>
      <c r="G98" s="269">
        <f>'Monthly Data'!BB98</f>
        <v>604.07083333333344</v>
      </c>
      <c r="H98" s="269">
        <f>'Monthly Data'!BI98</f>
        <v>0</v>
      </c>
      <c r="I98" s="24">
        <f>'Monthly Data'!CG98</f>
        <v>0</v>
      </c>
      <c r="J98" s="269">
        <f>'Monthly Data'!AL98</f>
        <v>860658</v>
      </c>
      <c r="K98" s="269">
        <f>'Monthly Data'!CD98</f>
        <v>31</v>
      </c>
      <c r="M98" s="18"/>
      <c r="N98" s="18">
        <f ca="1">(E98-G98)*'GS 50-999 Predicted Monthly'!$V$11</f>
        <v>1684043.2178954452</v>
      </c>
      <c r="O98" s="18">
        <f ca="1">(F98-H98)*'GS 50-999 Predicted Monthly'!$V$12</f>
        <v>0</v>
      </c>
      <c r="P98" s="18"/>
      <c r="Q98" s="18"/>
      <c r="R98" s="18"/>
      <c r="S98" s="18">
        <f t="shared" ref="S98:S121" ca="1" si="14">D98+N98+O98</f>
        <v>35345630.237114899</v>
      </c>
    </row>
    <row r="99" spans="1:23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 ca="1">'Monthly Data'!N99</f>
        <v>29222997.72258636</v>
      </c>
      <c r="E99" s="269">
        <f t="shared" ca="1" si="13"/>
        <v>624.25501811594188</v>
      </c>
      <c r="F99" s="269">
        <f t="shared" ca="1" si="13"/>
        <v>0</v>
      </c>
      <c r="G99" s="269">
        <f>'Monthly Data'!BB99</f>
        <v>573.43333333333328</v>
      </c>
      <c r="H99" s="269">
        <f>'Monthly Data'!BI99</f>
        <v>0</v>
      </c>
      <c r="I99" s="24">
        <f>'Monthly Data'!CG99</f>
        <v>0</v>
      </c>
      <c r="J99" s="269">
        <f>'Monthly Data'!AL99</f>
        <v>860658</v>
      </c>
      <c r="K99" s="269">
        <f>'Monthly Data'!CD99</f>
        <v>28</v>
      </c>
      <c r="M99" s="18"/>
      <c r="N99" s="18">
        <f ca="1">(E99-G99)*'GS 50-999 Predicted Monthly'!$V$11</f>
        <v>917680.01310483878</v>
      </c>
      <c r="O99" s="18">
        <f ca="1">(F99-H99)*'GS 50-999 Predicted Monthly'!$V$12</f>
        <v>0</v>
      </c>
      <c r="P99" s="18"/>
      <c r="Q99" s="18"/>
      <c r="R99" s="18"/>
      <c r="S99" s="18">
        <f t="shared" ca="1" si="14"/>
        <v>30140677.735691197</v>
      </c>
    </row>
    <row r="100" spans="1:23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 ca="1">'Monthly Data'!N100</f>
        <v>28904938.26976084</v>
      </c>
      <c r="E100" s="269">
        <f t="shared" ca="1" si="13"/>
        <v>546.13298913043491</v>
      </c>
      <c r="F100" s="269">
        <f t="shared" ca="1" si="13"/>
        <v>2.9583333333332896E-2</v>
      </c>
      <c r="G100" s="269">
        <f>'Monthly Data'!BB100</f>
        <v>551.03333333333342</v>
      </c>
      <c r="H100" s="269">
        <f>'Monthly Data'!BI100</f>
        <v>0</v>
      </c>
      <c r="I100" s="24">
        <f>'Monthly Data'!CG100</f>
        <v>0</v>
      </c>
      <c r="J100" s="269">
        <f>'Monthly Data'!AL100</f>
        <v>860658</v>
      </c>
      <c r="K100" s="269">
        <f>'Monthly Data'!CD100</f>
        <v>31</v>
      </c>
      <c r="M100" s="18"/>
      <c r="N100" s="18">
        <f ca="1">(E100-G100)*'GS 50-999 Predicted Monthly'!$V$11</f>
        <v>-88484.825947230303</v>
      </c>
      <c r="O100" s="18">
        <f ca="1">(F100-H100)*'GS 50-999 Predicted Monthly'!$V$12</f>
        <v>841.1012724562529</v>
      </c>
      <c r="P100" s="18"/>
      <c r="Q100" s="18"/>
      <c r="R100" s="18"/>
      <c r="S100" s="18">
        <f t="shared" ca="1" si="14"/>
        <v>28817294.545086067</v>
      </c>
      <c r="V100" s="18"/>
      <c r="W100" s="276"/>
    </row>
    <row r="101" spans="1:23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 ca="1">'Monthly Data'!N101</f>
        <v>25571616.771525819</v>
      </c>
      <c r="E101" s="269">
        <f t="shared" ca="1" si="13"/>
        <v>352.41399621212122</v>
      </c>
      <c r="F101" s="269">
        <f t="shared" ca="1" si="13"/>
        <v>5.6420833333333338</v>
      </c>
      <c r="G101" s="269">
        <f>'Monthly Data'!BB101</f>
        <v>301.39999999999998</v>
      </c>
      <c r="H101" s="269">
        <f>'Monthly Data'!BI101</f>
        <v>22.716666666666676</v>
      </c>
      <c r="I101" s="24">
        <f>'Monthly Data'!CG101</f>
        <v>0</v>
      </c>
      <c r="J101" s="269">
        <f>'Monthly Data'!AL101</f>
        <v>865503</v>
      </c>
      <c r="K101" s="269">
        <f>'Monthly Data'!CD101</f>
        <v>30</v>
      </c>
      <c r="M101" s="18"/>
      <c r="N101" s="18">
        <f ca="1">(E101-G101)*'GS 50-999 Predicted Monthly'!$V$11</f>
        <v>921152.55353537109</v>
      </c>
      <c r="O101" s="18">
        <f ca="1">(F101-H101)*'GS 50-999 Predicted Monthly'!$V$12</f>
        <v>-485457.59216880728</v>
      </c>
      <c r="P101" s="18"/>
      <c r="Q101" s="18"/>
      <c r="R101" s="18"/>
      <c r="S101" s="18">
        <f t="shared" ca="1" si="14"/>
        <v>26007311.732892383</v>
      </c>
      <c r="V101" s="18"/>
      <c r="W101" s="276"/>
    </row>
    <row r="102" spans="1:23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 ca="1">'Monthly Data'!N102</f>
        <v>26149280.443362694</v>
      </c>
      <c r="E102" s="269">
        <f t="shared" ca="1" si="13"/>
        <v>150.136897859768</v>
      </c>
      <c r="F102" s="269">
        <f t="shared" ca="1" si="13"/>
        <v>86.191046176046171</v>
      </c>
      <c r="G102" s="269">
        <f>'Monthly Data'!BB102</f>
        <v>163.56416666666669</v>
      </c>
      <c r="H102" s="269">
        <f>'Monthly Data'!BI102</f>
        <v>68.049999999999983</v>
      </c>
      <c r="I102" s="24">
        <f>'Monthly Data'!CG102</f>
        <v>0</v>
      </c>
      <c r="J102" s="269">
        <f>'Monthly Data'!AL102</f>
        <v>865503</v>
      </c>
      <c r="K102" s="269">
        <f>'Monthly Data'!CD102</f>
        <v>31</v>
      </c>
      <c r="M102" s="18"/>
      <c r="N102" s="18">
        <f ca="1">(E102-G102)*'GS 50-999 Predicted Monthly'!$V$11</f>
        <v>-242454.30405120313</v>
      </c>
      <c r="O102" s="18">
        <f ca="1">(F102-H102)*'GS 50-999 Predicted Monthly'!$V$12</f>
        <v>515778.82892485574</v>
      </c>
      <c r="P102" s="18"/>
      <c r="Q102" s="18"/>
      <c r="R102" s="18"/>
      <c r="S102" s="18">
        <f t="shared" ca="1" si="14"/>
        <v>26422604.96823635</v>
      </c>
      <c r="V102" s="18"/>
      <c r="W102" s="276"/>
    </row>
    <row r="103" spans="1:23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 ca="1">'Monthly Data'!N103</f>
        <v>26011151.457731459</v>
      </c>
      <c r="E103" s="269">
        <f t="shared" ca="1" si="13"/>
        <v>32.520923826173821</v>
      </c>
      <c r="F103" s="269">
        <f t="shared" ca="1" si="13"/>
        <v>194.94285087738348</v>
      </c>
      <c r="G103" s="269">
        <f>'Monthly Data'!BB103</f>
        <v>21.441666666666659</v>
      </c>
      <c r="H103" s="269">
        <f>'Monthly Data'!BI103</f>
        <v>205.54166666666669</v>
      </c>
      <c r="I103" s="24">
        <f>'Monthly Data'!CG103</f>
        <v>0</v>
      </c>
      <c r="J103" s="269">
        <f>'Monthly Data'!AL103</f>
        <v>865503</v>
      </c>
      <c r="K103" s="269">
        <f>'Monthly Data'!CD103</f>
        <v>30</v>
      </c>
      <c r="M103" s="18"/>
      <c r="N103" s="18">
        <f ca="1">(E103-G103)*'GS 50-999 Predicted Monthly'!$V$11</f>
        <v>200056.58802574125</v>
      </c>
      <c r="O103" s="18">
        <f ca="1">(F103-H103)*'GS 50-999 Predicted Monthly'!$V$12</f>
        <v>-301341.20947252942</v>
      </c>
      <c r="P103" s="18"/>
      <c r="Q103" s="18"/>
      <c r="R103" s="18"/>
      <c r="S103" s="18">
        <f t="shared" ca="1" si="14"/>
        <v>25909866.836284671</v>
      </c>
      <c r="V103" s="18"/>
      <c r="W103" s="276"/>
    </row>
    <row r="104" spans="1:23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 ca="1">'Monthly Data'!N104</f>
        <v>29221325.233950596</v>
      </c>
      <c r="E104" s="269">
        <f t="shared" ca="1" si="13"/>
        <v>1.6179166666666653</v>
      </c>
      <c r="F104" s="269">
        <f t="shared" ca="1" si="13"/>
        <v>297.94737858727848</v>
      </c>
      <c r="G104" s="269">
        <f>'Monthly Data'!BB104</f>
        <v>0.12499999999999645</v>
      </c>
      <c r="H104" s="269">
        <f>'Monthly Data'!BI104</f>
        <v>285.78333333333342</v>
      </c>
      <c r="I104" s="24">
        <f>'Monthly Data'!CG104</f>
        <v>0</v>
      </c>
      <c r="J104" s="269">
        <f>'Monthly Data'!AL104</f>
        <v>867701</v>
      </c>
      <c r="K104" s="269">
        <f>'Monthly Data'!CD104</f>
        <v>31</v>
      </c>
      <c r="M104" s="18"/>
      <c r="N104" s="18">
        <f ca="1">(E104-G104)*'GS 50-999 Predicted Monthly'!$V$11</f>
        <v>26957.386243517998</v>
      </c>
      <c r="O104" s="18">
        <f ca="1">(F104-H104)*'GS 50-999 Predicted Monthly'!$V$12</f>
        <v>345843.1754808604</v>
      </c>
      <c r="P104" s="18"/>
      <c r="Q104" s="18"/>
      <c r="R104" s="18"/>
      <c r="S104" s="18">
        <f t="shared" ca="1" si="14"/>
        <v>29594125.795674976</v>
      </c>
      <c r="V104" s="18"/>
      <c r="W104" s="276"/>
    </row>
    <row r="105" spans="1:23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 ca="1">'Monthly Data'!N105</f>
        <v>27248513.558368277</v>
      </c>
      <c r="E105" s="269">
        <f t="shared" ca="1" si="13"/>
        <v>5.6499999999999977</v>
      </c>
      <c r="F105" s="269">
        <f t="shared" ca="1" si="13"/>
        <v>272.96558794466404</v>
      </c>
      <c r="G105" s="269">
        <f>'Monthly Data'!BB105</f>
        <v>9.274999999999995</v>
      </c>
      <c r="H105" s="269">
        <f>'Monthly Data'!BI105</f>
        <v>227.80489130434788</v>
      </c>
      <c r="I105" s="24">
        <f>'Monthly Data'!CG105</f>
        <v>0</v>
      </c>
      <c r="J105" s="269">
        <f>'Monthly Data'!AL105</f>
        <v>867701</v>
      </c>
      <c r="K105" s="269">
        <f>'Monthly Data'!CD105</f>
        <v>31</v>
      </c>
      <c r="M105" s="18"/>
      <c r="N105" s="18">
        <f ca="1">(E105-G105)*'GS 50-999 Predicted Monthly'!$V$11</f>
        <v>-65456.115076362286</v>
      </c>
      <c r="O105" s="18">
        <f ca="1">(F105-H105)*'GS 50-999 Predicted Monthly'!$V$12</f>
        <v>1283990.5152399316</v>
      </c>
      <c r="P105" s="18"/>
      <c r="Q105" s="18"/>
      <c r="R105" s="18"/>
      <c r="S105" s="18">
        <f t="shared" ca="1" si="14"/>
        <v>28467047.958531845</v>
      </c>
      <c r="V105" s="18"/>
      <c r="W105" s="276"/>
    </row>
    <row r="106" spans="1:23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 ca="1">'Monthly Data'!N106</f>
        <v>25834097.328989398</v>
      </c>
      <c r="E106" s="269">
        <f t="shared" ca="1" si="13"/>
        <v>54.959440993788824</v>
      </c>
      <c r="F106" s="269">
        <f t="shared" ca="1" si="13"/>
        <v>158.67014233954447</v>
      </c>
      <c r="G106" s="269">
        <f>'Monthly Data'!BB106</f>
        <v>47.591666666666676</v>
      </c>
      <c r="H106" s="269">
        <f>'Monthly Data'!BI106</f>
        <v>162.99166666666662</v>
      </c>
      <c r="I106" s="24">
        <f>'Monthly Data'!CG106</f>
        <v>0</v>
      </c>
      <c r="J106" s="269">
        <f>'Monthly Data'!AL106</f>
        <v>867701</v>
      </c>
      <c r="K106" s="269">
        <f>'Monthly Data'!CD106</f>
        <v>30</v>
      </c>
      <c r="M106" s="18"/>
      <c r="N106" s="18">
        <f ca="1">(E106-G106)*'GS 50-999 Predicted Monthly'!$V$11</f>
        <v>133038.8646104208</v>
      </c>
      <c r="O106" s="18">
        <f ca="1">(F106-H106)*'GS 50-999 Predicted Monthly'!$V$12</f>
        <v>-122867.81781948659</v>
      </c>
      <c r="P106" s="18"/>
      <c r="Q106" s="18"/>
      <c r="R106" s="18"/>
      <c r="S106" s="18">
        <f t="shared" ca="1" si="14"/>
        <v>25844268.375780333</v>
      </c>
      <c r="V106" s="18"/>
      <c r="W106" s="276"/>
    </row>
    <row r="107" spans="1:23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 ca="1">'Monthly Data'!N107</f>
        <v>25438509.770386744</v>
      </c>
      <c r="E107" s="269">
        <f t="shared" ca="1" si="13"/>
        <v>237.89681159420289</v>
      </c>
      <c r="F107" s="269">
        <f t="shared" ca="1" si="13"/>
        <v>35.32833333333334</v>
      </c>
      <c r="G107" s="269">
        <f>'Monthly Data'!BB107</f>
        <v>207.15416666666667</v>
      </c>
      <c r="H107" s="269">
        <f>'Monthly Data'!BI107</f>
        <v>54.625</v>
      </c>
      <c r="I107" s="24">
        <f>'Monthly Data'!CG107</f>
        <v>0</v>
      </c>
      <c r="J107" s="269">
        <f>'Monthly Data'!AL107</f>
        <v>869576</v>
      </c>
      <c r="K107" s="269">
        <f>'Monthly Data'!CD107</f>
        <v>31</v>
      </c>
      <c r="M107" s="18"/>
      <c r="N107" s="18">
        <f ca="1">(E107-G107)*'GS 50-999 Predicted Monthly'!$V$11</f>
        <v>555115.61493201589</v>
      </c>
      <c r="O107" s="18">
        <f ca="1">(F107-H107)*'GS 50-999 Predicted Monthly'!$V$12</f>
        <v>-548634.95957738801</v>
      </c>
      <c r="P107" s="18"/>
      <c r="Q107" s="18"/>
      <c r="R107" s="18"/>
      <c r="S107" s="18">
        <f t="shared" ca="1" si="14"/>
        <v>25444990.425741371</v>
      </c>
      <c r="V107" s="18"/>
      <c r="W107" s="276"/>
    </row>
    <row r="108" spans="1:23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 ca="1">'Monthly Data'!N108</f>
        <v>27643217.62062512</v>
      </c>
      <c r="E108" s="269">
        <f t="shared" ca="1" si="13"/>
        <v>426.62991389045737</v>
      </c>
      <c r="F108" s="269">
        <f t="shared" ca="1" si="13"/>
        <v>2.2779166666666657</v>
      </c>
      <c r="G108" s="269">
        <f>'Monthly Data'!BB108</f>
        <v>450.59311594202899</v>
      </c>
      <c r="H108" s="269">
        <f>'Monthly Data'!BI108</f>
        <v>0</v>
      </c>
      <c r="I108" s="24">
        <f>'Monthly Data'!CG108</f>
        <v>0</v>
      </c>
      <c r="J108" s="269">
        <f>'Monthly Data'!AL108</f>
        <v>869576</v>
      </c>
      <c r="K108" s="269">
        <f>'Monthly Data'!CD108</f>
        <v>30</v>
      </c>
      <c r="M108" s="18"/>
      <c r="N108" s="18">
        <f ca="1">(E108-G108)*'GS 50-999 Predicted Monthly'!$V$11</f>
        <v>-432700.16857539129</v>
      </c>
      <c r="O108" s="18">
        <f ca="1">(F108-H108)*'GS 50-999 Predicted Monthly'!$V$12</f>
        <v>64764.797979132403</v>
      </c>
      <c r="P108" s="18"/>
      <c r="Q108" s="18"/>
      <c r="R108" s="18"/>
      <c r="S108" s="18">
        <f t="shared" ca="1" si="14"/>
        <v>27275282.25002886</v>
      </c>
      <c r="V108" s="18"/>
      <c r="W108" s="276"/>
    </row>
    <row r="109" spans="1:23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 ca="1">'Monthly Data'!N109</f>
        <v>28937646.579592828</v>
      </c>
      <c r="E109" s="269">
        <f t="shared" ca="1" si="13"/>
        <v>577.92800724637686</v>
      </c>
      <c r="F109" s="269">
        <f t="shared" ca="1" si="13"/>
        <v>0</v>
      </c>
      <c r="G109" s="269">
        <f>'Monthly Data'!BB109</f>
        <v>489.67916666666667</v>
      </c>
      <c r="H109" s="269">
        <f>'Monthly Data'!BI109</f>
        <v>0</v>
      </c>
      <c r="I109" s="24">
        <f>'Monthly Data'!CG109</f>
        <v>0</v>
      </c>
      <c r="J109" s="269">
        <f>'Monthly Data'!AL109</f>
        <v>869576</v>
      </c>
      <c r="K109" s="269">
        <f>'Monthly Data'!CD109</f>
        <v>31</v>
      </c>
      <c r="M109" s="18"/>
      <c r="N109" s="18">
        <f ca="1">(E109-G109)*'GS 50-999 Predicted Monthly'!$V$11</f>
        <v>1593496.9005078797</v>
      </c>
      <c r="O109" s="18">
        <f ca="1">(F109-H109)*'GS 50-999 Predicted Monthly'!$V$12</f>
        <v>0</v>
      </c>
      <c r="P109" s="18"/>
      <c r="Q109" s="18"/>
      <c r="R109" s="18"/>
      <c r="S109" s="18">
        <f t="shared" ca="1" si="14"/>
        <v>30531143.480100706</v>
      </c>
      <c r="U109" s="259"/>
      <c r="V109" s="18"/>
      <c r="W109" s="276"/>
    </row>
    <row r="110" spans="1:23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 ca="1">'Monthly Data'!N110</f>
        <v>32762071.883867092</v>
      </c>
      <c r="E110" s="269">
        <f t="shared" ref="E110:F121" ca="1" si="15">E98</f>
        <v>697.33418478260876</v>
      </c>
      <c r="F110" s="269">
        <f t="shared" ca="1" si="15"/>
        <v>0</v>
      </c>
      <c r="G110" s="269">
        <f>'Monthly Data'!BB110</f>
        <v>636.99583333333339</v>
      </c>
      <c r="H110" s="269">
        <f>'Monthly Data'!BI110</f>
        <v>0</v>
      </c>
      <c r="I110" s="24">
        <f>'Monthly Data'!CG110</f>
        <v>0</v>
      </c>
      <c r="J110" s="269">
        <f>'Monthly Data'!AL110</f>
        <v>874402</v>
      </c>
      <c r="K110" s="269">
        <f>'Monthly Data'!CD110</f>
        <v>31</v>
      </c>
      <c r="M110" s="18"/>
      <c r="N110" s="18">
        <f ca="1">(E110-G110)*'GS 50-999 Predicted Monthly'!$V$11</f>
        <v>1089521.124408762</v>
      </c>
      <c r="O110" s="18">
        <f ca="1">(F110-H110)*'GS 50-999 Predicted Monthly'!$V$12</f>
        <v>0</v>
      </c>
      <c r="P110" s="18"/>
      <c r="Q110" s="18"/>
      <c r="R110" s="18"/>
      <c r="S110" s="18">
        <f t="shared" ca="1" si="14"/>
        <v>33851593.008275852</v>
      </c>
      <c r="U110" s="259"/>
      <c r="V110" s="18"/>
      <c r="W110" s="276"/>
    </row>
    <row r="111" spans="1:23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 ca="1">'Monthly Data'!N111</f>
        <v>28308241.473781988</v>
      </c>
      <c r="E111" s="269">
        <f t="shared" ca="1" si="15"/>
        <v>624.25501811594188</v>
      </c>
      <c r="F111" s="269">
        <f t="shared" ca="1" si="15"/>
        <v>0</v>
      </c>
      <c r="G111" s="269">
        <f>'Monthly Data'!BB111</f>
        <v>542.96666666666658</v>
      </c>
      <c r="H111" s="269">
        <f>'Monthly Data'!BI111</f>
        <v>0</v>
      </c>
      <c r="I111" s="24">
        <f>'Monthly Data'!CG111</f>
        <v>0</v>
      </c>
      <c r="J111" s="269">
        <f>'Monthly Data'!AL111</f>
        <v>874402</v>
      </c>
      <c r="K111" s="269">
        <f>'Monthly Data'!CD111</f>
        <v>29</v>
      </c>
      <c r="M111" s="18"/>
      <c r="N111" s="18">
        <f ca="1">(E111-G111)*'GS 50-999 Predicted Monthly'!$V$11</f>
        <v>1467812.3274018064</v>
      </c>
      <c r="O111" s="18">
        <f ca="1">(F111-H111)*'GS 50-999 Predicted Monthly'!$V$12</f>
        <v>0</v>
      </c>
      <c r="P111" s="18"/>
      <c r="Q111" s="18"/>
      <c r="R111" s="18"/>
      <c r="S111" s="18">
        <f t="shared" ca="1" si="14"/>
        <v>29776053.801183794</v>
      </c>
      <c r="U111" s="259"/>
      <c r="V111" s="18"/>
      <c r="W111" s="276"/>
    </row>
    <row r="112" spans="1:23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 ca="1">'Monthly Data'!N112</f>
        <v>27974502.183322255</v>
      </c>
      <c r="E112" s="269">
        <f t="shared" ca="1" si="15"/>
        <v>546.13298913043491</v>
      </c>
      <c r="F112" s="269">
        <f t="shared" ca="1" si="15"/>
        <v>2.9583333333332896E-2</v>
      </c>
      <c r="G112" s="269">
        <f>'Monthly Data'!BB112</f>
        <v>460.11250000000001</v>
      </c>
      <c r="H112" s="269">
        <f>'Monthly Data'!BI112</f>
        <v>0</v>
      </c>
      <c r="I112" s="24">
        <f>'Monthly Data'!CG112</f>
        <v>0</v>
      </c>
      <c r="J112" s="269">
        <f>'Monthly Data'!AL112</f>
        <v>874402</v>
      </c>
      <c r="K112" s="269">
        <f>'Monthly Data'!CD112</f>
        <v>31</v>
      </c>
      <c r="M112" s="18"/>
      <c r="N112" s="18">
        <f ca="1">(E112-G112)*'GS 50-999 Predicted Monthly'!$V$11</f>
        <v>1553259.8718473716</v>
      </c>
      <c r="O112" s="18">
        <f ca="1">(F112-H112)*'GS 50-999 Predicted Monthly'!$V$12</f>
        <v>841.1012724562529</v>
      </c>
      <c r="P112" s="18"/>
      <c r="Q112" s="18"/>
      <c r="R112" s="18"/>
      <c r="S112" s="18">
        <f t="shared" ca="1" si="14"/>
        <v>29528603.156442083</v>
      </c>
      <c r="U112" s="259"/>
    </row>
    <row r="113" spans="1:22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 ca="1">'Monthly Data'!N113</f>
        <v>23880897.692670103</v>
      </c>
      <c r="E113" s="269">
        <f t="shared" ca="1" si="15"/>
        <v>352.41399621212122</v>
      </c>
      <c r="F113" s="269">
        <f t="shared" ca="1" si="15"/>
        <v>5.6420833333333338</v>
      </c>
      <c r="G113" s="269">
        <f>'Monthly Data'!BB113</f>
        <v>308.29791666666665</v>
      </c>
      <c r="H113" s="269">
        <f>'Monthly Data'!BI113</f>
        <v>2.3833333333333346</v>
      </c>
      <c r="I113" s="24">
        <f>'Monthly Data'!CG113</f>
        <v>0</v>
      </c>
      <c r="J113" s="269">
        <f>'Monthly Data'!AL113</f>
        <v>877135</v>
      </c>
      <c r="K113" s="269">
        <f>'Monthly Data'!CD113</f>
        <v>30</v>
      </c>
      <c r="M113" s="18"/>
      <c r="N113" s="18">
        <f ca="1">(E113-G113)*'GS 50-999 Predicted Monthly'!$V$11</f>
        <v>796597.84260558034</v>
      </c>
      <c r="O113" s="18">
        <f ca="1">(F113-H113)*'GS 50-999 Predicted Monthly'!$V$12</f>
        <v>92651.451434935909</v>
      </c>
      <c r="P113" s="18"/>
      <c r="Q113" s="18"/>
      <c r="R113" s="18"/>
      <c r="S113" s="18">
        <f t="shared" ca="1" si="14"/>
        <v>24770146.986710619</v>
      </c>
      <c r="U113" s="259"/>
      <c r="V113" s="18"/>
    </row>
    <row r="114" spans="1:22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 ca="1">'Monthly Data'!N114</f>
        <v>25683253.31217394</v>
      </c>
      <c r="E114" s="269">
        <f t="shared" ca="1" si="15"/>
        <v>150.136897859768</v>
      </c>
      <c r="F114" s="269">
        <f t="shared" ca="1" si="15"/>
        <v>86.191046176046171</v>
      </c>
      <c r="G114" s="269">
        <f>'Monthly Data'!BB114</f>
        <v>89.52916666666664</v>
      </c>
      <c r="H114" s="269">
        <f>'Monthly Data'!BI114</f>
        <v>110.05000000000001</v>
      </c>
      <c r="I114" s="24">
        <f>'Monthly Data'!CG114</f>
        <v>0</v>
      </c>
      <c r="J114" s="269">
        <f>'Monthly Data'!AL114</f>
        <v>877135</v>
      </c>
      <c r="K114" s="269">
        <f>'Monthly Data'!CD114</f>
        <v>31</v>
      </c>
      <c r="M114" s="18"/>
      <c r="N114" s="18">
        <f ca="1">(E114-G114)*'GS 50-999 Predicted Monthly'!$V$11</f>
        <v>1094385.2765497593</v>
      </c>
      <c r="O114" s="18">
        <f ca="1">(F114-H114)*'GS 50-999 Predicted Monthly'!$V$12</f>
        <v>-678348.04802713869</v>
      </c>
      <c r="P114" s="18"/>
      <c r="Q114" s="18"/>
      <c r="R114" s="18"/>
      <c r="S114" s="18">
        <f t="shared" ca="1" si="14"/>
        <v>26099290.540696561</v>
      </c>
      <c r="U114" s="259"/>
      <c r="V114" s="18"/>
    </row>
    <row r="115" spans="1:22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 ca="1">'Monthly Data'!N115</f>
        <v>27231708.21783587</v>
      </c>
      <c r="E115" s="269">
        <f t="shared" ca="1" si="15"/>
        <v>32.520923826173821</v>
      </c>
      <c r="F115" s="269">
        <f t="shared" ca="1" si="15"/>
        <v>194.94285087738348</v>
      </c>
      <c r="G115" s="269">
        <f>'Monthly Data'!BB115</f>
        <v>31.570833333333319</v>
      </c>
      <c r="H115" s="269">
        <f>'Monthly Data'!BI115</f>
        <v>204.15416666666667</v>
      </c>
      <c r="I115" s="24">
        <f>'Monthly Data'!CG115</f>
        <v>0</v>
      </c>
      <c r="J115" s="269">
        <f>'Monthly Data'!AL115</f>
        <v>877135</v>
      </c>
      <c r="K115" s="269">
        <f>'Monthly Data'!CD115</f>
        <v>30</v>
      </c>
      <c r="M115" s="18"/>
      <c r="N115" s="18">
        <f ca="1">(E115-G115)*'GS 50-999 Predicted Monthly'!$V$11</f>
        <v>17155.65038133123</v>
      </c>
      <c r="O115" s="18">
        <f ca="1">(F115-H115)*'GS 50-999 Predicted Monthly'!$V$12</f>
        <v>-261892.37514465061</v>
      </c>
      <c r="P115" s="18"/>
      <c r="Q115" s="18"/>
      <c r="R115" s="18"/>
      <c r="S115" s="18">
        <f t="shared" ca="1" si="14"/>
        <v>26986971.493072551</v>
      </c>
      <c r="U115" s="259"/>
      <c r="V115" s="18"/>
    </row>
    <row r="116" spans="1:22" x14ac:dyDescent="0.25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 ca="1">'Monthly Data'!N116</f>
        <v>29591654.186304532</v>
      </c>
      <c r="E116" s="269">
        <f t="shared" ca="1" si="15"/>
        <v>1.6179166666666653</v>
      </c>
      <c r="F116" s="269">
        <f t="shared" ca="1" si="15"/>
        <v>297.94737858727848</v>
      </c>
      <c r="G116" s="269">
        <f>'Monthly Data'!BB116</f>
        <v>0.32916666666666927</v>
      </c>
      <c r="H116" s="269">
        <f>'Monthly Data'!BI116</f>
        <v>303.14166666666665</v>
      </c>
      <c r="I116" s="24">
        <f>'Monthly Data'!CG116</f>
        <v>0</v>
      </c>
      <c r="J116" s="269">
        <f>'Monthly Data'!AL116</f>
        <v>877865</v>
      </c>
      <c r="K116" s="269">
        <f>'Monthly Data'!CD116</f>
        <v>31</v>
      </c>
      <c r="M116" s="18"/>
      <c r="N116" s="18">
        <f ca="1">(E116-G116)*'GS 50-999 Predicted Monthly'!$V$11</f>
        <v>23270.777463354952</v>
      </c>
      <c r="O116" s="18">
        <f ca="1">(F116-H116)*'GS 50-999 Predicted Monthly'!$V$12</f>
        <v>-147681.88100544686</v>
      </c>
      <c r="P116" s="18"/>
      <c r="Q116" s="18"/>
      <c r="R116" s="18"/>
      <c r="S116" s="18">
        <f t="shared" ca="1" si="14"/>
        <v>29467243.082762439</v>
      </c>
      <c r="U116" s="259"/>
      <c r="V116" s="18"/>
    </row>
    <row r="117" spans="1:22" x14ac:dyDescent="0.25">
      <c r="A117" s="3">
        <v>45505</v>
      </c>
      <c r="B117" s="1">
        <f t="shared" si="16"/>
        <v>2024</v>
      </c>
      <c r="C117" s="1">
        <f t="shared" si="17"/>
        <v>8</v>
      </c>
      <c r="D117" s="259">
        <f ca="1">'Monthly Data'!N117</f>
        <v>24509168.77534771</v>
      </c>
      <c r="E117" s="269">
        <f t="shared" ca="1" si="15"/>
        <v>5.6499999999999977</v>
      </c>
      <c r="F117" s="269">
        <f t="shared" ca="1" si="15"/>
        <v>272.96558794466404</v>
      </c>
      <c r="G117" s="269">
        <f>'Monthly Data'!BB117</f>
        <v>8.2333333333333432</v>
      </c>
      <c r="H117" s="269">
        <f>'Monthly Data'!BI117</f>
        <v>262.86666666666667</v>
      </c>
      <c r="I117" s="24">
        <f>'Monthly Data'!CG117</f>
        <v>0</v>
      </c>
      <c r="J117" s="269">
        <f>'Monthly Data'!AL117</f>
        <v>877865</v>
      </c>
      <c r="K117" s="269">
        <f>'Monthly Data'!CD117</f>
        <v>31</v>
      </c>
      <c r="M117" s="18"/>
      <c r="N117" s="18">
        <f ca="1">(E117-G117)*'GS 50-999 Predicted Monthly'!$V$11</f>
        <v>-46646.886606143489</v>
      </c>
      <c r="O117" s="18">
        <f ca="1">(F117-H117)*'GS 50-999 Predicted Monthly'!$V$12</f>
        <v>287128.412530453</v>
      </c>
      <c r="P117" s="18"/>
      <c r="Q117" s="18"/>
      <c r="R117" s="18"/>
      <c r="S117" s="18">
        <f t="shared" ca="1" si="14"/>
        <v>24749650.30127202</v>
      </c>
      <c r="V117" s="18"/>
    </row>
    <row r="118" spans="1:22" x14ac:dyDescent="0.25">
      <c r="A118" s="3">
        <v>45536</v>
      </c>
      <c r="B118" s="1">
        <f t="shared" si="16"/>
        <v>2024</v>
      </c>
      <c r="C118" s="1">
        <f t="shared" si="17"/>
        <v>9</v>
      </c>
      <c r="D118" s="259">
        <f ca="1">'Monthly Data'!N118</f>
        <v>23905544.421330396</v>
      </c>
      <c r="E118" s="269">
        <f t="shared" ca="1" si="15"/>
        <v>54.959440993788824</v>
      </c>
      <c r="F118" s="269">
        <f t="shared" ca="1" si="15"/>
        <v>158.67014233954447</v>
      </c>
      <c r="G118" s="269">
        <f>'Monthly Data'!BB118</f>
        <v>29.36666666666666</v>
      </c>
      <c r="H118" s="269">
        <f>'Monthly Data'!BI118</f>
        <v>171.29999999999998</v>
      </c>
      <c r="I118" s="24">
        <f>'Monthly Data'!CG118</f>
        <v>0</v>
      </c>
      <c r="J118" s="269">
        <f>'Monthly Data'!AL118</f>
        <v>877865</v>
      </c>
      <c r="K118" s="269">
        <f>'Monthly Data'!CD118</f>
        <v>30</v>
      </c>
      <c r="M118" s="18"/>
      <c r="N118" s="18">
        <f ca="1">(E118-G118)*'GS 50-999 Predicted Monthly'!$V$11</f>
        <v>462125.12592537375</v>
      </c>
      <c r="O118" s="18">
        <f ca="1">(F118-H118)*'GS 50-999 Predicted Monthly'!$V$12</f>
        <v>-359086.96391495131</v>
      </c>
      <c r="P118" s="18"/>
      <c r="Q118" s="18"/>
      <c r="R118" s="18"/>
      <c r="S118" s="18">
        <f t="shared" ca="1" si="14"/>
        <v>24008582.583340816</v>
      </c>
      <c r="V118" s="18"/>
    </row>
    <row r="119" spans="1:22" x14ac:dyDescent="0.25">
      <c r="A119" s="3">
        <v>45566</v>
      </c>
      <c r="B119" s="1">
        <f t="shared" si="16"/>
        <v>2024</v>
      </c>
      <c r="C119" s="1">
        <f t="shared" si="17"/>
        <v>10</v>
      </c>
      <c r="D119" s="259">
        <f ca="1">'Monthly Data'!N119</f>
        <v>25133313.896704752</v>
      </c>
      <c r="E119" s="269">
        <f t="shared" ca="1" si="15"/>
        <v>237.89681159420289</v>
      </c>
      <c r="F119" s="269">
        <f t="shared" ca="1" si="15"/>
        <v>35.32833333333334</v>
      </c>
      <c r="G119" s="269">
        <f>'Monthly Data'!BB119</f>
        <v>233.94166666666658</v>
      </c>
      <c r="H119" s="269">
        <f>'Monthly Data'!BI119</f>
        <v>31.104166666666679</v>
      </c>
      <c r="I119" s="24">
        <f>'Monthly Data'!CG119</f>
        <v>0</v>
      </c>
      <c r="J119" s="269">
        <f>'Monthly Data'!AL119</f>
        <v>882184.85199999996</v>
      </c>
      <c r="K119" s="269">
        <f>'Monthly Data'!CD119</f>
        <v>31</v>
      </c>
      <c r="M119" s="18"/>
      <c r="N119" s="18">
        <f ca="1">(E119-G119)*'GS 50-999 Predicted Monthly'!$V$11</f>
        <v>71417.495591864121</v>
      </c>
      <c r="O119" s="18">
        <f ca="1">(F119-H119)*'GS 50-999 Predicted Monthly'!$V$12</f>
        <v>120099.78450931843</v>
      </c>
      <c r="P119" s="18"/>
      <c r="Q119" s="18"/>
      <c r="R119" s="18"/>
      <c r="S119" s="18">
        <f t="shared" ca="1" si="14"/>
        <v>25324831.176805936</v>
      </c>
      <c r="V119" s="18"/>
    </row>
    <row r="120" spans="1:22" x14ac:dyDescent="0.25">
      <c r="A120" s="3">
        <v>45597</v>
      </c>
      <c r="B120" s="1">
        <f t="shared" si="16"/>
        <v>2024</v>
      </c>
      <c r="C120" s="1">
        <f t="shared" si="17"/>
        <v>11</v>
      </c>
      <c r="D120" s="259">
        <f ca="1">'Monthly Data'!N120</f>
        <v>28104665.798465267</v>
      </c>
      <c r="E120" s="269">
        <f t="shared" ca="1" si="15"/>
        <v>426.62991389045737</v>
      </c>
      <c r="F120" s="269">
        <f t="shared" ca="1" si="15"/>
        <v>2.2779166666666657</v>
      </c>
      <c r="G120" s="269">
        <f>'Monthly Data'!BB120</f>
        <v>366.29166666666663</v>
      </c>
      <c r="H120" s="269">
        <f>'Monthly Data'!BI120</f>
        <v>9.5041666666666629</v>
      </c>
      <c r="I120" s="24">
        <f>'Monthly Data'!CG120</f>
        <v>0</v>
      </c>
      <c r="J120" s="269">
        <f>'Monthly Data'!AL120</f>
        <v>882184.85199999996</v>
      </c>
      <c r="K120" s="269">
        <f>'Monthly Data'!CD120</f>
        <v>30</v>
      </c>
      <c r="M120" s="18"/>
      <c r="N120" s="18">
        <f ca="1">(E120-G120)*'GS 50-999 Predicted Monthly'!$V$11</f>
        <v>1089519.2424238473</v>
      </c>
      <c r="O120" s="18">
        <f ca="1">(F120-H120)*'GS 50-999 Predicted Monthly'!$V$12</f>
        <v>-205453.79391843668</v>
      </c>
      <c r="P120" s="18"/>
      <c r="Q120" s="18"/>
      <c r="R120" s="18"/>
      <c r="S120" s="18">
        <f t="shared" ca="1" si="14"/>
        <v>28988731.246970676</v>
      </c>
      <c r="V120" s="18"/>
    </row>
    <row r="121" spans="1:22" x14ac:dyDescent="0.25">
      <c r="A121" s="3">
        <v>45627</v>
      </c>
      <c r="B121" s="1">
        <f t="shared" si="16"/>
        <v>2024</v>
      </c>
      <c r="C121" s="1">
        <f t="shared" si="17"/>
        <v>12</v>
      </c>
      <c r="D121" s="259">
        <f ca="1">'Monthly Data'!N121</f>
        <v>33772187.196194738</v>
      </c>
      <c r="E121" s="269">
        <f t="shared" ca="1" si="15"/>
        <v>577.92800724637686</v>
      </c>
      <c r="F121" s="269">
        <f t="shared" ca="1" si="15"/>
        <v>0</v>
      </c>
      <c r="G121" s="269">
        <f>'Monthly Data'!BB121</f>
        <v>598.57499999999993</v>
      </c>
      <c r="H121" s="269">
        <f>'Monthly Data'!BI121</f>
        <v>0</v>
      </c>
      <c r="I121" s="24">
        <f>'Monthly Data'!CG121</f>
        <v>0</v>
      </c>
      <c r="J121" s="269">
        <f>'Monthly Data'!AL121</f>
        <v>882184.85199999996</v>
      </c>
      <c r="K121" s="269">
        <f>'Monthly Data'!CD121</f>
        <v>31</v>
      </c>
      <c r="M121" s="18"/>
      <c r="N121" s="18">
        <f ca="1">(E121-G121)*'GS 50-999 Predicted Monthly'!$V$11</f>
        <v>-372819.84376881947</v>
      </c>
      <c r="O121" s="18">
        <f ca="1">(F121-H121)*'GS 50-999 Predicted Monthly'!$V$12</f>
        <v>0</v>
      </c>
      <c r="P121" s="18"/>
      <c r="Q121" s="18"/>
      <c r="R121" s="18"/>
      <c r="S121" s="18">
        <f t="shared" ca="1" si="14"/>
        <v>33399367.352425918</v>
      </c>
      <c r="V121" s="18"/>
    </row>
    <row r="122" spans="1:22" x14ac:dyDescent="0.25">
      <c r="A122" s="3">
        <v>45658</v>
      </c>
      <c r="B122" s="1">
        <f t="shared" si="16"/>
        <v>2025</v>
      </c>
      <c r="C122" s="1">
        <f t="shared" si="17"/>
        <v>1</v>
      </c>
      <c r="D122" s="259"/>
      <c r="E122" s="280">
        <f t="shared" ref="E122:F129" ca="1" si="18">E110</f>
        <v>697.33418478260876</v>
      </c>
      <c r="F122" s="280">
        <f t="shared" ca="1" si="18"/>
        <v>0</v>
      </c>
      <c r="G122" s="269"/>
      <c r="H122" s="269"/>
      <c r="I122" s="24">
        <f>'Monthly Data'!CG122</f>
        <v>0</v>
      </c>
      <c r="J122" s="280">
        <f>Economic!K124</f>
        <v>882271.6179999999</v>
      </c>
      <c r="K122" s="280">
        <f t="shared" ref="K122:K145" si="19">K74</f>
        <v>31</v>
      </c>
      <c r="M122" s="18">
        <f>'GS 50-999 Predicted Monthly'!$V$10</f>
        <v>-8058676.5655863797</v>
      </c>
      <c r="N122" s="18">
        <f ca="1">E122*'GS 50-999 Predicted Monthly'!$V$11</f>
        <v>12591665.281603241</v>
      </c>
      <c r="O122" s="18">
        <f ca="1">F122*'GS 50-999 Predicted Monthly'!$V$12</f>
        <v>0</v>
      </c>
      <c r="P122" s="18">
        <f>I122*'GS 50-999 Predicted Monthly'!$V$13</f>
        <v>0</v>
      </c>
      <c r="Q122" s="18">
        <f>J122*'GS 50-999 Predicted Monthly'!$V$14</f>
        <v>6158581.954263486</v>
      </c>
      <c r="R122" s="18">
        <f>K122*'GS 50-999 Predicted Monthly'!$V$15</f>
        <v>22963619.096402079</v>
      </c>
      <c r="S122" s="18">
        <f ca="1">SUM(M122:R122)</f>
        <v>33655189.766682431</v>
      </c>
      <c r="V122" s="18"/>
    </row>
    <row r="123" spans="1:22" x14ac:dyDescent="0.25">
      <c r="A123" s="3">
        <v>45689</v>
      </c>
      <c r="B123" s="1">
        <f t="shared" si="16"/>
        <v>2025</v>
      </c>
      <c r="C123" s="1">
        <f t="shared" si="17"/>
        <v>2</v>
      </c>
      <c r="D123" s="259"/>
      <c r="E123" s="280">
        <f t="shared" ca="1" si="18"/>
        <v>624.25501811594188</v>
      </c>
      <c r="F123" s="280">
        <f t="shared" ca="1" si="18"/>
        <v>0</v>
      </c>
      <c r="G123" s="269"/>
      <c r="H123" s="269"/>
      <c r="I123" s="24">
        <f>'Monthly Data'!CG123</f>
        <v>0</v>
      </c>
      <c r="J123" s="280">
        <f>Economic!K125</f>
        <v>882271.6179999999</v>
      </c>
      <c r="K123" s="280">
        <f t="shared" si="19"/>
        <v>28</v>
      </c>
      <c r="M123" s="18">
        <f>'GS 50-999 Predicted Monthly'!$V$10</f>
        <v>-8058676.5655863797</v>
      </c>
      <c r="N123" s="18">
        <f ca="1">E123*'GS 50-999 Predicted Monthly'!$V$11</f>
        <v>11272085.04904655</v>
      </c>
      <c r="O123" s="18">
        <f ca="1">F123*'GS 50-999 Predicted Monthly'!$V$12</f>
        <v>0</v>
      </c>
      <c r="P123" s="18">
        <f>I123*'GS 50-999 Predicted Monthly'!$V$13</f>
        <v>0</v>
      </c>
      <c r="Q123" s="18">
        <f>J123*'GS 50-999 Predicted Monthly'!$V$14</f>
        <v>6158581.954263486</v>
      </c>
      <c r="R123" s="18">
        <f>K123*'GS 50-999 Predicted Monthly'!$V$15</f>
        <v>20741333.377395425</v>
      </c>
      <c r="S123" s="18">
        <f t="shared" ref="S123:S145" ca="1" si="20">SUM(M123:R123)</f>
        <v>30113323.81511908</v>
      </c>
      <c r="V123" s="18"/>
    </row>
    <row r="124" spans="1:22" x14ac:dyDescent="0.25">
      <c r="A124" s="3">
        <v>45717</v>
      </c>
      <c r="B124" s="1">
        <f t="shared" si="16"/>
        <v>2025</v>
      </c>
      <c r="C124" s="1">
        <f t="shared" si="17"/>
        <v>3</v>
      </c>
      <c r="D124" s="259"/>
      <c r="E124" s="280">
        <f t="shared" ca="1" si="18"/>
        <v>546.13298913043491</v>
      </c>
      <c r="F124" s="280">
        <f t="shared" ca="1" si="18"/>
        <v>2.9583333333332896E-2</v>
      </c>
      <c r="G124" s="269"/>
      <c r="H124" s="269"/>
      <c r="I124" s="24">
        <f>'Monthly Data'!CG124</f>
        <v>0</v>
      </c>
      <c r="J124" s="280">
        <f>Economic!K126</f>
        <v>882271.6179999999</v>
      </c>
      <c r="K124" s="280">
        <f t="shared" si="19"/>
        <v>31</v>
      </c>
      <c r="M124" s="18">
        <f>'GS 50-999 Predicted Monthly'!$V$10</f>
        <v>-8058676.5655863797</v>
      </c>
      <c r="N124" s="18">
        <f ca="1">E124*'GS 50-999 Predicted Monthly'!$V$11</f>
        <v>9861446.5609708931</v>
      </c>
      <c r="O124" s="18">
        <f ca="1">F124*'GS 50-999 Predicted Monthly'!$V$12</f>
        <v>841.1012724562529</v>
      </c>
      <c r="P124" s="18">
        <f>I124*'GS 50-999 Predicted Monthly'!$V$13</f>
        <v>0</v>
      </c>
      <c r="Q124" s="18">
        <f>J124*'GS 50-999 Predicted Monthly'!$V$14</f>
        <v>6158581.954263486</v>
      </c>
      <c r="R124" s="18">
        <f>K124*'GS 50-999 Predicted Monthly'!$V$15</f>
        <v>22963619.096402079</v>
      </c>
      <c r="S124" s="18">
        <f t="shared" ca="1" si="20"/>
        <v>30925812.147322536</v>
      </c>
      <c r="V124" s="18"/>
    </row>
    <row r="125" spans="1:22" x14ac:dyDescent="0.25">
      <c r="A125" s="3">
        <v>45748</v>
      </c>
      <c r="B125" s="1">
        <f t="shared" si="16"/>
        <v>2025</v>
      </c>
      <c r="C125" s="1">
        <f t="shared" si="17"/>
        <v>4</v>
      </c>
      <c r="D125" s="259"/>
      <c r="E125" s="280">
        <f t="shared" ca="1" si="18"/>
        <v>352.41399621212122</v>
      </c>
      <c r="F125" s="280">
        <f t="shared" ca="1" si="18"/>
        <v>5.6420833333333338</v>
      </c>
      <c r="G125" s="269"/>
      <c r="H125" s="269"/>
      <c r="I125" s="24">
        <f>'Monthly Data'!CG125</f>
        <v>0</v>
      </c>
      <c r="J125" s="280">
        <f>Economic!K127</f>
        <v>885029.21499999997</v>
      </c>
      <c r="K125" s="280">
        <f t="shared" si="19"/>
        <v>30</v>
      </c>
      <c r="M125" s="18">
        <f>'GS 50-999 Predicted Monthly'!$V$10</f>
        <v>-8058676.5655863797</v>
      </c>
      <c r="N125" s="18">
        <f ca="1">E125*'GS 50-999 Predicted Monthly'!$V$11</f>
        <v>6363489.9560224349</v>
      </c>
      <c r="O125" s="18">
        <f ca="1">F125*'GS 50-999 Predicted Monthly'!$V$12</f>
        <v>160413.41310324351</v>
      </c>
      <c r="P125" s="18">
        <f>I125*'GS 50-999 Predicted Monthly'!$V$13</f>
        <v>0</v>
      </c>
      <c r="Q125" s="18">
        <f>J125*'GS 50-999 Predicted Monthly'!$V$14</f>
        <v>6177831.0004470516</v>
      </c>
      <c r="R125" s="18">
        <f>K125*'GS 50-999 Predicted Monthly'!$V$15</f>
        <v>22222857.190066528</v>
      </c>
      <c r="S125" s="18">
        <f t="shared" ca="1" si="20"/>
        <v>26865914.99405288</v>
      </c>
    </row>
    <row r="126" spans="1:22" x14ac:dyDescent="0.25">
      <c r="A126" s="3">
        <v>45778</v>
      </c>
      <c r="B126" s="1">
        <f t="shared" si="16"/>
        <v>2025</v>
      </c>
      <c r="C126" s="1">
        <f t="shared" si="17"/>
        <v>5</v>
      </c>
      <c r="D126" s="259"/>
      <c r="E126" s="280">
        <f t="shared" ca="1" si="18"/>
        <v>150.136897859768</v>
      </c>
      <c r="F126" s="280">
        <f t="shared" ca="1" si="18"/>
        <v>86.191046176046171</v>
      </c>
      <c r="G126" s="269"/>
      <c r="H126" s="269"/>
      <c r="I126" s="24">
        <f>'Monthly Data'!CG126</f>
        <v>0</v>
      </c>
      <c r="J126" s="280">
        <f>Economic!K128</f>
        <v>885029.21499999997</v>
      </c>
      <c r="K126" s="280">
        <f t="shared" si="19"/>
        <v>31</v>
      </c>
      <c r="M126" s="18">
        <f>'GS 50-999 Predicted Monthly'!$V$10</f>
        <v>-8058676.5655863797</v>
      </c>
      <c r="N126" s="18">
        <f ca="1">E126*'GS 50-999 Predicted Monthly'!$V$11</f>
        <v>2711000.8451081468</v>
      </c>
      <c r="O126" s="18">
        <f ca="1">F126*'GS 50-999 Predicted Monthly'!$V$12</f>
        <v>2450548.6855101688</v>
      </c>
      <c r="P126" s="18">
        <f>I126*'GS 50-999 Predicted Monthly'!$V$13</f>
        <v>0</v>
      </c>
      <c r="Q126" s="18">
        <f>J126*'GS 50-999 Predicted Monthly'!$V$14</f>
        <v>6177831.0004470516</v>
      </c>
      <c r="R126" s="18">
        <f>K126*'GS 50-999 Predicted Monthly'!$V$15</f>
        <v>22963619.096402079</v>
      </c>
      <c r="S126" s="18">
        <f t="shared" ca="1" si="20"/>
        <v>26244323.061881065</v>
      </c>
    </row>
    <row r="127" spans="1:22" x14ac:dyDescent="0.25">
      <c r="A127" s="3">
        <v>45809</v>
      </c>
      <c r="B127" s="1">
        <f t="shared" si="16"/>
        <v>2025</v>
      </c>
      <c r="C127" s="1">
        <f t="shared" si="17"/>
        <v>6</v>
      </c>
      <c r="D127" s="259"/>
      <c r="E127" s="280">
        <f t="shared" ca="1" si="18"/>
        <v>32.520923826173821</v>
      </c>
      <c r="F127" s="280">
        <f t="shared" ca="1" si="18"/>
        <v>194.94285087738348</v>
      </c>
      <c r="G127" s="269"/>
      <c r="H127" s="269"/>
      <c r="I127" s="24">
        <f>'Monthly Data'!CG127</f>
        <v>0</v>
      </c>
      <c r="J127" s="280">
        <f>Economic!K129</f>
        <v>885029.21499999997</v>
      </c>
      <c r="K127" s="280">
        <f t="shared" si="19"/>
        <v>30</v>
      </c>
      <c r="M127" s="18">
        <f>'GS 50-999 Predicted Monthly'!$V$10</f>
        <v>-8058676.5655863797</v>
      </c>
      <c r="N127" s="18">
        <f ca="1">E127*'GS 50-999 Predicted Monthly'!$V$11</f>
        <v>587225.7468567302</v>
      </c>
      <c r="O127" s="18">
        <f ca="1">F127*'GS 50-999 Predicted Monthly'!$V$12</f>
        <v>5542535.6595792416</v>
      </c>
      <c r="P127" s="18">
        <f>I127*'GS 50-999 Predicted Monthly'!$V$13</f>
        <v>0</v>
      </c>
      <c r="Q127" s="18">
        <f>J127*'GS 50-999 Predicted Monthly'!$V$14</f>
        <v>6177831.0004470516</v>
      </c>
      <c r="R127" s="18">
        <f>K127*'GS 50-999 Predicted Monthly'!$V$15</f>
        <v>22222857.190066528</v>
      </c>
      <c r="S127" s="18">
        <f t="shared" ca="1" si="20"/>
        <v>26471773.031363171</v>
      </c>
    </row>
    <row r="128" spans="1:22" x14ac:dyDescent="0.25">
      <c r="A128" s="3">
        <v>45839</v>
      </c>
      <c r="B128" s="1">
        <f t="shared" si="16"/>
        <v>2025</v>
      </c>
      <c r="C128" s="1">
        <f t="shared" si="17"/>
        <v>7</v>
      </c>
      <c r="D128" s="259"/>
      <c r="E128" s="280">
        <f t="shared" ca="1" si="18"/>
        <v>1.6179166666666653</v>
      </c>
      <c r="F128" s="280">
        <f t="shared" ca="1" si="18"/>
        <v>297.94737858727848</v>
      </c>
      <c r="G128" s="269"/>
      <c r="H128" s="269"/>
      <c r="I128" s="24">
        <f>'Monthly Data'!CG128</f>
        <v>0</v>
      </c>
      <c r="J128" s="280">
        <f>Economic!K130</f>
        <v>885765.78499999992</v>
      </c>
      <c r="K128" s="280">
        <f t="shared" si="19"/>
        <v>31</v>
      </c>
      <c r="M128" s="18">
        <f>'GS 50-999 Predicted Monthly'!$V$10</f>
        <v>-8058676.5655863797</v>
      </c>
      <c r="N128" s="18">
        <f ca="1">E128*'GS 50-999 Predicted Monthly'!$V$11</f>
        <v>29214.493659944223</v>
      </c>
      <c r="O128" s="18">
        <f ca="1">F128*'GS 50-999 Predicted Monthly'!$V$12</f>
        <v>8471118.3973442893</v>
      </c>
      <c r="P128" s="18">
        <f>I128*'GS 50-999 Predicted Monthly'!$V$13</f>
        <v>0</v>
      </c>
      <c r="Q128" s="18">
        <f>J128*'GS 50-999 Predicted Monthly'!$V$14</f>
        <v>6182972.5312608108</v>
      </c>
      <c r="R128" s="18">
        <f>K128*'GS 50-999 Predicted Monthly'!$V$15</f>
        <v>22963619.096402079</v>
      </c>
      <c r="S128" s="18">
        <f t="shared" ca="1" si="20"/>
        <v>29588247.953080744</v>
      </c>
    </row>
    <row r="129" spans="1:19" x14ac:dyDescent="0.25">
      <c r="A129" s="3">
        <v>45870</v>
      </c>
      <c r="B129" s="1">
        <f t="shared" si="16"/>
        <v>2025</v>
      </c>
      <c r="C129" s="1">
        <f t="shared" si="17"/>
        <v>8</v>
      </c>
      <c r="D129" s="259"/>
      <c r="E129" s="280">
        <f t="shared" ca="1" si="18"/>
        <v>5.6499999999999977</v>
      </c>
      <c r="F129" s="280">
        <f t="shared" ca="1" si="18"/>
        <v>272.96558794466404</v>
      </c>
      <c r="G129" s="269"/>
      <c r="H129" s="269"/>
      <c r="I129" s="24">
        <f>'Monthly Data'!CG129</f>
        <v>0</v>
      </c>
      <c r="J129" s="280">
        <f>Economic!K131</f>
        <v>885765.78499999992</v>
      </c>
      <c r="K129" s="280">
        <f t="shared" si="19"/>
        <v>31</v>
      </c>
      <c r="M129" s="18">
        <f>'GS 50-999 Predicted Monthly'!$V$10</f>
        <v>-8058676.5655863797</v>
      </c>
      <c r="N129" s="18">
        <f ca="1">E129*'GS 50-999 Predicted Monthly'!$V$11</f>
        <v>102021.25522246814</v>
      </c>
      <c r="O129" s="18">
        <f ca="1">F129*'GS 50-999 Predicted Monthly'!$V$12</f>
        <v>7760846.3106601536</v>
      </c>
      <c r="P129" s="18">
        <f>I129*'GS 50-999 Predicted Monthly'!$V$13</f>
        <v>0</v>
      </c>
      <c r="Q129" s="18">
        <f>J129*'GS 50-999 Predicted Monthly'!$V$14</f>
        <v>6182972.5312608108</v>
      </c>
      <c r="R129" s="18">
        <f>K129*'GS 50-999 Predicted Monthly'!$V$15</f>
        <v>22963619.096402079</v>
      </c>
      <c r="S129" s="18">
        <f t="shared" ca="1" si="20"/>
        <v>28950782.627959132</v>
      </c>
    </row>
    <row r="130" spans="1:19" x14ac:dyDescent="0.25">
      <c r="A130" s="3">
        <v>45901</v>
      </c>
      <c r="B130" s="1">
        <f t="shared" si="16"/>
        <v>2025</v>
      </c>
      <c r="C130" s="1">
        <f t="shared" si="17"/>
        <v>9</v>
      </c>
      <c r="D130" s="259"/>
      <c r="E130" s="280">
        <f t="shared" ref="E130:F145" ca="1" si="21">E118</f>
        <v>54.959440993788824</v>
      </c>
      <c r="F130" s="280">
        <f t="shared" ca="1" si="21"/>
        <v>158.67014233954447</v>
      </c>
      <c r="G130" s="269"/>
      <c r="H130" s="269"/>
      <c r="I130" s="24">
        <f>'Monthly Data'!CG130</f>
        <v>0</v>
      </c>
      <c r="J130" s="280">
        <f>Economic!K132</f>
        <v>885765.78499999992</v>
      </c>
      <c r="K130" s="280">
        <f t="shared" si="19"/>
        <v>30</v>
      </c>
      <c r="M130" s="18">
        <f>'GS 50-999 Predicted Monthly'!$V$10</f>
        <v>-8058676.5655863797</v>
      </c>
      <c r="N130" s="18">
        <f ca="1">E130*'GS 50-999 Predicted Monthly'!$V$11</f>
        <v>992394.89495778945</v>
      </c>
      <c r="O130" s="18">
        <f ca="1">F130*'GS 50-999 Predicted Monthly'!$V$12</f>
        <v>4511244.798510679</v>
      </c>
      <c r="P130" s="18">
        <f>I130*'GS 50-999 Predicted Monthly'!$V$13</f>
        <v>0</v>
      </c>
      <c r="Q130" s="18">
        <f>J130*'GS 50-999 Predicted Monthly'!$V$14</f>
        <v>6182972.5312608108</v>
      </c>
      <c r="R130" s="18">
        <f>K130*'GS 50-999 Predicted Monthly'!$V$15</f>
        <v>22222857.190066528</v>
      </c>
      <c r="S130" s="18">
        <f t="shared" ca="1" si="20"/>
        <v>25850792.849209428</v>
      </c>
    </row>
    <row r="131" spans="1:19" x14ac:dyDescent="0.25">
      <c r="A131" s="3">
        <v>45931</v>
      </c>
      <c r="B131" s="1">
        <f t="shared" si="16"/>
        <v>2025</v>
      </c>
      <c r="C131" s="1">
        <f t="shared" si="17"/>
        <v>10</v>
      </c>
      <c r="D131" s="259"/>
      <c r="E131" s="280">
        <f t="shared" ca="1" si="21"/>
        <v>237.89681159420289</v>
      </c>
      <c r="F131" s="280">
        <f t="shared" ca="1" si="21"/>
        <v>35.32833333333334</v>
      </c>
      <c r="G131" s="269"/>
      <c r="H131" s="269"/>
      <c r="I131" s="24">
        <f>'Monthly Data'!CG131</f>
        <v>0</v>
      </c>
      <c r="J131" s="280">
        <f>Economic!K133</f>
        <v>890124.51566799986</v>
      </c>
      <c r="K131" s="280">
        <f t="shared" si="19"/>
        <v>31</v>
      </c>
      <c r="M131" s="18">
        <f>'GS 50-999 Predicted Monthly'!$V$10</f>
        <v>-8058676.5655863797</v>
      </c>
      <c r="N131" s="18">
        <f ca="1">E131*'GS 50-999 Predicted Monthly'!$V$11</f>
        <v>4295669.2623475399</v>
      </c>
      <c r="O131" s="18">
        <f ca="1">F131*'GS 50-999 Predicted Monthly'!$V$12</f>
        <v>1004440.7702679132</v>
      </c>
      <c r="P131" s="18">
        <f>I131*'GS 50-999 Predicted Monthly'!$V$13</f>
        <v>0</v>
      </c>
      <c r="Q131" s="18">
        <f>J131*'GS 50-999 Predicted Monthly'!$V$14</f>
        <v>6213398.0821770811</v>
      </c>
      <c r="R131" s="18">
        <f>K131*'GS 50-999 Predicted Monthly'!$V$15</f>
        <v>22963619.096402079</v>
      </c>
      <c r="S131" s="18">
        <f t="shared" ca="1" si="20"/>
        <v>26418450.645608231</v>
      </c>
    </row>
    <row r="132" spans="1:19" x14ac:dyDescent="0.25">
      <c r="A132" s="3">
        <v>45962</v>
      </c>
      <c r="B132" s="1">
        <f t="shared" si="16"/>
        <v>2025</v>
      </c>
      <c r="C132" s="1">
        <f t="shared" si="17"/>
        <v>11</v>
      </c>
      <c r="D132" s="259"/>
      <c r="E132" s="280">
        <f t="shared" ca="1" si="21"/>
        <v>426.62991389045737</v>
      </c>
      <c r="F132" s="280">
        <f t="shared" ca="1" si="21"/>
        <v>2.2779166666666657</v>
      </c>
      <c r="G132" s="269"/>
      <c r="H132" s="269"/>
      <c r="I132" s="24">
        <f>'Monthly Data'!CG132</f>
        <v>0</v>
      </c>
      <c r="J132" s="280">
        <f>Economic!K134</f>
        <v>890124.51566799986</v>
      </c>
      <c r="K132" s="280">
        <f t="shared" si="19"/>
        <v>30</v>
      </c>
      <c r="M132" s="18">
        <f>'GS 50-999 Predicted Monthly'!$V$10</f>
        <v>-8058676.5655863797</v>
      </c>
      <c r="N132" s="18">
        <f ca="1">E132*'GS 50-999 Predicted Monthly'!$V$11</f>
        <v>7703596.3416916775</v>
      </c>
      <c r="O132" s="18">
        <f ca="1">F132*'GS 50-999 Predicted Monthly'!$V$12</f>
        <v>64764.797979132403</v>
      </c>
      <c r="P132" s="18">
        <f>I132*'GS 50-999 Predicted Monthly'!$V$13</f>
        <v>0</v>
      </c>
      <c r="Q132" s="18">
        <f>J132*'GS 50-999 Predicted Monthly'!$V$14</f>
        <v>6213398.0821770811</v>
      </c>
      <c r="R132" s="18">
        <f>K132*'GS 50-999 Predicted Monthly'!$V$15</f>
        <v>22222857.190066528</v>
      </c>
      <c r="S132" s="18">
        <f t="shared" ca="1" si="20"/>
        <v>28145939.846328039</v>
      </c>
    </row>
    <row r="133" spans="1:19" x14ac:dyDescent="0.25">
      <c r="A133" s="3">
        <v>45992</v>
      </c>
      <c r="B133" s="1">
        <f t="shared" si="16"/>
        <v>2025</v>
      </c>
      <c r="C133" s="1">
        <f t="shared" si="17"/>
        <v>12</v>
      </c>
      <c r="D133" s="259"/>
      <c r="E133" s="280">
        <f t="shared" ca="1" si="21"/>
        <v>577.92800724637686</v>
      </c>
      <c r="F133" s="280">
        <f t="shared" ca="1" si="21"/>
        <v>0</v>
      </c>
      <c r="G133" s="269"/>
      <c r="H133" s="269"/>
      <c r="I133" s="24">
        <f>'Monthly Data'!CG133</f>
        <v>0</v>
      </c>
      <c r="J133" s="280">
        <f>Economic!K135</f>
        <v>890124.51566799986</v>
      </c>
      <c r="K133" s="280">
        <f t="shared" si="19"/>
        <v>31</v>
      </c>
      <c r="M133" s="18">
        <f>'GS 50-999 Predicted Monthly'!$V$10</f>
        <v>-8058676.5655863797</v>
      </c>
      <c r="N133" s="18">
        <f ca="1">E133*'GS 50-999 Predicted Monthly'!$V$11</f>
        <v>10435564.730530098</v>
      </c>
      <c r="O133" s="18">
        <f ca="1">F133*'GS 50-999 Predicted Monthly'!$V$12</f>
        <v>0</v>
      </c>
      <c r="P133" s="18">
        <f>I133*'GS 50-999 Predicted Monthly'!$V$13</f>
        <v>0</v>
      </c>
      <c r="Q133" s="18">
        <f>J133*'GS 50-999 Predicted Monthly'!$V$14</f>
        <v>6213398.0821770811</v>
      </c>
      <c r="R133" s="18">
        <f>K133*'GS 50-999 Predicted Monthly'!$V$15</f>
        <v>22963619.096402079</v>
      </c>
      <c r="S133" s="18">
        <f t="shared" ca="1" si="20"/>
        <v>31553905.343522877</v>
      </c>
    </row>
    <row r="134" spans="1:19" x14ac:dyDescent="0.25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D134" s="259"/>
      <c r="E134" s="280">
        <f t="shared" ca="1" si="21"/>
        <v>697.33418478260876</v>
      </c>
      <c r="F134" s="280">
        <f t="shared" ca="1" si="21"/>
        <v>0</v>
      </c>
      <c r="G134" s="269"/>
      <c r="H134" s="269"/>
      <c r="I134" s="24">
        <f>'Monthly Data'!CG134</f>
        <v>0</v>
      </c>
      <c r="J134" s="280">
        <f>Economic!K136</f>
        <v>890212.06256199977</v>
      </c>
      <c r="K134" s="280">
        <f t="shared" si="19"/>
        <v>31</v>
      </c>
      <c r="M134" s="18">
        <f>'GS 50-999 Predicted Monthly'!$V$10</f>
        <v>-8058676.5655863797</v>
      </c>
      <c r="N134" s="18">
        <f ca="1">E134*'GS 50-999 Predicted Monthly'!$V$11</f>
        <v>12591665.281603241</v>
      </c>
      <c r="O134" s="18">
        <f ca="1">F134*'GS 50-999 Predicted Monthly'!$V$12</f>
        <v>0</v>
      </c>
      <c r="P134" s="18">
        <f>I134*'GS 50-999 Predicted Monthly'!$V$13</f>
        <v>0</v>
      </c>
      <c r="Q134" s="18">
        <f>J134*'GS 50-999 Predicted Monthly'!$V$14</f>
        <v>6214009.1918518562</v>
      </c>
      <c r="R134" s="18">
        <f>K134*'GS 50-999 Predicted Monthly'!$V$15</f>
        <v>22963619.096402079</v>
      </c>
      <c r="S134" s="18">
        <f t="shared" ca="1" si="20"/>
        <v>33710617.004270792</v>
      </c>
    </row>
    <row r="135" spans="1:19" x14ac:dyDescent="0.25">
      <c r="A135" s="3">
        <v>46054</v>
      </c>
      <c r="B135" s="1">
        <f t="shared" si="22"/>
        <v>2026</v>
      </c>
      <c r="C135" s="1">
        <f t="shared" si="23"/>
        <v>2</v>
      </c>
      <c r="D135" s="259"/>
      <c r="E135" s="280">
        <f t="shared" ca="1" si="21"/>
        <v>624.25501811594188</v>
      </c>
      <c r="F135" s="280">
        <f t="shared" ca="1" si="21"/>
        <v>0</v>
      </c>
      <c r="G135" s="269"/>
      <c r="H135" s="269"/>
      <c r="I135" s="24">
        <f>'Monthly Data'!CG135</f>
        <v>0</v>
      </c>
      <c r="J135" s="280">
        <f>Economic!K137</f>
        <v>890212.06256199977</v>
      </c>
      <c r="K135" s="280">
        <f t="shared" si="19"/>
        <v>28</v>
      </c>
      <c r="M135" s="18">
        <f>'GS 50-999 Predicted Monthly'!$V$10</f>
        <v>-8058676.5655863797</v>
      </c>
      <c r="N135" s="18">
        <f ca="1">E135*'GS 50-999 Predicted Monthly'!$V$11</f>
        <v>11272085.04904655</v>
      </c>
      <c r="O135" s="18">
        <f ca="1">F135*'GS 50-999 Predicted Monthly'!$V$12</f>
        <v>0</v>
      </c>
      <c r="P135" s="18">
        <f>I135*'GS 50-999 Predicted Monthly'!$V$13</f>
        <v>0</v>
      </c>
      <c r="Q135" s="18">
        <f>J135*'GS 50-999 Predicted Monthly'!$V$14</f>
        <v>6214009.1918518562</v>
      </c>
      <c r="R135" s="18">
        <f>K135*'GS 50-999 Predicted Monthly'!$V$15</f>
        <v>20741333.377395425</v>
      </c>
      <c r="S135" s="18">
        <f t="shared" ca="1" si="20"/>
        <v>30168751.052707452</v>
      </c>
    </row>
    <row r="136" spans="1:19" x14ac:dyDescent="0.25">
      <c r="A136" s="3">
        <v>46082</v>
      </c>
      <c r="B136" s="1">
        <f t="shared" si="22"/>
        <v>2026</v>
      </c>
      <c r="C136" s="1">
        <f t="shared" si="23"/>
        <v>3</v>
      </c>
      <c r="D136" s="259"/>
      <c r="E136" s="280">
        <f t="shared" ca="1" si="21"/>
        <v>546.13298913043491</v>
      </c>
      <c r="F136" s="280">
        <f t="shared" ca="1" si="21"/>
        <v>2.9583333333332896E-2</v>
      </c>
      <c r="G136" s="269"/>
      <c r="H136" s="269"/>
      <c r="I136" s="24">
        <f>'Monthly Data'!CG136</f>
        <v>0</v>
      </c>
      <c r="J136" s="280">
        <f>Economic!K138</f>
        <v>890212.06256199977</v>
      </c>
      <c r="K136" s="280">
        <f t="shared" si="19"/>
        <v>31</v>
      </c>
      <c r="M136" s="18">
        <f>'GS 50-999 Predicted Monthly'!$V$10</f>
        <v>-8058676.5655863797</v>
      </c>
      <c r="N136" s="18">
        <f ca="1">E136*'GS 50-999 Predicted Monthly'!$V$11</f>
        <v>9861446.5609708931</v>
      </c>
      <c r="O136" s="18">
        <f ca="1">F136*'GS 50-999 Predicted Monthly'!$V$12</f>
        <v>841.1012724562529</v>
      </c>
      <c r="P136" s="18">
        <f>I136*'GS 50-999 Predicted Monthly'!$V$13</f>
        <v>0</v>
      </c>
      <c r="Q136" s="18">
        <f>J136*'GS 50-999 Predicted Monthly'!$V$14</f>
        <v>6214009.1918518562</v>
      </c>
      <c r="R136" s="18">
        <f>K136*'GS 50-999 Predicted Monthly'!$V$15</f>
        <v>22963619.096402079</v>
      </c>
      <c r="S136" s="18">
        <f t="shared" ca="1" si="20"/>
        <v>30981239.384910904</v>
      </c>
    </row>
    <row r="137" spans="1:19" x14ac:dyDescent="0.25">
      <c r="A137" s="3">
        <v>46113</v>
      </c>
      <c r="B137" s="1">
        <f t="shared" si="22"/>
        <v>2026</v>
      </c>
      <c r="C137" s="1">
        <f t="shared" si="23"/>
        <v>4</v>
      </c>
      <c r="D137" s="259"/>
      <c r="E137" s="280">
        <f t="shared" ca="1" si="21"/>
        <v>352.41399621212122</v>
      </c>
      <c r="F137" s="280">
        <f t="shared" ca="1" si="21"/>
        <v>5.6420833333333338</v>
      </c>
      <c r="G137" s="269"/>
      <c r="H137" s="269"/>
      <c r="I137" s="24">
        <f>'Monthly Data'!CG137</f>
        <v>0</v>
      </c>
      <c r="J137" s="280">
        <f>Economic!K139</f>
        <v>892994.47793499986</v>
      </c>
      <c r="K137" s="280">
        <f t="shared" si="19"/>
        <v>30</v>
      </c>
      <c r="M137" s="18">
        <f>'GS 50-999 Predicted Monthly'!$V$10</f>
        <v>-8058676.5655863797</v>
      </c>
      <c r="N137" s="18">
        <f ca="1">E137*'GS 50-999 Predicted Monthly'!$V$11</f>
        <v>6363489.9560224349</v>
      </c>
      <c r="O137" s="18">
        <f ca="1">F137*'GS 50-999 Predicted Monthly'!$V$12</f>
        <v>160413.41310324351</v>
      </c>
      <c r="P137" s="18">
        <f>I137*'GS 50-999 Predicted Monthly'!$V$13</f>
        <v>0</v>
      </c>
      <c r="Q137" s="18">
        <f>J137*'GS 50-999 Predicted Monthly'!$V$14</f>
        <v>6233431.4794510743</v>
      </c>
      <c r="R137" s="18">
        <f>K137*'GS 50-999 Predicted Monthly'!$V$15</f>
        <v>22222857.190066528</v>
      </c>
      <c r="S137" s="18">
        <f t="shared" ca="1" si="20"/>
        <v>26921515.473056901</v>
      </c>
    </row>
    <row r="138" spans="1:19" x14ac:dyDescent="0.25">
      <c r="A138" s="3">
        <v>46143</v>
      </c>
      <c r="B138" s="1">
        <f t="shared" si="22"/>
        <v>2026</v>
      </c>
      <c r="C138" s="1">
        <f t="shared" si="23"/>
        <v>5</v>
      </c>
      <c r="D138" s="259"/>
      <c r="E138" s="280">
        <f t="shared" ca="1" si="21"/>
        <v>150.136897859768</v>
      </c>
      <c r="F138" s="280">
        <f t="shared" ca="1" si="21"/>
        <v>86.191046176046171</v>
      </c>
      <c r="G138" s="269"/>
      <c r="H138" s="269"/>
      <c r="I138" s="24">
        <f>'Monthly Data'!CG138</f>
        <v>0</v>
      </c>
      <c r="J138" s="280">
        <f>Economic!K140</f>
        <v>892994.47793499986</v>
      </c>
      <c r="K138" s="280">
        <f t="shared" si="19"/>
        <v>31</v>
      </c>
      <c r="M138" s="18">
        <f>'GS 50-999 Predicted Monthly'!$V$10</f>
        <v>-8058676.5655863797</v>
      </c>
      <c r="N138" s="18">
        <f ca="1">E138*'GS 50-999 Predicted Monthly'!$V$11</f>
        <v>2711000.8451081468</v>
      </c>
      <c r="O138" s="18">
        <f ca="1">F138*'GS 50-999 Predicted Monthly'!$V$12</f>
        <v>2450548.6855101688</v>
      </c>
      <c r="P138" s="18">
        <f>I138*'GS 50-999 Predicted Monthly'!$V$13</f>
        <v>0</v>
      </c>
      <c r="Q138" s="18">
        <f>J138*'GS 50-999 Predicted Monthly'!$V$14</f>
        <v>6233431.4794510743</v>
      </c>
      <c r="R138" s="18">
        <f>K138*'GS 50-999 Predicted Monthly'!$V$15</f>
        <v>22963619.096402079</v>
      </c>
      <c r="S138" s="18">
        <f t="shared" ca="1" si="20"/>
        <v>26299923.540885091</v>
      </c>
    </row>
    <row r="139" spans="1:19" x14ac:dyDescent="0.25">
      <c r="A139" s="3">
        <v>46174</v>
      </c>
      <c r="B139" s="1">
        <f t="shared" si="22"/>
        <v>2026</v>
      </c>
      <c r="C139" s="1">
        <f t="shared" si="23"/>
        <v>6</v>
      </c>
      <c r="D139" s="259"/>
      <c r="E139" s="280">
        <f t="shared" ca="1" si="21"/>
        <v>32.520923826173821</v>
      </c>
      <c r="F139" s="280">
        <f t="shared" ca="1" si="21"/>
        <v>194.94285087738348</v>
      </c>
      <c r="G139" s="269"/>
      <c r="H139" s="269"/>
      <c r="I139" s="24">
        <f>'Monthly Data'!CG139</f>
        <v>0</v>
      </c>
      <c r="J139" s="280">
        <f>Economic!K141</f>
        <v>892994.47793499986</v>
      </c>
      <c r="K139" s="280">
        <f t="shared" si="19"/>
        <v>30</v>
      </c>
      <c r="M139" s="18">
        <f>'GS 50-999 Predicted Monthly'!$V$10</f>
        <v>-8058676.5655863797</v>
      </c>
      <c r="N139" s="18">
        <f ca="1">E139*'GS 50-999 Predicted Monthly'!$V$11</f>
        <v>587225.7468567302</v>
      </c>
      <c r="O139" s="18">
        <f ca="1">F139*'GS 50-999 Predicted Monthly'!$V$12</f>
        <v>5542535.6595792416</v>
      </c>
      <c r="P139" s="18">
        <f>I139*'GS 50-999 Predicted Monthly'!$V$13</f>
        <v>0</v>
      </c>
      <c r="Q139" s="18">
        <f>J139*'GS 50-999 Predicted Monthly'!$V$14</f>
        <v>6233431.4794510743</v>
      </c>
      <c r="R139" s="18">
        <f>K139*'GS 50-999 Predicted Monthly'!$V$15</f>
        <v>22222857.190066528</v>
      </c>
      <c r="S139" s="18">
        <f t="shared" ca="1" si="20"/>
        <v>26527373.510367192</v>
      </c>
    </row>
    <row r="140" spans="1:19" x14ac:dyDescent="0.25">
      <c r="A140" s="3">
        <v>46204</v>
      </c>
      <c r="B140" s="1">
        <f t="shared" si="22"/>
        <v>2026</v>
      </c>
      <c r="C140" s="1">
        <f t="shared" si="23"/>
        <v>7</v>
      </c>
      <c r="D140" s="259"/>
      <c r="E140" s="280">
        <f t="shared" ca="1" si="21"/>
        <v>1.6179166666666653</v>
      </c>
      <c r="F140" s="280">
        <f t="shared" ca="1" si="21"/>
        <v>297.94737858727848</v>
      </c>
      <c r="G140" s="269"/>
      <c r="H140" s="269"/>
      <c r="I140" s="24">
        <f>'Monthly Data'!CG140</f>
        <v>0</v>
      </c>
      <c r="J140" s="280">
        <f>Economic!K142</f>
        <v>893737.67706499982</v>
      </c>
      <c r="K140" s="280">
        <f t="shared" si="19"/>
        <v>31</v>
      </c>
      <c r="M140" s="18">
        <f>'GS 50-999 Predicted Monthly'!$V$10</f>
        <v>-8058676.5655863797</v>
      </c>
      <c r="N140" s="18">
        <f ca="1">E140*'GS 50-999 Predicted Monthly'!$V$11</f>
        <v>29214.493659944223</v>
      </c>
      <c r="O140" s="18">
        <f ca="1">F140*'GS 50-999 Predicted Monthly'!$V$12</f>
        <v>8471118.3973442893</v>
      </c>
      <c r="P140" s="18">
        <f>I140*'GS 50-999 Predicted Monthly'!$V$13</f>
        <v>0</v>
      </c>
      <c r="Q140" s="18">
        <f>J140*'GS 50-999 Predicted Monthly'!$V$14</f>
        <v>6238619.2840421572</v>
      </c>
      <c r="R140" s="18">
        <f>K140*'GS 50-999 Predicted Monthly'!$V$15</f>
        <v>22963619.096402079</v>
      </c>
      <c r="S140" s="18">
        <f t="shared" ca="1" si="20"/>
        <v>29643894.70586209</v>
      </c>
    </row>
    <row r="141" spans="1:19" x14ac:dyDescent="0.25">
      <c r="A141" s="3">
        <v>46235</v>
      </c>
      <c r="B141" s="1">
        <f t="shared" si="22"/>
        <v>2026</v>
      </c>
      <c r="C141" s="1">
        <f t="shared" si="23"/>
        <v>8</v>
      </c>
      <c r="D141" s="259"/>
      <c r="E141" s="280">
        <f t="shared" ca="1" si="21"/>
        <v>5.6499999999999977</v>
      </c>
      <c r="F141" s="280">
        <f t="shared" ca="1" si="21"/>
        <v>272.96558794466404</v>
      </c>
      <c r="G141" s="269"/>
      <c r="H141" s="269"/>
      <c r="I141" s="24">
        <f>'Monthly Data'!CG141</f>
        <v>0</v>
      </c>
      <c r="J141" s="280">
        <f>Economic!K143</f>
        <v>893737.67706499982</v>
      </c>
      <c r="K141" s="280">
        <f t="shared" si="19"/>
        <v>31</v>
      </c>
      <c r="M141" s="18">
        <f>'GS 50-999 Predicted Monthly'!$V$10</f>
        <v>-8058676.5655863797</v>
      </c>
      <c r="N141" s="18">
        <f ca="1">E141*'GS 50-999 Predicted Monthly'!$V$11</f>
        <v>102021.25522246814</v>
      </c>
      <c r="O141" s="18">
        <f ca="1">F141*'GS 50-999 Predicted Monthly'!$V$12</f>
        <v>7760846.3106601536</v>
      </c>
      <c r="P141" s="18">
        <f>I141*'GS 50-999 Predicted Monthly'!$V$13</f>
        <v>0</v>
      </c>
      <c r="Q141" s="18">
        <f>J141*'GS 50-999 Predicted Monthly'!$V$14</f>
        <v>6238619.2840421572</v>
      </c>
      <c r="R141" s="18">
        <f>K141*'GS 50-999 Predicted Monthly'!$V$15</f>
        <v>22963619.096402079</v>
      </c>
      <c r="S141" s="18">
        <f t="shared" ca="1" si="20"/>
        <v>29006429.380740479</v>
      </c>
    </row>
    <row r="142" spans="1:19" x14ac:dyDescent="0.25">
      <c r="A142" s="3">
        <v>46266</v>
      </c>
      <c r="B142" s="1">
        <f t="shared" si="22"/>
        <v>2026</v>
      </c>
      <c r="C142" s="1">
        <f t="shared" si="23"/>
        <v>9</v>
      </c>
      <c r="D142" s="259"/>
      <c r="E142" s="280">
        <f t="shared" ca="1" si="21"/>
        <v>54.959440993788824</v>
      </c>
      <c r="F142" s="280">
        <f t="shared" ca="1" si="21"/>
        <v>158.67014233954447</v>
      </c>
      <c r="G142" s="269"/>
      <c r="H142" s="269"/>
      <c r="I142" s="24">
        <f>'Monthly Data'!CG142</f>
        <v>0</v>
      </c>
      <c r="J142" s="280">
        <f>Economic!K144</f>
        <v>893737.67706499982</v>
      </c>
      <c r="K142" s="280">
        <f t="shared" si="19"/>
        <v>30</v>
      </c>
      <c r="M142" s="18">
        <f>'GS 50-999 Predicted Monthly'!$V$10</f>
        <v>-8058676.5655863797</v>
      </c>
      <c r="N142" s="18">
        <f ca="1">E142*'GS 50-999 Predicted Monthly'!$V$11</f>
        <v>992394.89495778945</v>
      </c>
      <c r="O142" s="18">
        <f ca="1">F142*'GS 50-999 Predicted Monthly'!$V$12</f>
        <v>4511244.798510679</v>
      </c>
      <c r="P142" s="18">
        <f>I142*'GS 50-999 Predicted Monthly'!$V$13</f>
        <v>0</v>
      </c>
      <c r="Q142" s="18">
        <f>J142*'GS 50-999 Predicted Monthly'!$V$14</f>
        <v>6238619.2840421572</v>
      </c>
      <c r="R142" s="18">
        <f>K142*'GS 50-999 Predicted Monthly'!$V$15</f>
        <v>22222857.190066528</v>
      </c>
      <c r="S142" s="18">
        <f t="shared" ca="1" si="20"/>
        <v>25906439.601990774</v>
      </c>
    </row>
    <row r="143" spans="1:19" x14ac:dyDescent="0.25">
      <c r="A143" s="3">
        <v>46296</v>
      </c>
      <c r="B143" s="1">
        <f t="shared" si="22"/>
        <v>2026</v>
      </c>
      <c r="C143" s="1">
        <f t="shared" si="23"/>
        <v>10</v>
      </c>
      <c r="D143" s="259"/>
      <c r="E143" s="280">
        <f t="shared" ca="1" si="21"/>
        <v>237.89681159420289</v>
      </c>
      <c r="F143" s="280">
        <f t="shared" ca="1" si="21"/>
        <v>35.32833333333334</v>
      </c>
      <c r="G143" s="269"/>
      <c r="H143" s="269"/>
      <c r="I143" s="24">
        <f>'Monthly Data'!CG143</f>
        <v>0</v>
      </c>
      <c r="J143" s="280">
        <f>Economic!K145</f>
        <v>898135.63630901172</v>
      </c>
      <c r="K143" s="280">
        <f t="shared" si="19"/>
        <v>31</v>
      </c>
      <c r="M143" s="18">
        <f>'GS 50-999 Predicted Monthly'!$V$10</f>
        <v>-8058676.5655863797</v>
      </c>
      <c r="N143" s="18">
        <f ca="1">E143*'GS 50-999 Predicted Monthly'!$V$11</f>
        <v>4295669.2623475399</v>
      </c>
      <c r="O143" s="18">
        <f ca="1">F143*'GS 50-999 Predicted Monthly'!$V$12</f>
        <v>1004440.7702679132</v>
      </c>
      <c r="P143" s="18">
        <f>I143*'GS 50-999 Predicted Monthly'!$V$13</f>
        <v>0</v>
      </c>
      <c r="Q143" s="18">
        <f>J143*'GS 50-999 Predicted Monthly'!$V$14</f>
        <v>6269318.6649166737</v>
      </c>
      <c r="R143" s="18">
        <f>K143*'GS 50-999 Predicted Monthly'!$V$15</f>
        <v>22963619.096402079</v>
      </c>
      <c r="S143" s="18">
        <f t="shared" ca="1" si="20"/>
        <v>26474371.228347827</v>
      </c>
    </row>
    <row r="144" spans="1:19" x14ac:dyDescent="0.25">
      <c r="A144" s="3">
        <v>46327</v>
      </c>
      <c r="B144" s="1">
        <f t="shared" si="22"/>
        <v>2026</v>
      </c>
      <c r="C144" s="1">
        <f t="shared" si="23"/>
        <v>11</v>
      </c>
      <c r="D144" s="259"/>
      <c r="E144" s="280">
        <f t="shared" ca="1" si="21"/>
        <v>426.62991389045737</v>
      </c>
      <c r="F144" s="280">
        <f t="shared" ca="1" si="21"/>
        <v>2.2779166666666657</v>
      </c>
      <c r="G144" s="269"/>
      <c r="H144" s="269"/>
      <c r="I144" s="24">
        <f>'Monthly Data'!CG144</f>
        <v>0</v>
      </c>
      <c r="J144" s="280">
        <f>Economic!K146</f>
        <v>898135.63630901172</v>
      </c>
      <c r="K144" s="280">
        <f t="shared" si="19"/>
        <v>30</v>
      </c>
      <c r="M144" s="18">
        <f>'GS 50-999 Predicted Monthly'!$V$10</f>
        <v>-8058676.5655863797</v>
      </c>
      <c r="N144" s="18">
        <f ca="1">E144*'GS 50-999 Predicted Monthly'!$V$11</f>
        <v>7703596.3416916775</v>
      </c>
      <c r="O144" s="18">
        <f ca="1">F144*'GS 50-999 Predicted Monthly'!$V$12</f>
        <v>64764.797979132403</v>
      </c>
      <c r="P144" s="18">
        <f>I144*'GS 50-999 Predicted Monthly'!$V$13</f>
        <v>0</v>
      </c>
      <c r="Q144" s="18">
        <f>J144*'GS 50-999 Predicted Monthly'!$V$14</f>
        <v>6269318.6649166737</v>
      </c>
      <c r="R144" s="18">
        <f>K144*'GS 50-999 Predicted Monthly'!$V$15</f>
        <v>22222857.190066528</v>
      </c>
      <c r="S144" s="18">
        <f t="shared" ca="1" si="20"/>
        <v>28201860.42906763</v>
      </c>
    </row>
    <row r="145" spans="1:19" x14ac:dyDescent="0.25">
      <c r="A145" s="3">
        <v>46357</v>
      </c>
      <c r="B145" s="1">
        <f t="shared" si="22"/>
        <v>2026</v>
      </c>
      <c r="C145" s="1">
        <f t="shared" si="23"/>
        <v>12</v>
      </c>
      <c r="D145" s="259"/>
      <c r="E145" s="280">
        <f t="shared" ca="1" si="21"/>
        <v>577.92800724637686</v>
      </c>
      <c r="F145" s="280">
        <f t="shared" ca="1" si="21"/>
        <v>0</v>
      </c>
      <c r="G145" s="269"/>
      <c r="H145" s="269"/>
      <c r="I145" s="24">
        <f>'Monthly Data'!CG145</f>
        <v>0</v>
      </c>
      <c r="J145" s="280">
        <f>Economic!K147</f>
        <v>898135.63630901172</v>
      </c>
      <c r="K145" s="280">
        <f t="shared" si="19"/>
        <v>31</v>
      </c>
      <c r="M145" s="18">
        <f>'GS 50-999 Predicted Monthly'!$V$10</f>
        <v>-8058676.5655863797</v>
      </c>
      <c r="N145" s="18">
        <f ca="1">E145*'GS 50-999 Predicted Monthly'!$V$11</f>
        <v>10435564.730530098</v>
      </c>
      <c r="O145" s="18">
        <f ca="1">F145*'GS 50-999 Predicted Monthly'!$V$12</f>
        <v>0</v>
      </c>
      <c r="P145" s="18">
        <f>I145*'GS 50-999 Predicted Monthly'!$V$13</f>
        <v>0</v>
      </c>
      <c r="Q145" s="18">
        <f>J145*'GS 50-999 Predicted Monthly'!$V$14</f>
        <v>6269318.6649166737</v>
      </c>
      <c r="R145" s="18">
        <f>K145*'GS 50-999 Predicted Monthly'!$V$15</f>
        <v>22963619.096402079</v>
      </c>
      <c r="S145" s="18">
        <f t="shared" ca="1" si="20"/>
        <v>31609825.926262472</v>
      </c>
    </row>
    <row r="147" spans="1:19" x14ac:dyDescent="0.25"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69"/>
      <c r="R147" s="269"/>
      <c r="S147" s="269"/>
    </row>
    <row r="148" spans="1:19" x14ac:dyDescent="0.25"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</row>
    <row r="149" spans="1:19" x14ac:dyDescent="0.25">
      <c r="E149" s="269"/>
      <c r="F149" s="269"/>
      <c r="G149" s="269"/>
      <c r="H149" s="269"/>
      <c r="I149" s="269"/>
      <c r="J149" s="269"/>
      <c r="K149" s="269"/>
      <c r="L149" s="269"/>
      <c r="M149" s="269"/>
      <c r="N149" s="269"/>
      <c r="O149" s="269"/>
      <c r="P149" s="269"/>
      <c r="Q149" s="269"/>
      <c r="R149" s="269"/>
      <c r="S149" s="269"/>
    </row>
    <row r="150" spans="1:19" x14ac:dyDescent="0.25">
      <c r="E150" s="269"/>
      <c r="F150" s="269"/>
      <c r="G150" s="269"/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</row>
    <row r="151" spans="1:19" x14ac:dyDescent="0.25"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</row>
    <row r="152" spans="1:19" x14ac:dyDescent="0.25">
      <c r="E152" s="269"/>
      <c r="F152" s="269"/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</row>
    <row r="153" spans="1:19" x14ac:dyDescent="0.25"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</row>
    <row r="154" spans="1:19" x14ac:dyDescent="0.25"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269"/>
      <c r="S154" s="269"/>
    </row>
    <row r="155" spans="1:19" x14ac:dyDescent="0.25">
      <c r="E155" s="269"/>
      <c r="F155" s="269"/>
      <c r="G155" s="269"/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</row>
    <row r="156" spans="1:19" x14ac:dyDescent="0.25">
      <c r="E156" s="269"/>
      <c r="F156" s="269"/>
      <c r="G156" s="269"/>
      <c r="H156" s="269"/>
      <c r="I156" s="269"/>
      <c r="J156" s="269"/>
      <c r="K156" s="269"/>
      <c r="L156" s="269"/>
      <c r="M156" s="269"/>
      <c r="N156" s="269"/>
      <c r="O156" s="269"/>
      <c r="P156" s="269"/>
      <c r="Q156" s="269"/>
      <c r="R156" s="269"/>
      <c r="S156" s="269"/>
    </row>
    <row r="157" spans="1:19" x14ac:dyDescent="0.25">
      <c r="E157" s="269"/>
      <c r="F157" s="269"/>
      <c r="G157" s="269"/>
      <c r="H157" s="269"/>
      <c r="I157" s="269"/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</row>
    <row r="158" spans="1:19" x14ac:dyDescent="0.25">
      <c r="E158" s="269"/>
      <c r="F158" s="269"/>
      <c r="G158" s="269"/>
      <c r="H158" s="269"/>
      <c r="I158" s="269"/>
      <c r="J158" s="269"/>
      <c r="K158" s="269"/>
      <c r="L158" s="269"/>
      <c r="M158" s="269"/>
      <c r="N158" s="269"/>
      <c r="O158" s="269"/>
      <c r="P158" s="269"/>
      <c r="Q158" s="269"/>
      <c r="R158" s="269"/>
      <c r="S158" s="269"/>
    </row>
    <row r="159" spans="1:19" x14ac:dyDescent="0.25"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</row>
    <row r="195" spans="9:23" x14ac:dyDescent="0.25">
      <c r="I195" s="18"/>
      <c r="J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9:23" x14ac:dyDescent="0.25">
      <c r="I196" s="18"/>
      <c r="J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9:23" x14ac:dyDescent="0.25">
      <c r="I197" s="18"/>
      <c r="J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9:23" x14ac:dyDescent="0.25">
      <c r="I198" s="18"/>
      <c r="J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9:23" x14ac:dyDescent="0.25">
      <c r="I199" s="18"/>
      <c r="J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9:23" x14ac:dyDescent="0.25">
      <c r="I200" s="18"/>
      <c r="J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9:23" x14ac:dyDescent="0.25">
      <c r="I201" s="18"/>
      <c r="J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9:23" x14ac:dyDescent="0.25">
      <c r="I202" s="18"/>
      <c r="J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4" spans="9:23" x14ac:dyDescent="0.25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>
    <tabColor theme="4" tint="0.79998168889431442"/>
  </sheetPr>
  <dimension ref="A1:S204"/>
  <sheetViews>
    <sheetView workbookViewId="0">
      <selection activeCell="G45" sqref="G45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5" width="11.88671875" style="1" bestFit="1" customWidth="1"/>
    <col min="6" max="9" width="9.44140625" style="1" bestFit="1" customWidth="1"/>
    <col min="10" max="10" width="9.33203125" style="1"/>
    <col min="11" max="11" width="14.77734375" style="1" bestFit="1" customWidth="1"/>
    <col min="12" max="12" width="12.88671875" style="1" bestFit="1" customWidth="1"/>
    <col min="13" max="13" width="13.88671875" style="1" bestFit="1" customWidth="1"/>
    <col min="14" max="15" width="13.77734375" style="1" customWidth="1"/>
    <col min="16" max="16" width="19.6640625" style="1" customWidth="1"/>
    <col min="17" max="17" width="13.77734375" style="1" bestFit="1" customWidth="1"/>
    <col min="18" max="18" width="12.44140625" style="1" bestFit="1" customWidth="1"/>
    <col min="19" max="16384" width="9.33203125" style="1"/>
  </cols>
  <sheetData>
    <row r="1" spans="1:16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F1&amp;"Norm"</f>
        <v>CDD16Norm</v>
      </c>
      <c r="F1" s="267" t="str">
        <f>'Monthly Data'!BE1</f>
        <v>CDD16</v>
      </c>
      <c r="G1" s="267" t="str">
        <f>'Monthly Data'!CG1</f>
        <v>COVID_AM</v>
      </c>
      <c r="H1" s="267" t="str">
        <f>'Monthly Data'!AQ1</f>
        <v>Osh_FTEAdj</v>
      </c>
      <c r="I1" s="267" t="str">
        <f>'Monthly Data'!CD1</f>
        <v>Month Days</v>
      </c>
      <c r="K1" s="265" t="s">
        <v>152</v>
      </c>
      <c r="L1" s="267" t="str">
        <f>F1</f>
        <v>CDD16</v>
      </c>
      <c r="M1" s="267" t="str">
        <f>G1</f>
        <v>COVID_AM</v>
      </c>
      <c r="N1" s="267" t="str">
        <f>H1</f>
        <v>Osh_FTEAdj</v>
      </c>
      <c r="O1" s="267" t="str">
        <f>I1</f>
        <v>Month Days</v>
      </c>
      <c r="P1" s="265" t="s">
        <v>409</v>
      </c>
    </row>
    <row r="2" spans="1:16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59">
        <f ca="1">Weather!BE34</f>
        <v>0</v>
      </c>
      <c r="F2" s="259">
        <f>'Monthly Data'!BE2</f>
        <v>0</v>
      </c>
      <c r="G2" s="269">
        <f>'Monthly Data'!CG2</f>
        <v>0</v>
      </c>
      <c r="H2" s="269">
        <f>'Monthly Data'!AQ2</f>
        <v>201.9</v>
      </c>
      <c r="I2" s="269">
        <f>'Monthly Data'!CD2</f>
        <v>31</v>
      </c>
      <c r="K2" s="18"/>
      <c r="L2" s="18">
        <f ca="1">(E2-F2)*'GS 1k-4,999 Predicted Monthly'!$T$11</f>
        <v>0</v>
      </c>
      <c r="M2" s="18"/>
      <c r="N2" s="18"/>
      <c r="O2" s="18"/>
      <c r="P2" s="18">
        <f t="shared" ref="P2:P7" ca="1" si="2">SUM(D2,K2:O2)</f>
        <v>6697602.8367803404</v>
      </c>
    </row>
    <row r="3" spans="1:16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59">
        <f ca="1">Weather!BE35</f>
        <v>0</v>
      </c>
      <c r="F3" s="259">
        <f>'Monthly Data'!BE3</f>
        <v>0</v>
      </c>
      <c r="G3" s="269">
        <f>'Monthly Data'!CG3</f>
        <v>0</v>
      </c>
      <c r="H3" s="269">
        <f>'Monthly Data'!AQ3</f>
        <v>200.2</v>
      </c>
      <c r="I3" s="269">
        <f>'Monthly Data'!CD3</f>
        <v>28</v>
      </c>
      <c r="K3" s="18"/>
      <c r="L3" s="18">
        <f ca="1">(E3-F3)*'GS 1k-4,999 Predicted Monthly'!$T$11</f>
        <v>0</v>
      </c>
      <c r="M3" s="18"/>
      <c r="N3" s="18"/>
      <c r="O3" s="18"/>
      <c r="P3" s="18">
        <f t="shared" ca="1" si="2"/>
        <v>6292256.0165867163</v>
      </c>
    </row>
    <row r="4" spans="1:16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59">
        <f ca="1">Weather!BE36</f>
        <v>0</v>
      </c>
      <c r="F4" s="259">
        <f>'Monthly Data'!BE4</f>
        <v>0</v>
      </c>
      <c r="G4" s="269">
        <f>'Monthly Data'!CG4</f>
        <v>0</v>
      </c>
      <c r="H4" s="269">
        <f>'Monthly Data'!AQ4</f>
        <v>198.4</v>
      </c>
      <c r="I4" s="269">
        <f>'Monthly Data'!CD4</f>
        <v>31</v>
      </c>
      <c r="K4" s="18"/>
      <c r="L4" s="18">
        <f ca="1">(E4-F4)*'GS 1k-4,999 Predicted Monthly'!$T$11</f>
        <v>0</v>
      </c>
      <c r="M4" s="18"/>
      <c r="N4" s="18"/>
      <c r="O4" s="18"/>
      <c r="P4" s="18">
        <f t="shared" ca="1" si="2"/>
        <v>6879107.4130763644</v>
      </c>
    </row>
    <row r="5" spans="1:16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59">
        <f ca="1">Weather!BE37</f>
        <v>0.4316666666666677</v>
      </c>
      <c r="F5" s="259">
        <f>'Monthly Data'!BE5</f>
        <v>0</v>
      </c>
      <c r="G5" s="269">
        <f>'Monthly Data'!CG5</f>
        <v>0</v>
      </c>
      <c r="H5" s="269">
        <f>'Monthly Data'!AQ5</f>
        <v>195.5</v>
      </c>
      <c r="I5" s="269">
        <f>'Monthly Data'!CD5</f>
        <v>30</v>
      </c>
      <c r="K5" s="18"/>
      <c r="L5" s="18">
        <f ca="1">(E5-F5)*'GS 1k-4,999 Predicted Monthly'!$T$11</f>
        <v>3857.0377648914441</v>
      </c>
      <c r="M5" s="18"/>
      <c r="N5" s="18"/>
      <c r="O5" s="18"/>
      <c r="P5" s="18">
        <f t="shared" ca="1" si="2"/>
        <v>6560673.3480884386</v>
      </c>
    </row>
    <row r="6" spans="1:16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59">
        <f ca="1">Weather!BE38</f>
        <v>29.4520183982684</v>
      </c>
      <c r="F6" s="259">
        <f>'Monthly Data'!BE6</f>
        <v>32.514880952380949</v>
      </c>
      <c r="G6" s="269">
        <f>'Monthly Data'!CG6</f>
        <v>0</v>
      </c>
      <c r="H6" s="269">
        <f>'Monthly Data'!AQ6</f>
        <v>193.3</v>
      </c>
      <c r="I6" s="269">
        <f>'Monthly Data'!CD6</f>
        <v>31</v>
      </c>
      <c r="K6" s="18"/>
      <c r="L6" s="18">
        <f ca="1">(E6-F6)*'GS 1k-4,999 Predicted Monthly'!$T$11</f>
        <v>-27367.358779653907</v>
      </c>
      <c r="M6" s="18"/>
      <c r="N6" s="18"/>
      <c r="O6" s="18"/>
      <c r="P6" s="18">
        <f t="shared" ca="1" si="2"/>
        <v>7203383.6361716306</v>
      </c>
    </row>
    <row r="7" spans="1:16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59">
        <f ca="1">Weather!BE39</f>
        <v>86.311049595332207</v>
      </c>
      <c r="F7" s="259">
        <f>'Monthly Data'!BE7</f>
        <v>47.337499999999999</v>
      </c>
      <c r="G7" s="269">
        <f>'Monthly Data'!CG7</f>
        <v>0</v>
      </c>
      <c r="H7" s="269">
        <f>'Monthly Data'!AQ7</f>
        <v>190.8</v>
      </c>
      <c r="I7" s="269">
        <f>'Monthly Data'!CD7</f>
        <v>30</v>
      </c>
      <c r="K7" s="18"/>
      <c r="L7" s="18">
        <f ca="1">(E7-F7)*'GS 1k-4,999 Predicted Monthly'!$T$11</f>
        <v>348237.34197930264</v>
      </c>
      <c r="M7" s="18"/>
      <c r="N7" s="18"/>
      <c r="O7" s="18"/>
      <c r="P7" s="18">
        <f t="shared" ca="1" si="2"/>
        <v>7957849.9979899079</v>
      </c>
    </row>
    <row r="8" spans="1:16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59">
        <f ca="1">Weather!BE40</f>
        <v>174.0219619206118</v>
      </c>
      <c r="F8" s="259">
        <f>'Monthly Data'!BE8</f>
        <v>143.53749999999999</v>
      </c>
      <c r="G8" s="269">
        <f>'Monthly Data'!CG8</f>
        <v>0</v>
      </c>
      <c r="H8" s="269">
        <f>'Monthly Data'!AQ8</f>
        <v>185.9</v>
      </c>
      <c r="I8" s="269">
        <f>'Monthly Data'!CD8</f>
        <v>31</v>
      </c>
      <c r="K8" s="18"/>
      <c r="L8" s="18">
        <f ca="1">(E8-F8)*'GS 1k-4,999 Predicted Monthly'!$T$11</f>
        <v>272385.45375334664</v>
      </c>
      <c r="M8" s="18"/>
      <c r="N8" s="18"/>
      <c r="O8" s="18"/>
      <c r="P8" s="18">
        <f t="shared" ref="P8:P71" ca="1" si="3">SUM(D8,K8:O8)</f>
        <v>8214508.0652742116</v>
      </c>
    </row>
    <row r="9" spans="1:16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59">
        <f ca="1">Weather!BE41</f>
        <v>149.7160046113307</v>
      </c>
      <c r="F9" s="259">
        <f>'Monthly Data'!BE9</f>
        <v>106.43333333333335</v>
      </c>
      <c r="G9" s="269">
        <f>'Monthly Data'!CG9</f>
        <v>0</v>
      </c>
      <c r="H9" s="269">
        <f>'Monthly Data'!AQ9</f>
        <v>183</v>
      </c>
      <c r="I9" s="269">
        <f>'Monthly Data'!CD9</f>
        <v>31</v>
      </c>
      <c r="K9" s="18"/>
      <c r="L9" s="18">
        <f ca="1">(E9-F9)*'GS 1k-4,999 Predicted Monthly'!$T$11</f>
        <v>386740.3035164887</v>
      </c>
      <c r="M9" s="18"/>
      <c r="N9" s="18"/>
      <c r="O9" s="18"/>
      <c r="P9" s="18">
        <f t="shared" ca="1" si="3"/>
        <v>8408480.3910531849</v>
      </c>
    </row>
    <row r="10" spans="1:16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59">
        <f ca="1">Weather!BE42</f>
        <v>62.345178571428576</v>
      </c>
      <c r="F10" s="259">
        <f>'Monthly Data'!BE10</f>
        <v>87.618452380952391</v>
      </c>
      <c r="G10" s="269">
        <f>'Monthly Data'!CG10</f>
        <v>0</v>
      </c>
      <c r="H10" s="269">
        <f>'Monthly Data'!AQ10</f>
        <v>181.7</v>
      </c>
      <c r="I10" s="269">
        <f>'Monthly Data'!CD10</f>
        <v>30</v>
      </c>
      <c r="K10" s="18"/>
      <c r="L10" s="18">
        <f ca="1">(E10-F10)*'GS 1k-4,999 Predicted Monthly'!$T$11</f>
        <v>-225822.32785893817</v>
      </c>
      <c r="M10" s="18"/>
      <c r="N10" s="18"/>
      <c r="O10" s="18"/>
      <c r="P10" s="18">
        <f t="shared" ca="1" si="3"/>
        <v>7852469.3352978574</v>
      </c>
    </row>
    <row r="11" spans="1:16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59">
        <f ca="1">Weather!BE43</f>
        <v>7.1541666666666703</v>
      </c>
      <c r="F11" s="259">
        <f>'Monthly Data'!BE11</f>
        <v>1</v>
      </c>
      <c r="G11" s="269">
        <f>'Monthly Data'!CG11</f>
        <v>0</v>
      </c>
      <c r="H11" s="269">
        <f>'Monthly Data'!AQ11</f>
        <v>187.1</v>
      </c>
      <c r="I11" s="269">
        <f>'Monthly Data'!CD11</f>
        <v>31</v>
      </c>
      <c r="K11" s="18"/>
      <c r="L11" s="18">
        <f ca="1">(E11-F11)*'GS 1k-4,999 Predicted Monthly'!$T$11</f>
        <v>54988.849215681978</v>
      </c>
      <c r="M11" s="18"/>
      <c r="N11" s="18"/>
      <c r="O11" s="18"/>
      <c r="P11" s="18">
        <f t="shared" ca="1" si="3"/>
        <v>7338085.7346131606</v>
      </c>
    </row>
    <row r="12" spans="1:16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59">
        <f ca="1">Weather!BE44</f>
        <v>0.15041666666666628</v>
      </c>
      <c r="F12" s="259">
        <f>'Monthly Data'!BE12</f>
        <v>0</v>
      </c>
      <c r="G12" s="269">
        <f>'Monthly Data'!CG12</f>
        <v>0</v>
      </c>
      <c r="H12" s="269">
        <f>'Monthly Data'!AQ12</f>
        <v>192.5</v>
      </c>
      <c r="I12" s="269">
        <f>'Monthly Data'!CD12</f>
        <v>30</v>
      </c>
      <c r="K12" s="18"/>
      <c r="L12" s="18">
        <f ca="1">(E12-F12)*'GS 1k-4,999 Predicted Monthly'!$T$11</f>
        <v>1344.0064026310854</v>
      </c>
      <c r="M12" s="18"/>
      <c r="N12" s="18"/>
      <c r="O12" s="18"/>
      <c r="P12" s="18">
        <f t="shared" ca="1" si="3"/>
        <v>7063457.6013683081</v>
      </c>
    </row>
    <row r="13" spans="1:16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59">
        <f ca="1">Weather!BE45</f>
        <v>0</v>
      </c>
      <c r="F13" s="259">
        <f>'Monthly Data'!BE13</f>
        <v>0</v>
      </c>
      <c r="G13" s="269">
        <f>'Monthly Data'!CG13</f>
        <v>0</v>
      </c>
      <c r="H13" s="269">
        <f>'Monthly Data'!AQ13</f>
        <v>199.4</v>
      </c>
      <c r="I13" s="269">
        <f>'Monthly Data'!CD13</f>
        <v>31</v>
      </c>
      <c r="K13" s="18"/>
      <c r="L13" s="18">
        <f ca="1">(E13-F13)*'GS 1k-4,999 Predicted Monthly'!$T$11</f>
        <v>0</v>
      </c>
      <c r="M13" s="18"/>
      <c r="N13" s="18"/>
      <c r="O13" s="18"/>
      <c r="P13" s="18">
        <f t="shared" ca="1" si="3"/>
        <v>6433930.9578759233</v>
      </c>
    </row>
    <row r="14" spans="1:16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59">
        <f>Weather!BE46</f>
        <v>0</v>
      </c>
      <c r="F14" s="259">
        <f>'Monthly Data'!BE14</f>
        <v>0</v>
      </c>
      <c r="G14" s="269">
        <f>'Monthly Data'!CG14</f>
        <v>0</v>
      </c>
      <c r="H14" s="269">
        <f>'Monthly Data'!AQ14</f>
        <v>204.2</v>
      </c>
      <c r="I14" s="269">
        <f>'Monthly Data'!CD14</f>
        <v>31</v>
      </c>
      <c r="K14" s="18"/>
      <c r="L14" s="18">
        <f>(E14-F14)*'GS 1k-4,999 Predicted Monthly'!$T$11</f>
        <v>0</v>
      </c>
      <c r="M14" s="18"/>
      <c r="N14" s="18"/>
      <c r="O14" s="18"/>
      <c r="P14" s="18">
        <f t="shared" si="3"/>
        <v>7305107.8312721383</v>
      </c>
    </row>
    <row r="15" spans="1:16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59">
        <f t="shared" ref="E15:E78" ca="1" si="4">E3</f>
        <v>0</v>
      </c>
      <c r="F15" s="259">
        <f>'Monthly Data'!BE15</f>
        <v>0</v>
      </c>
      <c r="G15" s="269">
        <f>'Monthly Data'!CG15</f>
        <v>0</v>
      </c>
      <c r="H15" s="269">
        <f>'Monthly Data'!AQ15</f>
        <v>205.6</v>
      </c>
      <c r="I15" s="269">
        <f>'Monthly Data'!CD15</f>
        <v>29</v>
      </c>
      <c r="K15" s="18"/>
      <c r="L15" s="18">
        <f ca="1">(E15-F15)*'GS 1k-4,999 Predicted Monthly'!$T$11</f>
        <v>0</v>
      </c>
      <c r="M15" s="18"/>
      <c r="N15" s="18"/>
      <c r="O15" s="18"/>
      <c r="P15" s="18">
        <f t="shared" ca="1" si="3"/>
        <v>7115237.8781808047</v>
      </c>
    </row>
    <row r="16" spans="1:16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59">
        <f t="shared" ca="1" si="4"/>
        <v>0</v>
      </c>
      <c r="F16" s="259">
        <f>'Monthly Data'!BE16</f>
        <v>0</v>
      </c>
      <c r="G16" s="269">
        <f>'Monthly Data'!CG16</f>
        <v>0</v>
      </c>
      <c r="H16" s="269">
        <f>'Monthly Data'!AQ16</f>
        <v>206.5</v>
      </c>
      <c r="I16" s="269">
        <f>'Monthly Data'!CD16</f>
        <v>31</v>
      </c>
      <c r="K16" s="18"/>
      <c r="L16" s="18">
        <f ca="1">(E16-F16)*'GS 1k-4,999 Predicted Monthly'!$T$11</f>
        <v>0</v>
      </c>
      <c r="M16" s="18"/>
      <c r="N16" s="18"/>
      <c r="O16" s="18"/>
      <c r="P16" s="18">
        <f t="shared" ca="1" si="3"/>
        <v>7251476.8371827444</v>
      </c>
    </row>
    <row r="17" spans="1:17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59">
        <f t="shared" ca="1" si="4"/>
        <v>0.4316666666666677</v>
      </c>
      <c r="F17" s="259">
        <f>'Monthly Data'!BE17</f>
        <v>0</v>
      </c>
      <c r="G17" s="269">
        <f>'Monthly Data'!CG17</f>
        <v>0</v>
      </c>
      <c r="H17" s="269">
        <f>'Monthly Data'!AQ17</f>
        <v>205.8</v>
      </c>
      <c r="I17" s="269">
        <f>'Monthly Data'!CD17</f>
        <v>30</v>
      </c>
      <c r="K17" s="18"/>
      <c r="L17" s="18">
        <f ca="1">(E17-F17)*'GS 1k-4,999 Predicted Monthly'!$T$11</f>
        <v>3857.0377648914441</v>
      </c>
      <c r="M17" s="18"/>
      <c r="N17" s="18"/>
      <c r="O17" s="18"/>
      <c r="P17" s="18">
        <f t="shared" ca="1" si="3"/>
        <v>7167441.4460491566</v>
      </c>
    </row>
    <row r="18" spans="1:17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59">
        <f t="shared" ca="1" si="4"/>
        <v>29.4520183982684</v>
      </c>
      <c r="F18" s="259">
        <f>'Monthly Data'!BE18</f>
        <v>40.95416666666668</v>
      </c>
      <c r="G18" s="269">
        <f>'Monthly Data'!CG18</f>
        <v>0</v>
      </c>
      <c r="H18" s="269">
        <f>'Monthly Data'!AQ18</f>
        <v>206.1</v>
      </c>
      <c r="I18" s="269">
        <f>'Monthly Data'!CD18</f>
        <v>31</v>
      </c>
      <c r="K18" s="18"/>
      <c r="L18" s="18">
        <f ca="1">(E18-F18)*'GS 1k-4,999 Predicted Monthly'!$T$11</f>
        <v>-102774.25540214546</v>
      </c>
      <c r="M18" s="18"/>
      <c r="N18" s="18"/>
      <c r="O18" s="18"/>
      <c r="P18" s="18">
        <f t="shared" ca="1" si="3"/>
        <v>7484887.9205137743</v>
      </c>
    </row>
    <row r="19" spans="1:17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59">
        <f t="shared" ca="1" si="4"/>
        <v>86.311049595332207</v>
      </c>
      <c r="F19" s="259">
        <f>'Monthly Data'!BE19</f>
        <v>97.33750000000002</v>
      </c>
      <c r="G19" s="269">
        <f>'Monthly Data'!CG19</f>
        <v>0</v>
      </c>
      <c r="H19" s="269">
        <f>'Monthly Data'!AQ19</f>
        <v>204.7</v>
      </c>
      <c r="I19" s="269">
        <f>'Monthly Data'!CD19</f>
        <v>30</v>
      </c>
      <c r="K19" s="18"/>
      <c r="L19" s="18">
        <f ca="1">(E19-F19)*'GS 1k-4,999 Predicted Monthly'!$T$11</f>
        <v>-98523.78908920355</v>
      </c>
      <c r="M19" s="18"/>
      <c r="N19" s="18"/>
      <c r="O19" s="18"/>
      <c r="P19" s="18">
        <f t="shared" ca="1" si="3"/>
        <v>8168278.1324192667</v>
      </c>
      <c r="Q19" s="279"/>
    </row>
    <row r="20" spans="1:17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59">
        <f t="shared" ca="1" si="4"/>
        <v>174.0219619206118</v>
      </c>
      <c r="F20" s="259">
        <f>'Monthly Data'!BE20</f>
        <v>189.22916666666666</v>
      </c>
      <c r="G20" s="269">
        <f>'Monthly Data'!CG20</f>
        <v>0</v>
      </c>
      <c r="H20" s="269">
        <f>'Monthly Data'!AQ20</f>
        <v>206.5</v>
      </c>
      <c r="I20" s="269">
        <f>'Monthly Data'!CD20</f>
        <v>31</v>
      </c>
      <c r="K20" s="18"/>
      <c r="L20" s="18">
        <f ca="1">(E20-F20)*'GS 1k-4,999 Predicted Monthly'!$T$11</f>
        <v>-135879.75985475638</v>
      </c>
      <c r="M20" s="18"/>
      <c r="N20" s="18"/>
      <c r="O20" s="18"/>
      <c r="P20" s="18">
        <f t="shared" ca="1" si="3"/>
        <v>9121780.6463703439</v>
      </c>
    </row>
    <row r="21" spans="1:17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59">
        <f t="shared" ca="1" si="4"/>
        <v>149.7160046113307</v>
      </c>
      <c r="F21" s="259">
        <f>'Monthly Data'!BE21</f>
        <v>204.02500000000006</v>
      </c>
      <c r="G21" s="269">
        <f>'Monthly Data'!CG21</f>
        <v>0</v>
      </c>
      <c r="H21" s="269">
        <f>'Monthly Data'!AQ21</f>
        <v>209.3</v>
      </c>
      <c r="I21" s="269">
        <f>'Monthly Data'!CD21</f>
        <v>31</v>
      </c>
      <c r="K21" s="18"/>
      <c r="L21" s="18">
        <f ca="1">(E21-F21)*'GS 1k-4,999 Predicted Monthly'!$T$11</f>
        <v>-485262.96414072398</v>
      </c>
      <c r="M21" s="18"/>
      <c r="N21" s="18"/>
      <c r="O21" s="18"/>
      <c r="P21" s="18">
        <f t="shared" ca="1" si="3"/>
        <v>9096234.8484588172</v>
      </c>
    </row>
    <row r="22" spans="1:17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59">
        <f t="shared" ca="1" si="4"/>
        <v>62.345178571428576</v>
      </c>
      <c r="F22" s="259">
        <f>'Monthly Data'!BE22</f>
        <v>71.529166666666654</v>
      </c>
      <c r="G22" s="269">
        <f>'Monthly Data'!CG22</f>
        <v>0</v>
      </c>
      <c r="H22" s="269">
        <f>'Monthly Data'!AQ22</f>
        <v>213.5</v>
      </c>
      <c r="I22" s="269">
        <f>'Monthly Data'!CD22</f>
        <v>30</v>
      </c>
      <c r="K22" s="18"/>
      <c r="L22" s="18">
        <f ca="1">(E22-F22)*'GS 1k-4,999 Predicted Monthly'!$T$11</f>
        <v>-82060.978182965147</v>
      </c>
      <c r="M22" s="18"/>
      <c r="N22" s="18"/>
      <c r="O22" s="18"/>
      <c r="P22" s="18">
        <f t="shared" ca="1" si="3"/>
        <v>8660562.8085696306</v>
      </c>
    </row>
    <row r="23" spans="1:17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59">
        <f t="shared" ca="1" si="4"/>
        <v>7.1541666666666703</v>
      </c>
      <c r="F23" s="259">
        <f>'Monthly Data'!BE23</f>
        <v>7.2541666666666735</v>
      </c>
      <c r="G23" s="269">
        <f>'Monthly Data'!CG23</f>
        <v>0</v>
      </c>
      <c r="H23" s="269">
        <f>'Monthly Data'!AQ23</f>
        <v>214.3</v>
      </c>
      <c r="I23" s="269">
        <f>'Monthly Data'!CD23</f>
        <v>31</v>
      </c>
      <c r="K23" s="18"/>
      <c r="L23" s="18">
        <f ca="1">(E23-F23)*'GS 1k-4,999 Predicted Monthly'!$T$11</f>
        <v>-893.52226213704057</v>
      </c>
      <c r="M23" s="18"/>
      <c r="N23" s="18"/>
      <c r="O23" s="18"/>
      <c r="P23" s="18">
        <f t="shared" ca="1" si="3"/>
        <v>7673485.0825395416</v>
      </c>
    </row>
    <row r="24" spans="1:17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59">
        <f t="shared" ca="1" si="4"/>
        <v>0.15041666666666628</v>
      </c>
      <c r="F24" s="259">
        <f>'Monthly Data'!BE24</f>
        <v>0</v>
      </c>
      <c r="G24" s="269">
        <f>'Monthly Data'!CG24</f>
        <v>0</v>
      </c>
      <c r="H24" s="269">
        <f>'Monthly Data'!AQ24</f>
        <v>215.1</v>
      </c>
      <c r="I24" s="269">
        <f>'Monthly Data'!CD24</f>
        <v>30</v>
      </c>
      <c r="K24" s="18"/>
      <c r="L24" s="18">
        <f ca="1">(E24-F24)*'GS 1k-4,999 Predicted Monthly'!$T$11</f>
        <v>1344.0064026310854</v>
      </c>
      <c r="M24" s="18"/>
      <c r="N24" s="18"/>
      <c r="O24" s="18"/>
      <c r="P24" s="18">
        <f t="shared" ca="1" si="3"/>
        <v>7233726.6875090059</v>
      </c>
    </row>
    <row r="25" spans="1:17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59">
        <f t="shared" ca="1" si="4"/>
        <v>0</v>
      </c>
      <c r="F25" s="259">
        <f>'Monthly Data'!BE25</f>
        <v>0</v>
      </c>
      <c r="G25" s="269">
        <f>'Monthly Data'!CG25</f>
        <v>0</v>
      </c>
      <c r="H25" s="269">
        <f>'Monthly Data'!AQ25</f>
        <v>215.7</v>
      </c>
      <c r="I25" s="269">
        <f>'Monthly Data'!CD25</f>
        <v>31</v>
      </c>
      <c r="K25" s="18"/>
      <c r="L25" s="18">
        <f ca="1">(E25-F25)*'GS 1k-4,999 Predicted Monthly'!$T$11</f>
        <v>0</v>
      </c>
      <c r="M25" s="18"/>
      <c r="N25" s="18"/>
      <c r="O25" s="18"/>
      <c r="P25" s="18">
        <f t="shared" ca="1" si="3"/>
        <v>7259200.5747319283</v>
      </c>
    </row>
    <row r="26" spans="1:17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59">
        <f t="shared" si="4"/>
        <v>0</v>
      </c>
      <c r="F26" s="259">
        <f>'Monthly Data'!BE26</f>
        <v>0</v>
      </c>
      <c r="G26" s="269">
        <f>'Monthly Data'!CG26</f>
        <v>0</v>
      </c>
      <c r="H26" s="269">
        <f>'Monthly Data'!AQ26</f>
        <v>215.5</v>
      </c>
      <c r="I26" s="269">
        <f>'Monthly Data'!CD26</f>
        <v>31</v>
      </c>
      <c r="K26" s="18"/>
      <c r="L26" s="18">
        <f>(E26-F26)*'GS 1k-4,999 Predicted Monthly'!$T$11</f>
        <v>0</v>
      </c>
      <c r="M26" s="18"/>
      <c r="N26" s="18"/>
      <c r="O26" s="18"/>
      <c r="P26" s="18">
        <f t="shared" si="3"/>
        <v>7748576.2980715707</v>
      </c>
    </row>
    <row r="27" spans="1:17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59">
        <f t="shared" ca="1" si="4"/>
        <v>0</v>
      </c>
      <c r="F27" s="259">
        <f>'Monthly Data'!BE27</f>
        <v>0</v>
      </c>
      <c r="G27" s="269">
        <f>'Monthly Data'!CG27</f>
        <v>0</v>
      </c>
      <c r="H27" s="269">
        <f>'Monthly Data'!AQ27</f>
        <v>209.8</v>
      </c>
      <c r="I27" s="269">
        <f>'Monthly Data'!CD27</f>
        <v>28</v>
      </c>
      <c r="K27" s="18"/>
      <c r="L27" s="18">
        <f ca="1">(E27-F27)*'GS 1k-4,999 Predicted Monthly'!$T$11</f>
        <v>0</v>
      </c>
      <c r="M27" s="18"/>
      <c r="N27" s="18"/>
      <c r="O27" s="18"/>
      <c r="P27" s="18">
        <f t="shared" ca="1" si="3"/>
        <v>7030359.4291701298</v>
      </c>
    </row>
    <row r="28" spans="1:17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59">
        <f t="shared" ca="1" si="4"/>
        <v>0</v>
      </c>
      <c r="F28" s="259">
        <f>'Monthly Data'!BE28</f>
        <v>0</v>
      </c>
      <c r="G28" s="269">
        <f>'Monthly Data'!CG28</f>
        <v>0</v>
      </c>
      <c r="H28" s="269">
        <f>'Monthly Data'!AQ28</f>
        <v>203.2</v>
      </c>
      <c r="I28" s="269">
        <f>'Monthly Data'!CD28</f>
        <v>31</v>
      </c>
      <c r="K28" s="18"/>
      <c r="L28" s="18">
        <f ca="1">(E28-F28)*'GS 1k-4,999 Predicted Monthly'!$T$11</f>
        <v>0</v>
      </c>
      <c r="M28" s="18"/>
      <c r="N28" s="18"/>
      <c r="O28" s="18"/>
      <c r="P28" s="18">
        <f t="shared" ca="1" si="3"/>
        <v>7867386.6453418816</v>
      </c>
    </row>
    <row r="29" spans="1:17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59">
        <f t="shared" ca="1" si="4"/>
        <v>0.4316666666666677</v>
      </c>
      <c r="F29" s="259">
        <f>'Monthly Data'!BE29</f>
        <v>2.3458333333333385</v>
      </c>
      <c r="G29" s="269">
        <f>'Monthly Data'!CG29</f>
        <v>0</v>
      </c>
      <c r="H29" s="269">
        <f>'Monthly Data'!AQ29</f>
        <v>200</v>
      </c>
      <c r="I29" s="269">
        <f>'Monthly Data'!CD29</f>
        <v>30</v>
      </c>
      <c r="K29" s="18"/>
      <c r="L29" s="18">
        <f ca="1">(E29-F29)*'GS 1k-4,999 Predicted Monthly'!$T$11</f>
        <v>-17103.505301072673</v>
      </c>
      <c r="M29" s="18"/>
      <c r="N29" s="18"/>
      <c r="O29" s="18"/>
      <c r="P29" s="18">
        <f t="shared" ca="1" si="3"/>
        <v>7641198.8326686583</v>
      </c>
    </row>
    <row r="30" spans="1:17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59">
        <f t="shared" ca="1" si="4"/>
        <v>29.4520183982684</v>
      </c>
      <c r="F30" s="259">
        <f>'Monthly Data'!BE30</f>
        <v>13.075000000000003</v>
      </c>
      <c r="G30" s="269">
        <f>'Monthly Data'!CG30</f>
        <v>0</v>
      </c>
      <c r="H30" s="269">
        <f>'Monthly Data'!AQ30</f>
        <v>202.9</v>
      </c>
      <c r="I30" s="269">
        <f>'Monthly Data'!CD30</f>
        <v>31</v>
      </c>
      <c r="K30" s="18"/>
      <c r="L30" s="18">
        <f ca="1">(E30-F30)*'GS 1k-4,999 Predicted Monthly'!$T$11</f>
        <v>146332.30526280243</v>
      </c>
      <c r="M30" s="18"/>
      <c r="N30" s="18"/>
      <c r="O30" s="18"/>
      <c r="P30" s="18">
        <f t="shared" ca="1" si="3"/>
        <v>7652770.6386634689</v>
      </c>
    </row>
    <row r="31" spans="1:17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59">
        <f t="shared" ca="1" si="4"/>
        <v>86.311049595332207</v>
      </c>
      <c r="F31" s="259">
        <f>'Monthly Data'!BE31</f>
        <v>68.909166666666678</v>
      </c>
      <c r="G31" s="269">
        <f>'Monthly Data'!CG31</f>
        <v>0</v>
      </c>
      <c r="H31" s="269">
        <f>'Monthly Data'!AQ31</f>
        <v>206.7</v>
      </c>
      <c r="I31" s="269">
        <f>'Monthly Data'!CD31</f>
        <v>30</v>
      </c>
      <c r="K31" s="18"/>
      <c r="L31" s="18">
        <f ca="1">(E31-F31)*'GS 1k-4,999 Predicted Monthly'!$T$11</f>
        <v>155489.69799864673</v>
      </c>
      <c r="M31" s="18"/>
      <c r="N31" s="18"/>
      <c r="O31" s="18"/>
      <c r="P31" s="18">
        <f t="shared" ca="1" si="3"/>
        <v>8185828.9439044278</v>
      </c>
    </row>
    <row r="32" spans="1:17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59">
        <f t="shared" ca="1" si="4"/>
        <v>174.0219619206118</v>
      </c>
      <c r="F32" s="259">
        <f>'Monthly Data'!BE32</f>
        <v>136.16666666666663</v>
      </c>
      <c r="G32" s="269">
        <f>'Monthly Data'!CG32</f>
        <v>0</v>
      </c>
      <c r="H32" s="269">
        <f>'Monthly Data'!AQ32</f>
        <v>207</v>
      </c>
      <c r="I32" s="269">
        <f>'Monthly Data'!CD32</f>
        <v>31</v>
      </c>
      <c r="K32" s="18"/>
      <c r="L32" s="18">
        <f ca="1">(E32-F32)*'GS 1k-4,999 Predicted Monthly'!$T$11</f>
        <v>338245.49049169582</v>
      </c>
      <c r="M32" s="18"/>
      <c r="N32" s="18"/>
      <c r="O32" s="18"/>
      <c r="P32" s="18">
        <f t="shared" ca="1" si="3"/>
        <v>9160871.5080569386</v>
      </c>
    </row>
    <row r="33" spans="1:16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59">
        <f t="shared" ca="1" si="4"/>
        <v>149.7160046113307</v>
      </c>
      <c r="F33" s="259">
        <f>'Monthly Data'!BE33</f>
        <v>97.06576086956521</v>
      </c>
      <c r="G33" s="269">
        <f>'Monthly Data'!CG33</f>
        <v>0</v>
      </c>
      <c r="H33" s="269">
        <f>'Monthly Data'!AQ33</f>
        <v>208.1</v>
      </c>
      <c r="I33" s="269">
        <f>'Monthly Data'!CD33</f>
        <v>31</v>
      </c>
      <c r="K33" s="18"/>
      <c r="L33" s="18">
        <f ca="1">(E33-F33)*'GS 1k-4,999 Predicted Monthly'!$T$11</f>
        <v>470441.64890207362</v>
      </c>
      <c r="M33" s="18"/>
      <c r="N33" s="18"/>
      <c r="O33" s="18"/>
      <c r="P33" s="18">
        <f t="shared" ca="1" si="3"/>
        <v>9576383.8843675964</v>
      </c>
    </row>
    <row r="34" spans="1:16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59">
        <f t="shared" ca="1" si="4"/>
        <v>62.345178571428576</v>
      </c>
      <c r="F34" s="259">
        <f>'Monthly Data'!BE34</f>
        <v>73.237499999999983</v>
      </c>
      <c r="G34" s="269">
        <f>'Monthly Data'!CG34</f>
        <v>0</v>
      </c>
      <c r="H34" s="269">
        <f>'Monthly Data'!AQ34</f>
        <v>208.1</v>
      </c>
      <c r="I34" s="269">
        <f>'Monthly Data'!CD34</f>
        <v>30</v>
      </c>
      <c r="K34" s="18"/>
      <c r="L34" s="18">
        <f ca="1">(E34-F34)*'GS 1k-4,999 Predicted Monthly'!$T$11</f>
        <v>-97325.316827805727</v>
      </c>
      <c r="M34" s="18"/>
      <c r="N34" s="18"/>
      <c r="O34" s="18"/>
      <c r="P34" s="18">
        <f t="shared" ca="1" si="3"/>
        <v>7481264.6593057271</v>
      </c>
    </row>
    <row r="35" spans="1:16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59">
        <f t="shared" ca="1" si="4"/>
        <v>7.1541666666666703</v>
      </c>
      <c r="F35" s="259">
        <f>'Monthly Data'!BE35</f>
        <v>10.279166666666672</v>
      </c>
      <c r="G35" s="269">
        <f>'Monthly Data'!CG35</f>
        <v>0</v>
      </c>
      <c r="H35" s="269">
        <f>'Monthly Data'!AQ35</f>
        <v>209.9</v>
      </c>
      <c r="I35" s="269">
        <f>'Monthly Data'!CD35</f>
        <v>31</v>
      </c>
      <c r="K35" s="18"/>
      <c r="L35" s="18">
        <f ca="1">(E35-F35)*'GS 1k-4,999 Predicted Monthly'!$T$11</f>
        <v>-27922.570691781639</v>
      </c>
      <c r="M35" s="18"/>
      <c r="N35" s="18"/>
      <c r="O35" s="18"/>
      <c r="P35" s="18">
        <f t="shared" ca="1" si="3"/>
        <v>7173318.4540651878</v>
      </c>
    </row>
    <row r="36" spans="1:16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59">
        <f t="shared" ca="1" si="4"/>
        <v>0.15041666666666628</v>
      </c>
      <c r="F36" s="259">
        <f>'Monthly Data'!BE36</f>
        <v>0</v>
      </c>
      <c r="G36" s="269">
        <f>'Monthly Data'!CG36</f>
        <v>0</v>
      </c>
      <c r="H36" s="269">
        <f>'Monthly Data'!AQ36</f>
        <v>209</v>
      </c>
      <c r="I36" s="269">
        <f>'Monthly Data'!CD36</f>
        <v>30</v>
      </c>
      <c r="K36" s="18"/>
      <c r="L36" s="18">
        <f ca="1">(E36-F36)*'GS 1k-4,999 Predicted Monthly'!$T$11</f>
        <v>1344.0064026310854</v>
      </c>
      <c r="M36" s="18"/>
      <c r="N36" s="18"/>
      <c r="O36" s="18"/>
      <c r="P36" s="18">
        <f t="shared" ca="1" si="3"/>
        <v>7274030.6470969841</v>
      </c>
    </row>
    <row r="37" spans="1:16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59">
        <f t="shared" ca="1" si="4"/>
        <v>0</v>
      </c>
      <c r="F37" s="259">
        <f>'Monthly Data'!BE37</f>
        <v>0</v>
      </c>
      <c r="G37" s="269">
        <f>'Monthly Data'!CG37</f>
        <v>0</v>
      </c>
      <c r="H37" s="269">
        <f>'Monthly Data'!AQ37</f>
        <v>208</v>
      </c>
      <c r="I37" s="269">
        <f>'Monthly Data'!CD37</f>
        <v>31</v>
      </c>
      <c r="K37" s="18"/>
      <c r="L37" s="18">
        <f ca="1">(E37-F37)*'GS 1k-4,999 Predicted Monthly'!$T$11</f>
        <v>0</v>
      </c>
      <c r="M37" s="18"/>
      <c r="N37" s="18"/>
      <c r="O37" s="18"/>
      <c r="P37" s="18">
        <f t="shared" ca="1" si="3"/>
        <v>6901002.2880553724</v>
      </c>
    </row>
    <row r="38" spans="1:16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59">
        <f t="shared" si="4"/>
        <v>0</v>
      </c>
      <c r="F38" s="259">
        <f>'Monthly Data'!BE38</f>
        <v>0</v>
      </c>
      <c r="G38" s="269">
        <f>'Monthly Data'!CG38</f>
        <v>0</v>
      </c>
      <c r="H38" s="269">
        <f>'Monthly Data'!AQ38</f>
        <v>206.9</v>
      </c>
      <c r="I38" s="269">
        <f>'Monthly Data'!CD38</f>
        <v>31</v>
      </c>
      <c r="K38" s="18"/>
      <c r="L38" s="18">
        <f>(E38-F38)*'GS 1k-4,999 Predicted Monthly'!$T$11</f>
        <v>0</v>
      </c>
      <c r="M38" s="18"/>
      <c r="N38" s="18"/>
      <c r="O38" s="18"/>
      <c r="P38" s="18">
        <f t="shared" si="3"/>
        <v>7124030.899678275</v>
      </c>
    </row>
    <row r="39" spans="1:16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59">
        <f t="shared" ca="1" si="4"/>
        <v>0</v>
      </c>
      <c r="F39" s="259">
        <f>'Monthly Data'!BE39</f>
        <v>0</v>
      </c>
      <c r="G39" s="269">
        <f>'Monthly Data'!CG39</f>
        <v>0</v>
      </c>
      <c r="H39" s="269">
        <f>'Monthly Data'!AQ39</f>
        <v>207.4</v>
      </c>
      <c r="I39" s="269">
        <f>'Monthly Data'!CD39</f>
        <v>28</v>
      </c>
      <c r="K39" s="18"/>
      <c r="L39" s="18">
        <f ca="1">(E39-F39)*'GS 1k-4,999 Predicted Monthly'!$T$11</f>
        <v>0</v>
      </c>
      <c r="M39" s="18"/>
      <c r="N39" s="18"/>
      <c r="O39" s="18"/>
      <c r="P39" s="18">
        <f t="shared" ca="1" si="3"/>
        <v>6399514.7034799419</v>
      </c>
    </row>
    <row r="40" spans="1:16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59">
        <f t="shared" ca="1" si="4"/>
        <v>0</v>
      </c>
      <c r="F40" s="259">
        <f>'Monthly Data'!BE40</f>
        <v>0</v>
      </c>
      <c r="G40" s="269">
        <f>'Monthly Data'!CG40</f>
        <v>0</v>
      </c>
      <c r="H40" s="269">
        <f>'Monthly Data'!AQ40</f>
        <v>210.4</v>
      </c>
      <c r="I40" s="269">
        <f>'Monthly Data'!CD40</f>
        <v>31</v>
      </c>
      <c r="K40" s="18"/>
      <c r="L40" s="18">
        <f ca="1">(E40-F40)*'GS 1k-4,999 Predicted Monthly'!$T$11</f>
        <v>0</v>
      </c>
      <c r="M40" s="18"/>
      <c r="N40" s="18"/>
      <c r="O40" s="18"/>
      <c r="P40" s="18">
        <f t="shared" ca="1" si="3"/>
        <v>6880257.4649304906</v>
      </c>
    </row>
    <row r="41" spans="1:16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59">
        <f t="shared" ca="1" si="4"/>
        <v>0.4316666666666677</v>
      </c>
      <c r="F41" s="259">
        <f>'Monthly Data'!BE41</f>
        <v>0</v>
      </c>
      <c r="G41" s="269">
        <f>'Monthly Data'!CG41</f>
        <v>0</v>
      </c>
      <c r="H41" s="269">
        <f>'Monthly Data'!AQ41</f>
        <v>214.5</v>
      </c>
      <c r="I41" s="269">
        <f>'Monthly Data'!CD41</f>
        <v>30</v>
      </c>
      <c r="K41" s="18"/>
      <c r="L41" s="18">
        <f ca="1">(E41-F41)*'GS 1k-4,999 Predicted Monthly'!$T$11</f>
        <v>3857.0377648914441</v>
      </c>
      <c r="M41" s="18"/>
      <c r="N41" s="18"/>
      <c r="O41" s="18"/>
      <c r="P41" s="18">
        <f t="shared" ca="1" si="3"/>
        <v>7049522.0467058886</v>
      </c>
    </row>
    <row r="42" spans="1:16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59">
        <f t="shared" ca="1" si="4"/>
        <v>29.4520183982684</v>
      </c>
      <c r="F42" s="259">
        <f>'Monthly Data'!BE42</f>
        <v>50.000541125541133</v>
      </c>
      <c r="G42" s="269">
        <f>'Monthly Data'!CG42</f>
        <v>0</v>
      </c>
      <c r="H42" s="269">
        <f>'Monthly Data'!AQ42</f>
        <v>218.3</v>
      </c>
      <c r="I42" s="269">
        <f>'Monthly Data'!CD42</f>
        <v>31</v>
      </c>
      <c r="K42" s="18"/>
      <c r="L42" s="18">
        <f ca="1">(E42-F42)*'GS 1k-4,999 Predicted Monthly'!$T$11</f>
        <v>-183605.62510846535</v>
      </c>
      <c r="M42" s="18"/>
      <c r="N42" s="18"/>
      <c r="O42" s="18"/>
      <c r="P42" s="18">
        <f t="shared" ca="1" si="3"/>
        <v>7314942.0035226615</v>
      </c>
    </row>
    <row r="43" spans="1:16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59">
        <f t="shared" ca="1" si="4"/>
        <v>86.311049595332207</v>
      </c>
      <c r="F43" s="259">
        <f>'Monthly Data'!BE43</f>
        <v>85.839772727272717</v>
      </c>
      <c r="G43" s="269">
        <f>'Monthly Data'!CG43</f>
        <v>0</v>
      </c>
      <c r="H43" s="269">
        <f>'Monthly Data'!AQ43</f>
        <v>220.4</v>
      </c>
      <c r="I43" s="269">
        <f>'Monthly Data'!CD43</f>
        <v>30</v>
      </c>
      <c r="K43" s="18"/>
      <c r="L43" s="18">
        <f ca="1">(E43-F43)*'GS 1k-4,999 Predicted Monthly'!$T$11</f>
        <v>4210.9637324136211</v>
      </c>
      <c r="M43" s="18"/>
      <c r="N43" s="18"/>
      <c r="O43" s="18"/>
      <c r="P43" s="18">
        <f t="shared" ca="1" si="3"/>
        <v>7223103.5409149518</v>
      </c>
    </row>
    <row r="44" spans="1:16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59">
        <f t="shared" ca="1" si="4"/>
        <v>174.0219619206118</v>
      </c>
      <c r="F44" s="259">
        <f>'Monthly Data'!BE44</f>
        <v>194.39861424807077</v>
      </c>
      <c r="G44" s="269">
        <f>'Monthly Data'!CG44</f>
        <v>0</v>
      </c>
      <c r="H44" s="269">
        <f>'Monthly Data'!AQ44</f>
        <v>219.9</v>
      </c>
      <c r="I44" s="269">
        <f>'Monthly Data'!CD44</f>
        <v>31</v>
      </c>
      <c r="K44" s="18"/>
      <c r="L44" s="18">
        <f ca="1">(E44-F44)*'GS 1k-4,999 Predicted Monthly'!$T$11</f>
        <v>-182069.92482410549</v>
      </c>
      <c r="M44" s="18"/>
      <c r="N44" s="18"/>
      <c r="O44" s="18"/>
      <c r="P44" s="18">
        <f t="shared" ca="1" si="3"/>
        <v>7492774.2016354483</v>
      </c>
    </row>
    <row r="45" spans="1:16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59">
        <f t="shared" ca="1" si="4"/>
        <v>149.7160046113307</v>
      </c>
      <c r="F45" s="259">
        <f>'Monthly Data'!BE45</f>
        <v>190.24583333333339</v>
      </c>
      <c r="G45" s="269">
        <f>'Monthly Data'!CG45</f>
        <v>0</v>
      </c>
      <c r="H45" s="269">
        <f>'Monthly Data'!AQ45</f>
        <v>218.3</v>
      </c>
      <c r="I45" s="269">
        <f>'Monthly Data'!CD45</f>
        <v>31</v>
      </c>
      <c r="K45" s="18"/>
      <c r="L45" s="18">
        <f ca="1">(E45-F45)*'GS 1k-4,999 Predicted Monthly'!$T$11</f>
        <v>-362143.04243709485</v>
      </c>
      <c r="M45" s="18"/>
      <c r="N45" s="18"/>
      <c r="O45" s="18"/>
      <c r="P45" s="18">
        <f t="shared" ca="1" si="3"/>
        <v>8197198.2359643448</v>
      </c>
    </row>
    <row r="46" spans="1:16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59">
        <f t="shared" ca="1" si="4"/>
        <v>62.345178571428576</v>
      </c>
      <c r="F46" s="259">
        <f>'Monthly Data'!BE46</f>
        <v>94.645833333333329</v>
      </c>
      <c r="G46" s="269">
        <f>'Monthly Data'!CG46</f>
        <v>0</v>
      </c>
      <c r="H46" s="269">
        <f>'Monthly Data'!AQ46</f>
        <v>216.6</v>
      </c>
      <c r="I46" s="269">
        <f>'Monthly Data'!CD46</f>
        <v>30</v>
      </c>
      <c r="K46" s="18"/>
      <c r="L46" s="18">
        <f ca="1">(E46-F46)*'GS 1k-4,999 Predicted Monthly'!$T$11</f>
        <v>-288613.5411136378</v>
      </c>
      <c r="M46" s="18"/>
      <c r="N46" s="18"/>
      <c r="O46" s="18"/>
      <c r="P46" s="18">
        <f t="shared" ca="1" si="3"/>
        <v>7575021.9405862046</v>
      </c>
    </row>
    <row r="47" spans="1:16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59">
        <f t="shared" ca="1" si="4"/>
        <v>7.1541666666666703</v>
      </c>
      <c r="F47" s="259">
        <f>'Monthly Data'!BE47</f>
        <v>8.0958333333333314</v>
      </c>
      <c r="G47" s="269">
        <f>'Monthly Data'!CG47</f>
        <v>0</v>
      </c>
      <c r="H47" s="269">
        <f>'Monthly Data'!AQ47</f>
        <v>215.2</v>
      </c>
      <c r="I47" s="269">
        <f>'Monthly Data'!CD47</f>
        <v>31</v>
      </c>
      <c r="K47" s="18"/>
      <c r="L47" s="18">
        <f ca="1">(E47-F47)*'GS 1k-4,999 Predicted Monthly'!$T$11</f>
        <v>-8414.0013017901456</v>
      </c>
      <c r="M47" s="18"/>
      <c r="N47" s="18"/>
      <c r="O47" s="18"/>
      <c r="P47" s="18">
        <f t="shared" ca="1" si="3"/>
        <v>7231091.6120730061</v>
      </c>
    </row>
    <row r="48" spans="1:16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59">
        <f t="shared" ca="1" si="4"/>
        <v>0.15041666666666628</v>
      </c>
      <c r="F48" s="259">
        <f>'Monthly Data'!BE48</f>
        <v>0</v>
      </c>
      <c r="G48" s="269">
        <f>'Monthly Data'!CG48</f>
        <v>0</v>
      </c>
      <c r="H48" s="269">
        <f>'Monthly Data'!AQ48</f>
        <v>215.3</v>
      </c>
      <c r="I48" s="269">
        <f>'Monthly Data'!CD48</f>
        <v>30</v>
      </c>
      <c r="K48" s="18"/>
      <c r="L48" s="18">
        <f ca="1">(E48-F48)*'GS 1k-4,999 Predicted Monthly'!$T$11</f>
        <v>1344.0064026310854</v>
      </c>
      <c r="M48" s="18"/>
      <c r="N48" s="18"/>
      <c r="O48" s="18"/>
      <c r="P48" s="18">
        <f t="shared" ca="1" si="3"/>
        <v>6897153.8791685002</v>
      </c>
    </row>
    <row r="49" spans="1:16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59">
        <f t="shared" ca="1" si="4"/>
        <v>0</v>
      </c>
      <c r="F49" s="259">
        <f>'Monthly Data'!BE49</f>
        <v>0</v>
      </c>
      <c r="G49" s="269">
        <f>'Monthly Data'!CG49</f>
        <v>0</v>
      </c>
      <c r="H49" s="269">
        <f>'Monthly Data'!AQ49</f>
        <v>214.3</v>
      </c>
      <c r="I49" s="269">
        <f>'Monthly Data'!CD49</f>
        <v>31</v>
      </c>
      <c r="K49" s="18"/>
      <c r="L49" s="18">
        <f ca="1">(E49-F49)*'GS 1k-4,999 Predicted Monthly'!$T$11</f>
        <v>0</v>
      </c>
      <c r="M49" s="18"/>
      <c r="N49" s="18"/>
      <c r="O49" s="18"/>
      <c r="P49" s="18">
        <f t="shared" ca="1" si="3"/>
        <v>6632585.3377094418</v>
      </c>
    </row>
    <row r="50" spans="1:16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59">
        <f t="shared" si="4"/>
        <v>0</v>
      </c>
      <c r="F50" s="259">
        <f>'Monthly Data'!BE50</f>
        <v>0</v>
      </c>
      <c r="G50" s="269">
        <f>'Monthly Data'!CG50</f>
        <v>0</v>
      </c>
      <c r="H50" s="269">
        <f>'Monthly Data'!AQ50</f>
        <v>217.1</v>
      </c>
      <c r="I50" s="269">
        <f>'Monthly Data'!CD50</f>
        <v>31</v>
      </c>
      <c r="K50" s="18"/>
      <c r="L50" s="18">
        <f>(E50-F50)*'GS 1k-4,999 Predicted Monthly'!$T$11</f>
        <v>0</v>
      </c>
      <c r="M50" s="18"/>
      <c r="N50" s="18"/>
      <c r="O50" s="18"/>
      <c r="P50" s="18">
        <f t="shared" si="3"/>
        <v>7362866.2549784202</v>
      </c>
    </row>
    <row r="51" spans="1:16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59">
        <f t="shared" ca="1" si="4"/>
        <v>0</v>
      </c>
      <c r="F51" s="259">
        <f>'Monthly Data'!BE51</f>
        <v>0</v>
      </c>
      <c r="G51" s="269">
        <f>'Monthly Data'!CG51</f>
        <v>0</v>
      </c>
      <c r="H51" s="269">
        <f>'Monthly Data'!AQ51</f>
        <v>219.1</v>
      </c>
      <c r="I51" s="269">
        <f>'Monthly Data'!CD51</f>
        <v>28</v>
      </c>
      <c r="K51" s="18"/>
      <c r="L51" s="18">
        <f ca="1">(E51-F51)*'GS 1k-4,999 Predicted Monthly'!$T$11</f>
        <v>0</v>
      </c>
      <c r="M51" s="18"/>
      <c r="N51" s="18"/>
      <c r="O51" s="18"/>
      <c r="P51" s="18">
        <f t="shared" ca="1" si="3"/>
        <v>6700295.0580196613</v>
      </c>
    </row>
    <row r="52" spans="1:16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59">
        <f t="shared" ca="1" si="4"/>
        <v>0</v>
      </c>
      <c r="F52" s="259">
        <f>'Monthly Data'!BE52</f>
        <v>0</v>
      </c>
      <c r="G52" s="269">
        <f>'Monthly Data'!CG52</f>
        <v>0</v>
      </c>
      <c r="H52" s="269">
        <f>'Monthly Data'!AQ52</f>
        <v>221.6</v>
      </c>
      <c r="I52" s="269">
        <f>'Monthly Data'!CD52</f>
        <v>31</v>
      </c>
      <c r="K52" s="18"/>
      <c r="L52" s="18">
        <f ca="1">(E52-F52)*'GS 1k-4,999 Predicted Monthly'!$T$11</f>
        <v>0</v>
      </c>
      <c r="M52" s="18"/>
      <c r="N52" s="18"/>
      <c r="O52" s="18"/>
      <c r="P52" s="18">
        <f t="shared" ca="1" si="3"/>
        <v>7200226.2824770492</v>
      </c>
    </row>
    <row r="53" spans="1:16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59">
        <f t="shared" ca="1" si="4"/>
        <v>0.4316666666666677</v>
      </c>
      <c r="F53" s="259">
        <f>'Monthly Data'!BE53</f>
        <v>0</v>
      </c>
      <c r="G53" s="269">
        <f>'Monthly Data'!CG53</f>
        <v>0</v>
      </c>
      <c r="H53" s="269">
        <f>'Monthly Data'!AQ53</f>
        <v>220.7</v>
      </c>
      <c r="I53" s="269">
        <f>'Monthly Data'!CD53</f>
        <v>30</v>
      </c>
      <c r="K53" s="18"/>
      <c r="L53" s="18">
        <f ca="1">(E53-F53)*'GS 1k-4,999 Predicted Monthly'!$T$11</f>
        <v>3857.0377648914441</v>
      </c>
      <c r="M53" s="18"/>
      <c r="N53" s="18"/>
      <c r="O53" s="18"/>
      <c r="P53" s="18">
        <f t="shared" ca="1" si="3"/>
        <v>6760986.4805728234</v>
      </c>
    </row>
    <row r="54" spans="1:16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59">
        <f t="shared" ca="1" si="4"/>
        <v>29.4520183982684</v>
      </c>
      <c r="F54" s="259">
        <f>'Monthly Data'!BE54</f>
        <v>2.4041666666666686</v>
      </c>
      <c r="G54" s="269">
        <f>'Monthly Data'!CG54</f>
        <v>0</v>
      </c>
      <c r="H54" s="269">
        <f>'Monthly Data'!AQ54</f>
        <v>219.3</v>
      </c>
      <c r="I54" s="269">
        <f>'Monthly Data'!CD54</f>
        <v>31</v>
      </c>
      <c r="K54" s="18"/>
      <c r="L54" s="18">
        <f ca="1">(E54-F54)*'GS 1k-4,999 Predicted Monthly'!$T$11</f>
        <v>241678.57665167275</v>
      </c>
      <c r="M54" s="18"/>
      <c r="N54" s="18"/>
      <c r="O54" s="18"/>
      <c r="P54" s="18">
        <f t="shared" ca="1" si="3"/>
        <v>7431987.8989506336</v>
      </c>
    </row>
    <row r="55" spans="1:16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59">
        <f t="shared" ca="1" si="4"/>
        <v>86.311049595332207</v>
      </c>
      <c r="F55" s="259">
        <f>'Monthly Data'!BE55</f>
        <v>71.666666666666629</v>
      </c>
      <c r="G55" s="269">
        <f>'Monthly Data'!CG55</f>
        <v>0</v>
      </c>
      <c r="H55" s="269">
        <f>'Monthly Data'!AQ55</f>
        <v>218.5</v>
      </c>
      <c r="I55" s="269">
        <f>'Monthly Data'!CD55</f>
        <v>30</v>
      </c>
      <c r="K55" s="18"/>
      <c r="L55" s="18">
        <f ca="1">(E55-F55)*'GS 1k-4,999 Predicted Monthly'!$T$11</f>
        <v>130850.82162021908</v>
      </c>
      <c r="M55" s="18"/>
      <c r="N55" s="18"/>
      <c r="O55" s="18"/>
      <c r="P55" s="18">
        <f t="shared" ca="1" si="3"/>
        <v>7334932.1220597262</v>
      </c>
    </row>
    <row r="56" spans="1:16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59">
        <f t="shared" ca="1" si="4"/>
        <v>174.0219619206118</v>
      </c>
      <c r="F56" s="259">
        <f>'Monthly Data'!BE56</f>
        <v>197.60000000000005</v>
      </c>
      <c r="G56" s="269">
        <f>'Monthly Data'!CG56</f>
        <v>0</v>
      </c>
      <c r="H56" s="269">
        <f>'Monthly Data'!AQ56</f>
        <v>217</v>
      </c>
      <c r="I56" s="269">
        <f>'Monthly Data'!CD56</f>
        <v>31</v>
      </c>
      <c r="K56" s="18"/>
      <c r="L56" s="18">
        <f ca="1">(E56-F56)*'GS 1k-4,999 Predicted Monthly'!$T$11</f>
        <v>-210675.01921447599</v>
      </c>
      <c r="M56" s="18"/>
      <c r="N56" s="18"/>
      <c r="O56" s="18"/>
      <c r="P56" s="18">
        <f t="shared" ca="1" si="3"/>
        <v>8539539.2786447331</v>
      </c>
    </row>
    <row r="57" spans="1:16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59">
        <f t="shared" ca="1" si="4"/>
        <v>149.7160046113307</v>
      </c>
      <c r="F57" s="259">
        <f>'Monthly Data'!BE57</f>
        <v>128.07083333333338</v>
      </c>
      <c r="G57" s="269">
        <f>'Monthly Data'!CG57</f>
        <v>0</v>
      </c>
      <c r="H57" s="269">
        <f>'Monthly Data'!AQ57</f>
        <v>214.2</v>
      </c>
      <c r="I57" s="269">
        <f>'Monthly Data'!CD57</f>
        <v>31</v>
      </c>
      <c r="K57" s="18"/>
      <c r="L57" s="18">
        <f ca="1">(E57-F57)*'GS 1k-4,999 Predicted Monthly'!$T$11</f>
        <v>193404.42404659244</v>
      </c>
      <c r="M57" s="18"/>
      <c r="N57" s="18"/>
      <c r="O57" s="18"/>
      <c r="P57" s="18">
        <f t="shared" ca="1" si="3"/>
        <v>8507995.6068789754</v>
      </c>
    </row>
    <row r="58" spans="1:16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59">
        <f t="shared" ca="1" si="4"/>
        <v>62.345178571428576</v>
      </c>
      <c r="F58" s="259">
        <f>'Monthly Data'!BE58</f>
        <v>32.520833333333329</v>
      </c>
      <c r="G58" s="269">
        <f>'Monthly Data'!CG58</f>
        <v>0</v>
      </c>
      <c r="H58" s="269">
        <f>'Monthly Data'!AQ58</f>
        <v>210</v>
      </c>
      <c r="I58" s="269">
        <f>'Monthly Data'!CD58</f>
        <v>30</v>
      </c>
      <c r="K58" s="18"/>
      <c r="L58" s="18">
        <f ca="1">(E58-F58)*'GS 1k-4,999 Predicted Monthly'!$T$11</f>
        <v>266487.16423898085</v>
      </c>
      <c r="M58" s="18"/>
      <c r="N58" s="18"/>
      <c r="O58" s="18"/>
      <c r="P58" s="18">
        <f t="shared" ca="1" si="3"/>
        <v>7630641.4678394273</v>
      </c>
    </row>
    <row r="59" spans="1:16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59">
        <f t="shared" ca="1" si="4"/>
        <v>7.1541666666666703</v>
      </c>
      <c r="F59" s="259">
        <f>'Monthly Data'!BE59</f>
        <v>3.8125000000000036</v>
      </c>
      <c r="G59" s="269">
        <f>'Monthly Data'!CG59</f>
        <v>0</v>
      </c>
      <c r="H59" s="269">
        <f>'Monthly Data'!AQ59</f>
        <v>207.5</v>
      </c>
      <c r="I59" s="269">
        <f>'Monthly Data'!CD59</f>
        <v>31</v>
      </c>
      <c r="K59" s="18"/>
      <c r="L59" s="18">
        <f ca="1">(E59-F59)*'GS 1k-4,999 Predicted Monthly'!$T$11</f>
        <v>29858.535593078483</v>
      </c>
      <c r="M59" s="18"/>
      <c r="N59" s="18"/>
      <c r="O59" s="18"/>
      <c r="P59" s="18">
        <f t="shared" ca="1" si="3"/>
        <v>6907168.9294905048</v>
      </c>
    </row>
    <row r="60" spans="1:16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59">
        <f t="shared" ca="1" si="4"/>
        <v>0.15041666666666628</v>
      </c>
      <c r="F60" s="259">
        <f>'Monthly Data'!BE60</f>
        <v>0</v>
      </c>
      <c r="G60" s="269">
        <f>'Monthly Data'!CG60</f>
        <v>0</v>
      </c>
      <c r="H60" s="269">
        <f>'Monthly Data'!AQ60</f>
        <v>206.3</v>
      </c>
      <c r="I60" s="269">
        <f>'Monthly Data'!CD60</f>
        <v>30</v>
      </c>
      <c r="K60" s="18"/>
      <c r="L60" s="18">
        <f ca="1">(E60-F60)*'GS 1k-4,999 Predicted Monthly'!$T$11</f>
        <v>1344.0064026310854</v>
      </c>
      <c r="M60" s="18"/>
      <c r="N60" s="18"/>
      <c r="O60" s="18"/>
      <c r="P60" s="18">
        <f t="shared" ca="1" si="3"/>
        <v>6505758.3801836539</v>
      </c>
    </row>
    <row r="61" spans="1:16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59">
        <f t="shared" ca="1" si="4"/>
        <v>0</v>
      </c>
      <c r="F61" s="259">
        <f>'Monthly Data'!BE61</f>
        <v>0</v>
      </c>
      <c r="G61" s="269">
        <f>'Monthly Data'!CG61</f>
        <v>0</v>
      </c>
      <c r="H61" s="269">
        <f>'Monthly Data'!AQ61</f>
        <v>207.6</v>
      </c>
      <c r="I61" s="269">
        <f>'Monthly Data'!CD61</f>
        <v>31</v>
      </c>
      <c r="K61" s="18"/>
      <c r="L61" s="18">
        <f ca="1">(E61-F61)*'GS 1k-4,999 Predicted Monthly'!$T$11</f>
        <v>0</v>
      </c>
      <c r="M61" s="18"/>
      <c r="N61" s="18"/>
      <c r="O61" s="18"/>
      <c r="P61" s="18">
        <f t="shared" ca="1" si="3"/>
        <v>6916748.0792108662</v>
      </c>
    </row>
    <row r="62" spans="1:16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59">
        <f t="shared" si="4"/>
        <v>0</v>
      </c>
      <c r="F62" s="259">
        <f>'Monthly Data'!BE62</f>
        <v>0</v>
      </c>
      <c r="G62" s="269">
        <f>'Monthly Data'!CG62</f>
        <v>0</v>
      </c>
      <c r="H62" s="269">
        <f>'Monthly Data'!AQ62</f>
        <v>208.1</v>
      </c>
      <c r="I62" s="269">
        <f>'Monthly Data'!CD62</f>
        <v>31</v>
      </c>
      <c r="K62" s="18"/>
      <c r="L62" s="18">
        <f>(E62-F62)*'GS 1k-4,999 Predicted Monthly'!$T$11</f>
        <v>0</v>
      </c>
      <c r="M62" s="18"/>
      <c r="N62" s="18"/>
      <c r="O62" s="18"/>
      <c r="P62" s="18">
        <f t="shared" si="3"/>
        <v>7135430.5825945279</v>
      </c>
    </row>
    <row r="63" spans="1:16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59">
        <f t="shared" ca="1" si="4"/>
        <v>0</v>
      </c>
      <c r="F63" s="259">
        <f>'Monthly Data'!BE63</f>
        <v>0</v>
      </c>
      <c r="G63" s="269">
        <f>'Monthly Data'!CG63</f>
        <v>0</v>
      </c>
      <c r="H63" s="269">
        <f>'Monthly Data'!AQ63</f>
        <v>210.7</v>
      </c>
      <c r="I63" s="269">
        <f>'Monthly Data'!CD63</f>
        <v>29</v>
      </c>
      <c r="K63" s="18"/>
      <c r="L63" s="18">
        <f ca="1">(E63-F63)*'GS 1k-4,999 Predicted Monthly'!$T$11</f>
        <v>0</v>
      </c>
      <c r="M63" s="18"/>
      <c r="N63" s="18"/>
      <c r="O63" s="18"/>
      <c r="P63" s="18">
        <f t="shared" ca="1" si="3"/>
        <v>6643831.0976723712</v>
      </c>
    </row>
    <row r="64" spans="1:16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59">
        <f t="shared" ca="1" si="4"/>
        <v>0</v>
      </c>
      <c r="F64" s="259">
        <f>'Monthly Data'!BE64</f>
        <v>0</v>
      </c>
      <c r="G64" s="269">
        <f>'Monthly Data'!CG64</f>
        <v>0.5</v>
      </c>
      <c r="H64" s="269">
        <f>'Monthly Data'!AQ64</f>
        <v>208.3</v>
      </c>
      <c r="I64" s="269">
        <f>'Monthly Data'!CD64</f>
        <v>31</v>
      </c>
      <c r="K64" s="18"/>
      <c r="L64" s="18">
        <f ca="1">(E64-F64)*'GS 1k-4,999 Predicted Monthly'!$T$11</f>
        <v>0</v>
      </c>
      <c r="M64" s="18"/>
      <c r="N64" s="18"/>
      <c r="O64" s="18"/>
      <c r="P64" s="18">
        <f t="shared" ca="1" si="3"/>
        <v>6564881.6992580527</v>
      </c>
    </row>
    <row r="65" spans="1:16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59">
        <f t="shared" ca="1" si="4"/>
        <v>0.4316666666666677</v>
      </c>
      <c r="F65" s="259">
        <f>'Monthly Data'!BE65</f>
        <v>0</v>
      </c>
      <c r="G65" s="269">
        <f>'Monthly Data'!CG65</f>
        <v>1</v>
      </c>
      <c r="H65" s="269">
        <f>'Monthly Data'!AQ65</f>
        <v>201.9</v>
      </c>
      <c r="I65" s="269">
        <f>'Monthly Data'!CD65</f>
        <v>30</v>
      </c>
      <c r="K65" s="18"/>
      <c r="L65" s="18">
        <f ca="1">(E65-F65)*'GS 1k-4,999 Predicted Monthly'!$T$11</f>
        <v>3857.0377648914441</v>
      </c>
      <c r="M65" s="18"/>
      <c r="N65" s="18"/>
      <c r="O65" s="18"/>
      <c r="P65" s="18">
        <f t="shared" ca="1" si="3"/>
        <v>5202745.1994808912</v>
      </c>
    </row>
    <row r="66" spans="1:16" x14ac:dyDescent="0.25">
      <c r="A66" s="3">
        <f>'Monthly Data'!A66</f>
        <v>43952</v>
      </c>
      <c r="B66" s="1">
        <f t="shared" ref="B66:B129" si="5">YEAR(A66)</f>
        <v>2020</v>
      </c>
      <c r="C66" s="1">
        <f t="shared" ref="C66:C129" si="6">MONTH(A66)</f>
        <v>5</v>
      </c>
      <c r="D66" s="259">
        <f>'Monthly Data'!S66</f>
        <v>5975758.5394809321</v>
      </c>
      <c r="E66" s="259">
        <f t="shared" ca="1" si="4"/>
        <v>29.4520183982684</v>
      </c>
      <c r="F66" s="259">
        <f>'Monthly Data'!BE66</f>
        <v>31.450595238095232</v>
      </c>
      <c r="G66" s="269">
        <f>'Monthly Data'!CG66</f>
        <v>1</v>
      </c>
      <c r="H66" s="269">
        <f>'Monthly Data'!AQ66</f>
        <v>193.3</v>
      </c>
      <c r="I66" s="269">
        <f>'Monthly Data'!CD66</f>
        <v>31</v>
      </c>
      <c r="K66" s="18"/>
      <c r="L66" s="18">
        <f ca="1">(E66-F66)*'GS 1k-4,999 Predicted Monthly'!$T$11</f>
        <v>-17857.728989767114</v>
      </c>
      <c r="M66" s="18"/>
      <c r="N66" s="18"/>
      <c r="O66" s="18"/>
      <c r="P66" s="18">
        <f t="shared" ca="1" si="3"/>
        <v>5957900.8104911651</v>
      </c>
    </row>
    <row r="67" spans="1:16" x14ac:dyDescent="0.25">
      <c r="A67" s="3">
        <f>'Monthly Data'!A67</f>
        <v>43983</v>
      </c>
      <c r="B67" s="1">
        <f t="shared" si="5"/>
        <v>2020</v>
      </c>
      <c r="C67" s="1">
        <f t="shared" si="6"/>
        <v>6</v>
      </c>
      <c r="D67" s="259">
        <f>'Monthly Data'!S67</f>
        <v>7052492.3045150973</v>
      </c>
      <c r="E67" s="259">
        <f t="shared" ca="1" si="4"/>
        <v>86.311049595332207</v>
      </c>
      <c r="F67" s="259">
        <f>'Monthly Data'!BE67</f>
        <v>115.68206521739128</v>
      </c>
      <c r="G67" s="269">
        <f>'Monthly Data'!CG67</f>
        <v>0.5</v>
      </c>
      <c r="H67" s="269">
        <f>'Monthly Data'!AQ67</f>
        <v>190.3</v>
      </c>
      <c r="I67" s="269">
        <f>'Monthly Data'!CD67</f>
        <v>30</v>
      </c>
      <c r="K67" s="18"/>
      <c r="L67" s="18">
        <f ca="1">(E67-F67)*'GS 1k-4,999 Predicted Monthly'!$T$11</f>
        <v>-262436.56319883745</v>
      </c>
      <c r="M67" s="18"/>
      <c r="N67" s="18"/>
      <c r="O67" s="18"/>
      <c r="P67" s="18">
        <f t="shared" ca="1" si="3"/>
        <v>6790055.7413162598</v>
      </c>
    </row>
    <row r="68" spans="1:16" x14ac:dyDescent="0.25">
      <c r="A68" s="3">
        <f>'Monthly Data'!A68</f>
        <v>44013</v>
      </c>
      <c r="B68" s="1">
        <f t="shared" si="5"/>
        <v>2020</v>
      </c>
      <c r="C68" s="1">
        <f t="shared" si="6"/>
        <v>7</v>
      </c>
      <c r="D68" s="259">
        <f>'Monthly Data'!S68</f>
        <v>8644136.8558436297</v>
      </c>
      <c r="E68" s="259">
        <f t="shared" ca="1" si="4"/>
        <v>174.0219619206118</v>
      </c>
      <c r="F68" s="259">
        <f>'Monthly Data'!BE68</f>
        <v>246.88749999999999</v>
      </c>
      <c r="G68" s="269">
        <f>'Monthly Data'!CG68</f>
        <v>0.5</v>
      </c>
      <c r="H68" s="269">
        <f>'Monthly Data'!AQ68</f>
        <v>195.6</v>
      </c>
      <c r="I68" s="269">
        <f>'Monthly Data'!CD68</f>
        <v>31</v>
      </c>
      <c r="K68" s="18"/>
      <c r="L68" s="18">
        <f ca="1">(E68-F68)*'GS 1k-4,999 Predicted Monthly'!$T$11</f>
        <v>-651069.80416525516</v>
      </c>
      <c r="M68" s="18"/>
      <c r="N68" s="18"/>
      <c r="O68" s="18"/>
      <c r="P68" s="18">
        <f t="shared" ca="1" si="3"/>
        <v>7993067.0516783744</v>
      </c>
    </row>
    <row r="69" spans="1:16" x14ac:dyDescent="0.25">
      <c r="A69" s="3">
        <f>'Monthly Data'!A69</f>
        <v>44044</v>
      </c>
      <c r="B69" s="1">
        <f t="shared" si="5"/>
        <v>2020</v>
      </c>
      <c r="C69" s="1">
        <f t="shared" si="6"/>
        <v>8</v>
      </c>
      <c r="D69" s="259">
        <f>'Monthly Data'!S69</f>
        <v>8115885.9892690107</v>
      </c>
      <c r="E69" s="259">
        <f t="shared" ca="1" si="4"/>
        <v>149.7160046113307</v>
      </c>
      <c r="F69" s="259">
        <f>'Monthly Data'!BE69</f>
        <v>154.93106060606064</v>
      </c>
      <c r="G69" s="269">
        <f>'Monthly Data'!CG69</f>
        <v>0.5</v>
      </c>
      <c r="H69" s="269">
        <f>'Monthly Data'!AQ69</f>
        <v>202.7</v>
      </c>
      <c r="I69" s="269">
        <f>'Monthly Data'!CD69</f>
        <v>31</v>
      </c>
      <c r="K69" s="18"/>
      <c r="L69" s="18">
        <f ca="1">(E69-F69)*'GS 1k-4,999 Predicted Monthly'!$T$11</f>
        <v>-46597.686295822787</v>
      </c>
      <c r="M69" s="18"/>
      <c r="N69" s="18"/>
      <c r="O69" s="18"/>
      <c r="P69" s="18">
        <f t="shared" ca="1" si="3"/>
        <v>8069288.3029731875</v>
      </c>
    </row>
    <row r="70" spans="1:16" x14ac:dyDescent="0.25">
      <c r="A70" s="3">
        <f>'Monthly Data'!A70</f>
        <v>44075</v>
      </c>
      <c r="B70" s="1">
        <f t="shared" si="5"/>
        <v>2020</v>
      </c>
      <c r="C70" s="1">
        <f t="shared" si="6"/>
        <v>9</v>
      </c>
      <c r="D70" s="259">
        <f>'Monthly Data'!S70</f>
        <v>6840875.8033127291</v>
      </c>
      <c r="E70" s="259">
        <f t="shared" ca="1" si="4"/>
        <v>62.345178571428576</v>
      </c>
      <c r="F70" s="259">
        <f>'Monthly Data'!BE70</f>
        <v>37.879166666666663</v>
      </c>
      <c r="G70" s="269">
        <f>'Monthly Data'!CG70</f>
        <v>0.5</v>
      </c>
      <c r="H70" s="269">
        <f>'Monthly Data'!AQ70</f>
        <v>208.8</v>
      </c>
      <c r="I70" s="269">
        <f>'Monthly Data'!CD70</f>
        <v>30</v>
      </c>
      <c r="K70" s="18"/>
      <c r="L70" s="18">
        <f ca="1">(E70-F70)*'GS 1k-4,999 Predicted Monthly'!$T$11</f>
        <v>218609.26302613929</v>
      </c>
      <c r="M70" s="18"/>
      <c r="N70" s="18"/>
      <c r="O70" s="18"/>
      <c r="P70" s="18">
        <f t="shared" ca="1" si="3"/>
        <v>7059485.0663388688</v>
      </c>
    </row>
    <row r="71" spans="1:16" x14ac:dyDescent="0.25">
      <c r="A71" s="3">
        <f>'Monthly Data'!A71</f>
        <v>44105</v>
      </c>
      <c r="B71" s="1">
        <f t="shared" si="5"/>
        <v>2020</v>
      </c>
      <c r="C71" s="1">
        <f t="shared" si="6"/>
        <v>10</v>
      </c>
      <c r="D71" s="259">
        <f>'Monthly Data'!S71</f>
        <v>6096532.0669815103</v>
      </c>
      <c r="E71" s="259">
        <f t="shared" ca="1" si="4"/>
        <v>7.1541666666666703</v>
      </c>
      <c r="F71" s="259">
        <f>'Monthly Data'!BE71</f>
        <v>0.22916666666666785</v>
      </c>
      <c r="G71" s="269">
        <f>'Monthly Data'!CG71</f>
        <v>0.5</v>
      </c>
      <c r="H71" s="269">
        <f>'Monthly Data'!AQ71</f>
        <v>213.3</v>
      </c>
      <c r="I71" s="269">
        <f>'Monthly Data'!CD71</f>
        <v>31</v>
      </c>
      <c r="K71" s="18"/>
      <c r="L71" s="18">
        <f ca="1">(E71-F71)*'GS 1k-4,999 Predicted Monthly'!$T$11</f>
        <v>61876.416652988104</v>
      </c>
      <c r="M71" s="18"/>
      <c r="N71" s="18"/>
      <c r="O71" s="18"/>
      <c r="P71" s="18">
        <f t="shared" ca="1" si="3"/>
        <v>6158408.483634498</v>
      </c>
    </row>
    <row r="72" spans="1:16" x14ac:dyDescent="0.25">
      <c r="A72" s="3">
        <f>'Monthly Data'!A72</f>
        <v>44136</v>
      </c>
      <c r="B72" s="1">
        <f t="shared" si="5"/>
        <v>2020</v>
      </c>
      <c r="C72" s="1">
        <f t="shared" si="6"/>
        <v>11</v>
      </c>
      <c r="D72" s="259">
        <f>'Monthly Data'!S72</f>
        <v>6275162.6858837437</v>
      </c>
      <c r="E72" s="259">
        <f t="shared" ca="1" si="4"/>
        <v>0.15041666666666628</v>
      </c>
      <c r="F72" s="259">
        <f>'Monthly Data'!BE72</f>
        <v>0</v>
      </c>
      <c r="G72" s="269">
        <f>'Monthly Data'!CG72</f>
        <v>0.5</v>
      </c>
      <c r="H72" s="269">
        <f>'Monthly Data'!AQ72</f>
        <v>214.2</v>
      </c>
      <c r="I72" s="269">
        <f>'Monthly Data'!CD72</f>
        <v>30</v>
      </c>
      <c r="K72" s="18"/>
      <c r="L72" s="18">
        <f ca="1">(E72-F72)*'GS 1k-4,999 Predicted Monthly'!$T$11</f>
        <v>1344.0064026310854</v>
      </c>
      <c r="M72" s="18"/>
      <c r="N72" s="18"/>
      <c r="O72" s="18"/>
      <c r="P72" s="18">
        <f t="shared" ref="P72:P121" ca="1" si="7">SUM(D72,K72:O72)</f>
        <v>6276506.692286375</v>
      </c>
    </row>
    <row r="73" spans="1:16" x14ac:dyDescent="0.25">
      <c r="A73" s="3">
        <f>'Monthly Data'!A73</f>
        <v>44166</v>
      </c>
      <c r="B73" s="1">
        <f t="shared" si="5"/>
        <v>2020</v>
      </c>
      <c r="C73" s="1">
        <f t="shared" si="6"/>
        <v>12</v>
      </c>
      <c r="D73" s="259">
        <f>'Monthly Data'!S73</f>
        <v>6594890.4345861645</v>
      </c>
      <c r="E73" s="259">
        <f t="shared" ca="1" si="4"/>
        <v>0</v>
      </c>
      <c r="F73" s="259">
        <f>'Monthly Data'!BE73</f>
        <v>0</v>
      </c>
      <c r="G73" s="269">
        <f>'Monthly Data'!CG73</f>
        <v>0.5</v>
      </c>
      <c r="H73" s="269">
        <f>'Monthly Data'!AQ73</f>
        <v>213.6</v>
      </c>
      <c r="I73" s="269">
        <f>'Monthly Data'!CD73</f>
        <v>31</v>
      </c>
      <c r="K73" s="18"/>
      <c r="L73" s="18">
        <f ca="1">(E73-F73)*'GS 1k-4,999 Predicted Monthly'!$T$11</f>
        <v>0</v>
      </c>
      <c r="M73" s="18"/>
      <c r="N73" s="18"/>
      <c r="O73" s="18"/>
      <c r="P73" s="18">
        <f t="shared" ca="1" si="7"/>
        <v>6594890.4345861645</v>
      </c>
    </row>
    <row r="74" spans="1:16" x14ac:dyDescent="0.25">
      <c r="A74" s="3">
        <f>'Monthly Data'!A74</f>
        <v>44197</v>
      </c>
      <c r="B74" s="1">
        <f t="shared" si="5"/>
        <v>2021</v>
      </c>
      <c r="C74" s="1">
        <f t="shared" si="6"/>
        <v>1</v>
      </c>
      <c r="D74" s="259">
        <f ca="1">'Monthly Data'!S74</f>
        <v>6463542.8741169646</v>
      </c>
      <c r="E74" s="259">
        <f t="shared" si="4"/>
        <v>0</v>
      </c>
      <c r="F74" s="259">
        <f>'Monthly Data'!BE74</f>
        <v>0</v>
      </c>
      <c r="G74" s="269">
        <f>'Monthly Data'!CG74</f>
        <v>0.5</v>
      </c>
      <c r="H74" s="269">
        <f>'Monthly Data'!AQ74</f>
        <v>207.3</v>
      </c>
      <c r="I74" s="269">
        <f>'Monthly Data'!CD74</f>
        <v>31</v>
      </c>
      <c r="K74" s="18"/>
      <c r="L74" s="18">
        <f>(E74-F74)*'GS 1k-4,999 Predicted Monthly'!$T$11</f>
        <v>0</v>
      </c>
      <c r="M74" s="18"/>
      <c r="N74" s="18"/>
      <c r="O74" s="18"/>
      <c r="P74" s="18">
        <f t="shared" ca="1" si="7"/>
        <v>6463542.8741169646</v>
      </c>
    </row>
    <row r="75" spans="1:16" x14ac:dyDescent="0.25">
      <c r="A75" s="3">
        <f>'Monthly Data'!A75</f>
        <v>44228</v>
      </c>
      <c r="B75" s="1">
        <f t="shared" si="5"/>
        <v>2021</v>
      </c>
      <c r="C75" s="1">
        <f t="shared" si="6"/>
        <v>2</v>
      </c>
      <c r="D75" s="259">
        <f ca="1">'Monthly Data'!S75</f>
        <v>5458795.4616897674</v>
      </c>
      <c r="E75" s="259">
        <f t="shared" ca="1" si="4"/>
        <v>0</v>
      </c>
      <c r="F75" s="259">
        <f>'Monthly Data'!BE75</f>
        <v>0</v>
      </c>
      <c r="G75" s="269">
        <f>'Monthly Data'!CG75</f>
        <v>0.5</v>
      </c>
      <c r="H75" s="269">
        <f>'Monthly Data'!AQ75</f>
        <v>205.4</v>
      </c>
      <c r="I75" s="269">
        <f>'Monthly Data'!CD75</f>
        <v>28</v>
      </c>
      <c r="K75" s="18"/>
      <c r="L75" s="18">
        <f ca="1">(E75-F75)*'GS 1k-4,999 Predicted Monthly'!$T$11</f>
        <v>0</v>
      </c>
      <c r="M75" s="18"/>
      <c r="N75" s="18"/>
      <c r="O75" s="18"/>
      <c r="P75" s="18">
        <f t="shared" ca="1" si="7"/>
        <v>5458795.4616897674</v>
      </c>
    </row>
    <row r="76" spans="1:16" x14ac:dyDescent="0.25">
      <c r="A76" s="3">
        <f>'Monthly Data'!A76</f>
        <v>44256</v>
      </c>
      <c r="B76" s="1">
        <f t="shared" si="5"/>
        <v>2021</v>
      </c>
      <c r="C76" s="1">
        <f t="shared" si="6"/>
        <v>3</v>
      </c>
      <c r="D76" s="259">
        <f ca="1">'Monthly Data'!S76</f>
        <v>6088324.3268875144</v>
      </c>
      <c r="E76" s="259">
        <f t="shared" ca="1" si="4"/>
        <v>0</v>
      </c>
      <c r="F76" s="259">
        <f>'Monthly Data'!BE76</f>
        <v>0</v>
      </c>
      <c r="G76" s="269">
        <f>'Monthly Data'!CG76</f>
        <v>0.5</v>
      </c>
      <c r="H76" s="269">
        <f>'Monthly Data'!AQ76</f>
        <v>204.5</v>
      </c>
      <c r="I76" s="269">
        <f>'Monthly Data'!CD76</f>
        <v>31</v>
      </c>
      <c r="K76" s="18"/>
      <c r="L76" s="18">
        <f ca="1">(E76-F76)*'GS 1k-4,999 Predicted Monthly'!$T$11</f>
        <v>0</v>
      </c>
      <c r="M76" s="18"/>
      <c r="N76" s="18"/>
      <c r="O76" s="18"/>
      <c r="P76" s="18">
        <f t="shared" ca="1" si="7"/>
        <v>6088324.3268875144</v>
      </c>
    </row>
    <row r="77" spans="1:16" x14ac:dyDescent="0.25">
      <c r="A77" s="3">
        <f>'Monthly Data'!A77</f>
        <v>44287</v>
      </c>
      <c r="B77" s="1">
        <f t="shared" si="5"/>
        <v>2021</v>
      </c>
      <c r="C77" s="1">
        <f t="shared" si="6"/>
        <v>4</v>
      </c>
      <c r="D77" s="259">
        <f ca="1">'Monthly Data'!S77</f>
        <v>6926734.3908607904</v>
      </c>
      <c r="E77" s="259">
        <f t="shared" ca="1" si="4"/>
        <v>0.4316666666666677</v>
      </c>
      <c r="F77" s="259">
        <f>'Monthly Data'!BE77</f>
        <v>0.21249999999999858</v>
      </c>
      <c r="G77" s="269">
        <f>'Monthly Data'!CG77</f>
        <v>0.5</v>
      </c>
      <c r="H77" s="269">
        <f>'Monthly Data'!AQ77</f>
        <v>206</v>
      </c>
      <c r="I77" s="269">
        <f>'Monthly Data'!CD77</f>
        <v>30</v>
      </c>
      <c r="K77" s="18"/>
      <c r="L77" s="18">
        <f ca="1">(E77-F77)*'GS 1k-4,999 Predicted Monthly'!$T$11</f>
        <v>1958.3029578503065</v>
      </c>
      <c r="M77" s="18"/>
      <c r="N77" s="18"/>
      <c r="O77" s="18"/>
      <c r="P77" s="18">
        <f t="shared" ca="1" si="7"/>
        <v>6928692.6938186409</v>
      </c>
    </row>
    <row r="78" spans="1:16" x14ac:dyDescent="0.25">
      <c r="A78" s="3">
        <f>'Monthly Data'!A78</f>
        <v>44317</v>
      </c>
      <c r="B78" s="1">
        <f t="shared" si="5"/>
        <v>2021</v>
      </c>
      <c r="C78" s="1">
        <f t="shared" si="6"/>
        <v>5</v>
      </c>
      <c r="D78" s="259">
        <f ca="1">'Monthly Data'!S78</f>
        <v>6680382.3897179896</v>
      </c>
      <c r="E78" s="259">
        <f t="shared" ca="1" si="4"/>
        <v>29.4520183982684</v>
      </c>
      <c r="F78" s="259">
        <f>'Monthly Data'!BE78</f>
        <v>35.574999999999996</v>
      </c>
      <c r="G78" s="269">
        <f>'Monthly Data'!CG78</f>
        <v>0.5</v>
      </c>
      <c r="H78" s="269">
        <f>'Monthly Data'!AQ78</f>
        <v>204.1</v>
      </c>
      <c r="I78" s="269">
        <f>'Monthly Data'!CD78</f>
        <v>31</v>
      </c>
      <c r="K78" s="18"/>
      <c r="L78" s="18">
        <f ca="1">(E78-F78)*'GS 1k-4,999 Predicted Monthly'!$T$11</f>
        <v>-54710.203718025201</v>
      </c>
      <c r="M78" s="18"/>
      <c r="N78" s="18"/>
      <c r="O78" s="18"/>
      <c r="P78" s="18">
        <f t="shared" ca="1" si="7"/>
        <v>6625672.1859999644</v>
      </c>
    </row>
    <row r="79" spans="1:16" x14ac:dyDescent="0.25">
      <c r="A79" s="3">
        <f>'Monthly Data'!A79</f>
        <v>44348</v>
      </c>
      <c r="B79" s="1">
        <f t="shared" si="5"/>
        <v>2021</v>
      </c>
      <c r="C79" s="1">
        <f t="shared" si="6"/>
        <v>6</v>
      </c>
      <c r="D79" s="259">
        <f ca="1">'Monthly Data'!S79</f>
        <v>7248113.315856941</v>
      </c>
      <c r="E79" s="259">
        <f t="shared" ref="E79:E121" ca="1" si="8">E67</f>
        <v>86.311049595332207</v>
      </c>
      <c r="F79" s="259">
        <f>'Monthly Data'!BE79</f>
        <v>124.94583333333331</v>
      </c>
      <c r="G79" s="269">
        <f>'Monthly Data'!CG79</f>
        <v>0.5</v>
      </c>
      <c r="H79" s="269">
        <f>'Monthly Data'!AQ79</f>
        <v>203.9</v>
      </c>
      <c r="I79" s="269">
        <f>'Monthly Data'!CD79</f>
        <v>30</v>
      </c>
      <c r="K79" s="18"/>
      <c r="L79" s="18">
        <f ca="1">(E79-F79)*'GS 1k-4,999 Predicted Monthly'!$T$11</f>
        <v>-345210.39362752991</v>
      </c>
      <c r="M79" s="18"/>
      <c r="N79" s="18"/>
      <c r="O79" s="18"/>
      <c r="P79" s="18">
        <f t="shared" ca="1" si="7"/>
        <v>6902902.9222294111</v>
      </c>
    </row>
    <row r="80" spans="1:16" x14ac:dyDescent="0.25">
      <c r="A80" s="3">
        <f>'Monthly Data'!A80</f>
        <v>44378</v>
      </c>
      <c r="B80" s="1">
        <f t="shared" si="5"/>
        <v>2021</v>
      </c>
      <c r="C80" s="1">
        <f t="shared" si="6"/>
        <v>7</v>
      </c>
      <c r="D80" s="259">
        <f ca="1">'Monthly Data'!S80</f>
        <v>7248195.6049929485</v>
      </c>
      <c r="E80" s="259">
        <f t="shared" ca="1" si="8"/>
        <v>174.0219619206118</v>
      </c>
      <c r="F80" s="259">
        <f>'Monthly Data'!BE80</f>
        <v>131.62083333333331</v>
      </c>
      <c r="G80" s="269">
        <f>'Monthly Data'!CG80</f>
        <v>0.5</v>
      </c>
      <c r="H80" s="269">
        <f>'Monthly Data'!AQ80</f>
        <v>205.7</v>
      </c>
      <c r="I80" s="269">
        <f>'Monthly Data'!CD80</f>
        <v>31</v>
      </c>
      <c r="K80" s="18"/>
      <c r="L80" s="18">
        <f ca="1">(E80-F80)*'GS 1k-4,999 Predicted Monthly'!$T$11</f>
        <v>378863.52332467405</v>
      </c>
      <c r="M80" s="18"/>
      <c r="N80" s="18"/>
      <c r="O80" s="18"/>
      <c r="P80" s="18">
        <f t="shared" ca="1" si="7"/>
        <v>7627059.1283176225</v>
      </c>
    </row>
    <row r="81" spans="1:16" x14ac:dyDescent="0.25">
      <c r="A81" s="3">
        <f>'Monthly Data'!A81</f>
        <v>44409</v>
      </c>
      <c r="B81" s="1">
        <f t="shared" si="5"/>
        <v>2021</v>
      </c>
      <c r="C81" s="1">
        <f t="shared" si="6"/>
        <v>8</v>
      </c>
      <c r="D81" s="259">
        <f ca="1">'Monthly Data'!S81</f>
        <v>8367078.5521161593</v>
      </c>
      <c r="E81" s="259">
        <f t="shared" ca="1" si="8"/>
        <v>149.7160046113307</v>
      </c>
      <c r="F81" s="259">
        <f>'Monthly Data'!BE81</f>
        <v>204.06249999999994</v>
      </c>
      <c r="G81" s="269">
        <f>'Monthly Data'!CG81</f>
        <v>0.5</v>
      </c>
      <c r="H81" s="269">
        <f>'Monthly Data'!AQ81</f>
        <v>208.6</v>
      </c>
      <c r="I81" s="269">
        <f>'Monthly Data'!CD81</f>
        <v>31</v>
      </c>
      <c r="K81" s="18"/>
      <c r="L81" s="18">
        <f ca="1">(E81-F81)*'GS 1k-4,999 Predicted Monthly'!$T$11</f>
        <v>-485598.03498902428</v>
      </c>
      <c r="M81" s="18"/>
      <c r="N81" s="18"/>
      <c r="O81" s="18"/>
      <c r="P81" s="18">
        <f t="shared" ca="1" si="7"/>
        <v>7881480.5171271348</v>
      </c>
    </row>
    <row r="82" spans="1:16" x14ac:dyDescent="0.25">
      <c r="A82" s="3">
        <f>'Monthly Data'!A82</f>
        <v>44440</v>
      </c>
      <c r="B82" s="1">
        <f t="shared" si="5"/>
        <v>2021</v>
      </c>
      <c r="C82" s="1">
        <f t="shared" si="6"/>
        <v>9</v>
      </c>
      <c r="D82" s="259">
        <f ca="1">'Monthly Data'!S82</f>
        <v>6410256.2772931</v>
      </c>
      <c r="E82" s="259">
        <f t="shared" ca="1" si="8"/>
        <v>62.345178571428576</v>
      </c>
      <c r="F82" s="259">
        <f>'Monthly Data'!BE82</f>
        <v>49.341666666666683</v>
      </c>
      <c r="G82" s="269">
        <f>'Monthly Data'!CG82</f>
        <v>0.5</v>
      </c>
      <c r="H82" s="269">
        <f>'Monthly Data'!AQ82</f>
        <v>212.9</v>
      </c>
      <c r="I82" s="269">
        <f>'Monthly Data'!CD82</f>
        <v>30</v>
      </c>
      <c r="K82" s="18"/>
      <c r="L82" s="18">
        <f ca="1">(E82-F82)*'GS 1k-4,999 Predicted Monthly'!$T$11</f>
        <v>116189.27372868413</v>
      </c>
      <c r="M82" s="18"/>
      <c r="N82" s="18"/>
      <c r="O82" s="18"/>
      <c r="P82" s="18">
        <f t="shared" ca="1" si="7"/>
        <v>6526445.5510217845</v>
      </c>
    </row>
    <row r="83" spans="1:16" x14ac:dyDescent="0.25">
      <c r="A83" s="3">
        <f>'Monthly Data'!A83</f>
        <v>44470</v>
      </c>
      <c r="B83" s="1">
        <f t="shared" si="5"/>
        <v>2021</v>
      </c>
      <c r="C83" s="1">
        <f t="shared" si="6"/>
        <v>10</v>
      </c>
      <c r="D83" s="259">
        <f ca="1">'Monthly Data'!S83</f>
        <v>6890337.5874573551</v>
      </c>
      <c r="E83" s="259">
        <f t="shared" ca="1" si="8"/>
        <v>7.1541666666666703</v>
      </c>
      <c r="F83" s="259">
        <f>'Monthly Data'!BE83</f>
        <v>18.245833333333344</v>
      </c>
      <c r="G83" s="269">
        <f>'Monthly Data'!CG83</f>
        <v>0.5</v>
      </c>
      <c r="H83" s="269">
        <f>'Monthly Data'!AQ83</f>
        <v>217.2</v>
      </c>
      <c r="I83" s="269">
        <f>'Monthly Data'!CD83</f>
        <v>31</v>
      </c>
      <c r="K83" s="18"/>
      <c r="L83" s="18">
        <f ca="1">(E83-F83)*'GS 1k-4,999 Predicted Monthly'!$T$11</f>
        <v>-99106.510908696975</v>
      </c>
      <c r="M83" s="18"/>
      <c r="N83" s="18"/>
      <c r="O83" s="18"/>
      <c r="P83" s="18">
        <f t="shared" ca="1" si="7"/>
        <v>6791231.0765486583</v>
      </c>
    </row>
    <row r="84" spans="1:16" x14ac:dyDescent="0.25">
      <c r="A84" s="3">
        <f>'Monthly Data'!A84</f>
        <v>44501</v>
      </c>
      <c r="B84" s="1">
        <f t="shared" si="5"/>
        <v>2021</v>
      </c>
      <c r="C84" s="1">
        <f t="shared" si="6"/>
        <v>11</v>
      </c>
      <c r="D84" s="259">
        <f ca="1">'Monthly Data'!S84</f>
        <v>6745645.0199029651</v>
      </c>
      <c r="E84" s="259">
        <f t="shared" ca="1" si="8"/>
        <v>0.15041666666666628</v>
      </c>
      <c r="F84" s="259">
        <f>'Monthly Data'!BE84</f>
        <v>0</v>
      </c>
      <c r="G84" s="269">
        <f>'Monthly Data'!CG84</f>
        <v>0.5</v>
      </c>
      <c r="H84" s="269">
        <f>'Monthly Data'!AQ84</f>
        <v>222.6</v>
      </c>
      <c r="I84" s="269">
        <f>'Monthly Data'!CD84</f>
        <v>30</v>
      </c>
      <c r="K84" s="18"/>
      <c r="L84" s="18">
        <f ca="1">(E84-F84)*'GS 1k-4,999 Predicted Monthly'!$T$11</f>
        <v>1344.0064026310854</v>
      </c>
      <c r="M84" s="18"/>
      <c r="N84" s="18"/>
      <c r="O84" s="18"/>
      <c r="P84" s="18">
        <f t="shared" ca="1" si="7"/>
        <v>6746989.0263055963</v>
      </c>
    </row>
    <row r="85" spans="1:16" x14ac:dyDescent="0.25">
      <c r="A85" s="3">
        <f>'Monthly Data'!A85</f>
        <v>44531</v>
      </c>
      <c r="B85" s="1">
        <f t="shared" si="5"/>
        <v>2021</v>
      </c>
      <c r="C85" s="1">
        <f t="shared" si="6"/>
        <v>12</v>
      </c>
      <c r="D85" s="259">
        <f ca="1">'Monthly Data'!S85</f>
        <v>6129735.4379778169</v>
      </c>
      <c r="E85" s="259">
        <f t="shared" ca="1" si="8"/>
        <v>0</v>
      </c>
      <c r="F85" s="259">
        <f>'Monthly Data'!BE85</f>
        <v>0</v>
      </c>
      <c r="G85" s="269">
        <f>'Monthly Data'!CG85</f>
        <v>0.5</v>
      </c>
      <c r="H85" s="269">
        <f>'Monthly Data'!AQ85</f>
        <v>223.5</v>
      </c>
      <c r="I85" s="269">
        <f>'Monthly Data'!CD85</f>
        <v>31</v>
      </c>
      <c r="K85" s="18"/>
      <c r="L85" s="18">
        <f ca="1">(E85-F85)*'GS 1k-4,999 Predicted Monthly'!$T$11</f>
        <v>0</v>
      </c>
      <c r="M85" s="18"/>
      <c r="N85" s="18"/>
      <c r="O85" s="18"/>
      <c r="P85" s="18">
        <f t="shared" ca="1" si="7"/>
        <v>6129735.4379778169</v>
      </c>
    </row>
    <row r="86" spans="1:16" x14ac:dyDescent="0.25">
      <c r="A86" s="3">
        <f>'Monthly Data'!A86</f>
        <v>44562</v>
      </c>
      <c r="B86" s="1">
        <f t="shared" si="5"/>
        <v>2022</v>
      </c>
      <c r="C86" s="1">
        <f t="shared" si="6"/>
        <v>1</v>
      </c>
      <c r="D86" s="259">
        <f ca="1">'Monthly Data'!S86</f>
        <v>6908368.2735126922</v>
      </c>
      <c r="E86" s="259">
        <f t="shared" si="8"/>
        <v>0</v>
      </c>
      <c r="F86" s="259">
        <f>'Monthly Data'!BE86</f>
        <v>0</v>
      </c>
      <c r="G86" s="269">
        <f>'Monthly Data'!CG86</f>
        <v>0.25</v>
      </c>
      <c r="H86" s="269">
        <f>'Monthly Data'!AQ86</f>
        <v>221.3</v>
      </c>
      <c r="I86" s="269">
        <f>'Monthly Data'!CD86</f>
        <v>31</v>
      </c>
      <c r="K86" s="18"/>
      <c r="L86" s="18">
        <f>(E86-F86)*'GS 1k-4,999 Predicted Monthly'!$T$11</f>
        <v>0</v>
      </c>
      <c r="M86" s="18"/>
      <c r="N86" s="18"/>
      <c r="O86" s="18"/>
      <c r="P86" s="18">
        <f t="shared" ca="1" si="7"/>
        <v>6908368.2735126922</v>
      </c>
    </row>
    <row r="87" spans="1:16" x14ac:dyDescent="0.25">
      <c r="A87" s="3">
        <f>'Monthly Data'!A87</f>
        <v>44593</v>
      </c>
      <c r="B87" s="1">
        <f t="shared" si="5"/>
        <v>2022</v>
      </c>
      <c r="C87" s="1">
        <f t="shared" si="6"/>
        <v>2</v>
      </c>
      <c r="D87" s="259">
        <f ca="1">'Monthly Data'!S87</f>
        <v>7161065.1241702577</v>
      </c>
      <c r="E87" s="259">
        <f t="shared" ca="1" si="8"/>
        <v>0</v>
      </c>
      <c r="F87" s="259">
        <f>'Monthly Data'!BE87</f>
        <v>0</v>
      </c>
      <c r="G87" s="269">
        <f>'Monthly Data'!CG87</f>
        <v>0.25</v>
      </c>
      <c r="H87" s="269">
        <f>'Monthly Data'!AQ87</f>
        <v>221.3</v>
      </c>
      <c r="I87" s="269">
        <f>'Monthly Data'!CD87</f>
        <v>28</v>
      </c>
      <c r="K87" s="18"/>
      <c r="L87" s="18">
        <f ca="1">(E87-F87)*'GS 1k-4,999 Predicted Monthly'!$T$11</f>
        <v>0</v>
      </c>
      <c r="M87" s="18"/>
      <c r="N87" s="18"/>
      <c r="O87" s="18"/>
      <c r="P87" s="18">
        <f t="shared" ca="1" si="7"/>
        <v>7161065.1241702577</v>
      </c>
    </row>
    <row r="88" spans="1:16" x14ac:dyDescent="0.25">
      <c r="A88" s="3">
        <f>'Monthly Data'!A88</f>
        <v>44621</v>
      </c>
      <c r="B88" s="1">
        <f t="shared" si="5"/>
        <v>2022</v>
      </c>
      <c r="C88" s="1">
        <f t="shared" si="6"/>
        <v>3</v>
      </c>
      <c r="D88" s="259">
        <f ca="1">'Monthly Data'!S88</f>
        <v>7060294.2042749701</v>
      </c>
      <c r="E88" s="259">
        <f t="shared" ca="1" si="8"/>
        <v>0</v>
      </c>
      <c r="F88" s="259">
        <f>'Monthly Data'!BE88</f>
        <v>0</v>
      </c>
      <c r="G88" s="269">
        <f>'Monthly Data'!CG88</f>
        <v>0.25</v>
      </c>
      <c r="H88" s="269">
        <f>'Monthly Data'!AQ88</f>
        <v>222.7</v>
      </c>
      <c r="I88" s="269">
        <f>'Monthly Data'!CD88</f>
        <v>31</v>
      </c>
      <c r="K88" s="18"/>
      <c r="L88" s="18">
        <f ca="1">(E88-F88)*'GS 1k-4,999 Predicted Monthly'!$T$11</f>
        <v>0</v>
      </c>
      <c r="M88" s="18"/>
      <c r="N88" s="18"/>
      <c r="O88" s="18"/>
      <c r="P88" s="18">
        <f t="shared" ca="1" si="7"/>
        <v>7060294.2042749701</v>
      </c>
    </row>
    <row r="89" spans="1:16" x14ac:dyDescent="0.25">
      <c r="A89" s="3">
        <f>'Monthly Data'!A89</f>
        <v>44652</v>
      </c>
      <c r="B89" s="1">
        <f t="shared" si="5"/>
        <v>2022</v>
      </c>
      <c r="C89" s="1">
        <f t="shared" si="6"/>
        <v>4</v>
      </c>
      <c r="D89" s="259">
        <f ca="1">'Monthly Data'!S89</f>
        <v>6937129.8462657398</v>
      </c>
      <c r="E89" s="259">
        <f t="shared" ca="1" si="8"/>
        <v>0.4316666666666677</v>
      </c>
      <c r="F89" s="259">
        <f>'Monthly Data'!BE89</f>
        <v>0</v>
      </c>
      <c r="G89" s="269">
        <f>'Monthly Data'!CG89</f>
        <v>0.25</v>
      </c>
      <c r="H89" s="269">
        <f>'Monthly Data'!AQ89</f>
        <v>227.3</v>
      </c>
      <c r="I89" s="269">
        <f>'Monthly Data'!CD89</f>
        <v>30</v>
      </c>
      <c r="K89" s="18"/>
      <c r="L89" s="18">
        <f ca="1">(E89-F89)*'GS 1k-4,999 Predicted Monthly'!$T$11</f>
        <v>3857.0377648914441</v>
      </c>
      <c r="M89" s="18"/>
      <c r="N89" s="18"/>
      <c r="O89" s="18"/>
      <c r="P89" s="18">
        <f t="shared" ca="1" si="7"/>
        <v>6940986.8840306308</v>
      </c>
    </row>
    <row r="90" spans="1:16" x14ac:dyDescent="0.25">
      <c r="A90" s="3">
        <f>'Monthly Data'!A90</f>
        <v>44682</v>
      </c>
      <c r="B90" s="1">
        <f t="shared" si="5"/>
        <v>2022</v>
      </c>
      <c r="C90" s="1">
        <f t="shared" si="6"/>
        <v>5</v>
      </c>
      <c r="D90" s="259">
        <f ca="1">'Monthly Data'!S90</f>
        <v>7876523.1750036683</v>
      </c>
      <c r="E90" s="259">
        <f t="shared" ca="1" si="8"/>
        <v>29.4520183982684</v>
      </c>
      <c r="F90" s="259">
        <f>'Monthly Data'!BE90</f>
        <v>41.6875</v>
      </c>
      <c r="G90" s="269">
        <f>'Monthly Data'!CG90</f>
        <v>0.25</v>
      </c>
      <c r="H90" s="269">
        <f>'Monthly Data'!AQ90</f>
        <v>229.3</v>
      </c>
      <c r="I90" s="269">
        <f>'Monthly Data'!CD90</f>
        <v>31</v>
      </c>
      <c r="K90" s="18"/>
      <c r="L90" s="18">
        <f ca="1">(E90-F90)*'GS 1k-4,999 Predicted Monthly'!$T$11</f>
        <v>-109326.7519911501</v>
      </c>
      <c r="M90" s="18"/>
      <c r="N90" s="18"/>
      <c r="O90" s="18"/>
      <c r="P90" s="18">
        <f t="shared" ca="1" si="7"/>
        <v>7767196.4230125183</v>
      </c>
    </row>
    <row r="91" spans="1:16" x14ac:dyDescent="0.25">
      <c r="A91" s="3">
        <f>'Monthly Data'!A91</f>
        <v>44713</v>
      </c>
      <c r="B91" s="1">
        <f t="shared" si="5"/>
        <v>2022</v>
      </c>
      <c r="C91" s="1">
        <f t="shared" si="6"/>
        <v>6</v>
      </c>
      <c r="D91" s="259">
        <f ca="1">'Monthly Data'!S91</f>
        <v>8322270.4452530704</v>
      </c>
      <c r="E91" s="259">
        <f t="shared" ca="1" si="8"/>
        <v>86.311049595332207</v>
      </c>
      <c r="F91" s="259">
        <f>'Monthly Data'!BE91</f>
        <v>67.11282467532466</v>
      </c>
      <c r="G91" s="269">
        <f>'Monthly Data'!CG91</f>
        <v>0.25</v>
      </c>
      <c r="H91" s="269">
        <f>'Monthly Data'!AQ91</f>
        <v>229.9</v>
      </c>
      <c r="I91" s="269">
        <f>'Monthly Data'!CD91</f>
        <v>30</v>
      </c>
      <c r="K91" s="18"/>
      <c r="L91" s="18">
        <f ca="1">(E91-F91)*'GS 1k-4,999 Predicted Monthly'!$T$11</f>
        <v>171540.41359540299</v>
      </c>
      <c r="M91" s="18"/>
      <c r="N91" s="18"/>
      <c r="O91" s="18"/>
      <c r="P91" s="18">
        <f t="shared" ca="1" si="7"/>
        <v>8493810.8588484731</v>
      </c>
    </row>
    <row r="92" spans="1:16" x14ac:dyDescent="0.25">
      <c r="A92" s="3">
        <f>'Monthly Data'!A92</f>
        <v>44743</v>
      </c>
      <c r="B92" s="1">
        <f t="shared" si="5"/>
        <v>2022</v>
      </c>
      <c r="C92" s="1">
        <f t="shared" si="6"/>
        <v>7</v>
      </c>
      <c r="D92" s="259">
        <f ca="1">'Monthly Data'!S92</f>
        <v>8827559.3099206332</v>
      </c>
      <c r="E92" s="259">
        <f t="shared" ca="1" si="8"/>
        <v>174.0219619206118</v>
      </c>
      <c r="F92" s="259">
        <f>'Monthly Data'!BE92</f>
        <v>159.8543382913806</v>
      </c>
      <c r="G92" s="269">
        <f>'Monthly Data'!CG92</f>
        <v>0.25</v>
      </c>
      <c r="H92" s="269">
        <f>'Monthly Data'!AQ92</f>
        <v>228.8</v>
      </c>
      <c r="I92" s="269">
        <f>'Monthly Data'!CD92</f>
        <v>31</v>
      </c>
      <c r="K92" s="18"/>
      <c r="L92" s="18">
        <f ca="1">(E92-F92)*'GS 1k-4,999 Predicted Monthly'!$T$11</f>
        <v>126590.87114296446</v>
      </c>
      <c r="M92" s="18"/>
      <c r="N92" s="18"/>
      <c r="O92" s="18"/>
      <c r="P92" s="18">
        <f t="shared" ca="1" si="7"/>
        <v>8954150.181063598</v>
      </c>
    </row>
    <row r="93" spans="1:16" x14ac:dyDescent="0.25">
      <c r="A93" s="3">
        <f>'Monthly Data'!A93</f>
        <v>44774</v>
      </c>
      <c r="B93" s="1">
        <f t="shared" si="5"/>
        <v>2022</v>
      </c>
      <c r="C93" s="1">
        <f t="shared" si="6"/>
        <v>8</v>
      </c>
      <c r="D93" s="259">
        <f ca="1">'Monthly Data'!S93</f>
        <v>8328062.3203116339</v>
      </c>
      <c r="E93" s="259">
        <f t="shared" ca="1" si="8"/>
        <v>149.7160046113307</v>
      </c>
      <c r="F93" s="259">
        <f>'Monthly Data'!BE93</f>
        <v>166.28333333333327</v>
      </c>
      <c r="G93" s="269">
        <f>'Monthly Data'!CG93</f>
        <v>0.25</v>
      </c>
      <c r="H93" s="269">
        <f>'Monthly Data'!AQ93</f>
        <v>227.3</v>
      </c>
      <c r="I93" s="269">
        <f>'Monthly Data'!CD93</f>
        <v>31</v>
      </c>
      <c r="K93" s="18"/>
      <c r="L93" s="18">
        <f ca="1">(E93-F93)*'GS 1k-4,999 Predicted Monthly'!$T$11</f>
        <v>-148032.77037251228</v>
      </c>
      <c r="M93" s="18"/>
      <c r="N93" s="18"/>
      <c r="O93" s="18"/>
      <c r="P93" s="18">
        <f t="shared" ca="1" si="7"/>
        <v>8180029.5499391221</v>
      </c>
    </row>
    <row r="94" spans="1:16" x14ac:dyDescent="0.25">
      <c r="A94" s="3">
        <f>'Monthly Data'!A94</f>
        <v>44805</v>
      </c>
      <c r="B94" s="1">
        <f t="shared" si="5"/>
        <v>2022</v>
      </c>
      <c r="C94" s="1">
        <f t="shared" si="6"/>
        <v>9</v>
      </c>
      <c r="D94" s="259">
        <f ca="1">'Monthly Data'!S94</f>
        <v>8119499.6764864782</v>
      </c>
      <c r="E94" s="259">
        <f t="shared" ca="1" si="8"/>
        <v>62.345178571428576</v>
      </c>
      <c r="F94" s="259">
        <f>'Monthly Data'!BE94</f>
        <v>56.250000000000007</v>
      </c>
      <c r="G94" s="269">
        <f>'Monthly Data'!CG94</f>
        <v>0.25</v>
      </c>
      <c r="H94" s="269">
        <f>'Monthly Data'!AQ94</f>
        <v>226</v>
      </c>
      <c r="I94" s="269">
        <f>'Monthly Data'!CD94</f>
        <v>30</v>
      </c>
      <c r="K94" s="18"/>
      <c r="L94" s="18">
        <f ca="1">(E94-F94)*'GS 1k-4,999 Predicted Monthly'!$T$11</f>
        <v>54461.777452718961</v>
      </c>
      <c r="M94" s="18"/>
      <c r="N94" s="18"/>
      <c r="O94" s="18"/>
      <c r="P94" s="18">
        <f t="shared" ca="1" si="7"/>
        <v>8173961.4539391976</v>
      </c>
    </row>
    <row r="95" spans="1:16" x14ac:dyDescent="0.25">
      <c r="A95" s="3">
        <f>'Monthly Data'!A95</f>
        <v>44835</v>
      </c>
      <c r="B95" s="1">
        <f t="shared" si="5"/>
        <v>2022</v>
      </c>
      <c r="C95" s="1">
        <f t="shared" si="6"/>
        <v>10</v>
      </c>
      <c r="D95" s="259">
        <f ca="1">'Monthly Data'!S95</f>
        <v>8411833.9390506037</v>
      </c>
      <c r="E95" s="259">
        <f t="shared" ca="1" si="8"/>
        <v>7.1541666666666703</v>
      </c>
      <c r="F95" s="259">
        <f>'Monthly Data'!BE95</f>
        <v>0</v>
      </c>
      <c r="G95" s="269">
        <f>'Monthly Data'!CG95</f>
        <v>0.25</v>
      </c>
      <c r="H95" s="269">
        <f>'Monthly Data'!AQ95</f>
        <v>226.2</v>
      </c>
      <c r="I95" s="269">
        <f>'Monthly Data'!CD95</f>
        <v>31</v>
      </c>
      <c r="K95" s="18"/>
      <c r="L95" s="18">
        <f ca="1">(E95-F95)*'GS 1k-4,999 Predicted Monthly'!$T$11</f>
        <v>63924.071837052099</v>
      </c>
      <c r="M95" s="18"/>
      <c r="N95" s="18"/>
      <c r="O95" s="18"/>
      <c r="P95" s="18">
        <f t="shared" ca="1" si="7"/>
        <v>8475758.0108876564</v>
      </c>
    </row>
    <row r="96" spans="1:16" x14ac:dyDescent="0.25">
      <c r="A96" s="3">
        <f>'Monthly Data'!A96</f>
        <v>44866</v>
      </c>
      <c r="B96" s="1">
        <f t="shared" si="5"/>
        <v>2022</v>
      </c>
      <c r="C96" s="1">
        <f t="shared" si="6"/>
        <v>11</v>
      </c>
      <c r="D96" s="259">
        <f ca="1">'Monthly Data'!S96</f>
        <v>7443581.0338858347</v>
      </c>
      <c r="E96" s="259">
        <f t="shared" ca="1" si="8"/>
        <v>0.15041666666666628</v>
      </c>
      <c r="F96" s="259">
        <f>'Monthly Data'!BE96</f>
        <v>0</v>
      </c>
      <c r="G96" s="269">
        <f>'Monthly Data'!CG96</f>
        <v>0.25</v>
      </c>
      <c r="H96" s="269">
        <f>'Monthly Data'!AQ96</f>
        <v>225.9</v>
      </c>
      <c r="I96" s="269">
        <f>'Monthly Data'!CD96</f>
        <v>30</v>
      </c>
      <c r="K96" s="18"/>
      <c r="L96" s="18">
        <f ca="1">(E96-F96)*'GS 1k-4,999 Predicted Monthly'!$T$11</f>
        <v>1344.0064026310854</v>
      </c>
      <c r="M96" s="18"/>
      <c r="N96" s="18"/>
      <c r="O96" s="18"/>
      <c r="P96" s="18">
        <f t="shared" ca="1" si="7"/>
        <v>7444925.040288466</v>
      </c>
    </row>
    <row r="97" spans="1:19" x14ac:dyDescent="0.25">
      <c r="A97" s="3">
        <f>'Monthly Data'!A97</f>
        <v>44896</v>
      </c>
      <c r="B97" s="1">
        <f t="shared" si="5"/>
        <v>2022</v>
      </c>
      <c r="C97" s="1">
        <f t="shared" si="6"/>
        <v>12</v>
      </c>
      <c r="D97" s="259">
        <f ca="1">'Monthly Data'!S97</f>
        <v>7190527.751085096</v>
      </c>
      <c r="E97" s="259">
        <f t="shared" ca="1" si="8"/>
        <v>0</v>
      </c>
      <c r="F97" s="259">
        <f>'Monthly Data'!BE97</f>
        <v>0</v>
      </c>
      <c r="G97" s="269">
        <f>'Monthly Data'!CG97</f>
        <v>0.25</v>
      </c>
      <c r="H97" s="269">
        <f>'Monthly Data'!AQ97</f>
        <v>227.6</v>
      </c>
      <c r="I97" s="269">
        <f>'Monthly Data'!CD97</f>
        <v>31</v>
      </c>
      <c r="K97" s="18"/>
      <c r="L97" s="18">
        <f ca="1">(E97-F97)*'GS 1k-4,999 Predicted Monthly'!$T$11</f>
        <v>0</v>
      </c>
      <c r="M97" s="18"/>
      <c r="N97" s="18"/>
      <c r="O97" s="18"/>
      <c r="P97" s="18">
        <f t="shared" ca="1" si="7"/>
        <v>7190527.751085096</v>
      </c>
    </row>
    <row r="98" spans="1:19" x14ac:dyDescent="0.25">
      <c r="A98" s="3">
        <f>'Monthly Data'!A98</f>
        <v>44927</v>
      </c>
      <c r="B98" s="1">
        <f t="shared" si="5"/>
        <v>2023</v>
      </c>
      <c r="C98" s="1">
        <f t="shared" si="6"/>
        <v>1</v>
      </c>
      <c r="D98" s="259">
        <f ca="1">'Monthly Data'!S98</f>
        <v>7276587.4379076399</v>
      </c>
      <c r="E98" s="259">
        <f t="shared" si="8"/>
        <v>0</v>
      </c>
      <c r="F98" s="259">
        <f>'Monthly Data'!BE98</f>
        <v>0</v>
      </c>
      <c r="G98" s="269">
        <f>'Monthly Data'!CG98</f>
        <v>0</v>
      </c>
      <c r="H98" s="269">
        <f>'Monthly Data'!AQ98</f>
        <v>228.9</v>
      </c>
      <c r="I98" s="269">
        <f>'Monthly Data'!CD98</f>
        <v>31</v>
      </c>
      <c r="K98" s="18"/>
      <c r="L98" s="18">
        <f>(E98-F98)*'GS 1k-4,999 Predicted Monthly'!$T$11</f>
        <v>0</v>
      </c>
      <c r="M98" s="18"/>
      <c r="N98" s="18"/>
      <c r="O98" s="18"/>
      <c r="P98" s="18">
        <f t="shared" ca="1" si="7"/>
        <v>7276587.4379076399</v>
      </c>
    </row>
    <row r="99" spans="1:19" x14ac:dyDescent="0.25">
      <c r="A99" s="3">
        <f>'Monthly Data'!A99</f>
        <v>44958</v>
      </c>
      <c r="B99" s="1">
        <f t="shared" si="5"/>
        <v>2023</v>
      </c>
      <c r="C99" s="1">
        <f t="shared" si="6"/>
        <v>2</v>
      </c>
      <c r="D99" s="259">
        <f ca="1">'Monthly Data'!S99</f>
        <v>7137341.2992951712</v>
      </c>
      <c r="E99" s="259">
        <f t="shared" ca="1" si="8"/>
        <v>0</v>
      </c>
      <c r="F99" s="259">
        <f>'Monthly Data'!BE99</f>
        <v>0</v>
      </c>
      <c r="G99" s="269">
        <f>'Monthly Data'!CG99</f>
        <v>0</v>
      </c>
      <c r="H99" s="269">
        <f>'Monthly Data'!AQ99</f>
        <v>229.5</v>
      </c>
      <c r="I99" s="269">
        <f>'Monthly Data'!CD99</f>
        <v>28</v>
      </c>
      <c r="K99" s="18"/>
      <c r="L99" s="18">
        <f ca="1">(E99-F99)*'GS 1k-4,999 Predicted Monthly'!$T$11</f>
        <v>0</v>
      </c>
      <c r="M99" s="18"/>
      <c r="N99" s="18"/>
      <c r="O99" s="18"/>
      <c r="P99" s="18">
        <f t="shared" ca="1" si="7"/>
        <v>7137341.2992951712</v>
      </c>
    </row>
    <row r="100" spans="1:19" x14ac:dyDescent="0.25">
      <c r="A100" s="3">
        <f>'Monthly Data'!A100</f>
        <v>44986</v>
      </c>
      <c r="B100" s="1">
        <f t="shared" si="5"/>
        <v>2023</v>
      </c>
      <c r="C100" s="1">
        <f t="shared" si="6"/>
        <v>3</v>
      </c>
      <c r="D100" s="259">
        <f ca="1">'Monthly Data'!S100</f>
        <v>6748870.9005109631</v>
      </c>
      <c r="E100" s="259">
        <f t="shared" ca="1" si="8"/>
        <v>0</v>
      </c>
      <c r="F100" s="259">
        <f>'Monthly Data'!BE100</f>
        <v>0</v>
      </c>
      <c r="G100" s="269">
        <f>'Monthly Data'!CG100</f>
        <v>0</v>
      </c>
      <c r="H100" s="269">
        <f>'Monthly Data'!AQ100</f>
        <v>226.7</v>
      </c>
      <c r="I100" s="269">
        <f>'Monthly Data'!CD100</f>
        <v>31</v>
      </c>
      <c r="K100" s="18"/>
      <c r="L100" s="18">
        <f ca="1">(E100-F100)*'GS 1k-4,999 Predicted Monthly'!$T$11</f>
        <v>0</v>
      </c>
      <c r="M100" s="18"/>
      <c r="N100" s="18"/>
      <c r="O100" s="18"/>
      <c r="P100" s="18">
        <f t="shared" ca="1" si="7"/>
        <v>6748870.9005109631</v>
      </c>
      <c r="R100" s="18"/>
      <c r="S100" s="276"/>
    </row>
    <row r="101" spans="1:19" x14ac:dyDescent="0.25">
      <c r="A101" s="3">
        <f>'Monthly Data'!A101</f>
        <v>45017</v>
      </c>
      <c r="B101" s="1">
        <f t="shared" si="5"/>
        <v>2023</v>
      </c>
      <c r="C101" s="1">
        <f t="shared" si="6"/>
        <v>4</v>
      </c>
      <c r="D101" s="259">
        <f ca="1">'Monthly Data'!S101</f>
        <v>6916620.2189699095</v>
      </c>
      <c r="E101" s="259">
        <f t="shared" ca="1" si="8"/>
        <v>0.4316666666666677</v>
      </c>
      <c r="F101" s="259">
        <f>'Monthly Data'!BE101</f>
        <v>1.75833333333334</v>
      </c>
      <c r="G101" s="269">
        <f>'Monthly Data'!CG101</f>
        <v>0</v>
      </c>
      <c r="H101" s="269">
        <f>'Monthly Data'!AQ101</f>
        <v>223.9</v>
      </c>
      <c r="I101" s="269">
        <f>'Monthly Data'!CD101</f>
        <v>30</v>
      </c>
      <c r="K101" s="18"/>
      <c r="L101" s="18">
        <f ca="1">(E101-F101)*'GS 1k-4,999 Predicted Monthly'!$T$11</f>
        <v>-11854.062011017742</v>
      </c>
      <c r="M101" s="18"/>
      <c r="N101" s="18"/>
      <c r="O101" s="18"/>
      <c r="P101" s="18">
        <f t="shared" ca="1" si="7"/>
        <v>6904766.156958892</v>
      </c>
      <c r="R101" s="18"/>
      <c r="S101" s="276"/>
    </row>
    <row r="102" spans="1:19" x14ac:dyDescent="0.25">
      <c r="A102" s="3">
        <f>'Monthly Data'!A102</f>
        <v>45047</v>
      </c>
      <c r="B102" s="1">
        <f t="shared" si="5"/>
        <v>2023</v>
      </c>
      <c r="C102" s="1">
        <f t="shared" si="6"/>
        <v>5</v>
      </c>
      <c r="D102" s="259">
        <f ca="1">'Monthly Data'!S102</f>
        <v>7166374.0619376265</v>
      </c>
      <c r="E102" s="259">
        <f t="shared" ca="1" si="8"/>
        <v>29.4520183982684</v>
      </c>
      <c r="F102" s="259">
        <f>'Monthly Data'!BE102</f>
        <v>19.570833333333329</v>
      </c>
      <c r="G102" s="269">
        <f>'Monthly Data'!CG102</f>
        <v>0</v>
      </c>
      <c r="H102" s="269">
        <f>'Monthly Data'!AQ102</f>
        <v>220</v>
      </c>
      <c r="I102" s="269">
        <f>'Monthly Data'!CD102</f>
        <v>31</v>
      </c>
      <c r="K102" s="18"/>
      <c r="L102" s="18">
        <f ca="1">(E102-F102)*'GS 1k-4,999 Predicted Monthly'!$T$11</f>
        <v>88290.588318152426</v>
      </c>
      <c r="M102" s="18"/>
      <c r="N102" s="18"/>
      <c r="O102" s="18"/>
      <c r="P102" s="18">
        <f t="shared" ca="1" si="7"/>
        <v>7254664.6502557788</v>
      </c>
      <c r="R102" s="18"/>
      <c r="S102" s="276"/>
    </row>
    <row r="103" spans="1:19" x14ac:dyDescent="0.25">
      <c r="A103" s="3">
        <f>'Monthly Data'!A103</f>
        <v>45078</v>
      </c>
      <c r="B103" s="1">
        <f t="shared" si="5"/>
        <v>2023</v>
      </c>
      <c r="C103" s="1">
        <f t="shared" si="6"/>
        <v>6</v>
      </c>
      <c r="D103" s="259">
        <f ca="1">'Monthly Data'!S103</f>
        <v>7927235.7616078435</v>
      </c>
      <c r="E103" s="259">
        <f t="shared" ca="1" si="8"/>
        <v>86.311049595332207</v>
      </c>
      <c r="F103" s="259">
        <f>'Monthly Data'!BE103</f>
        <v>89.8125</v>
      </c>
      <c r="G103" s="269">
        <f>'Monthly Data'!CG103</f>
        <v>0</v>
      </c>
      <c r="H103" s="269">
        <f>'Monthly Data'!AQ103</f>
        <v>220.4</v>
      </c>
      <c r="I103" s="269">
        <f>'Monthly Data'!CD103</f>
        <v>30</v>
      </c>
      <c r="K103" s="18"/>
      <c r="L103" s="18">
        <f ca="1">(E103-F103)*'GS 1k-4,999 Predicted Monthly'!$T$11</f>
        <v>-31286.238863393221</v>
      </c>
      <c r="M103" s="18"/>
      <c r="N103" s="18"/>
      <c r="O103" s="18"/>
      <c r="P103" s="18">
        <f t="shared" ca="1" si="7"/>
        <v>7895949.5227444498</v>
      </c>
      <c r="R103" s="18"/>
      <c r="S103" s="276"/>
    </row>
    <row r="104" spans="1:19" x14ac:dyDescent="0.25">
      <c r="A104" s="3">
        <f>'Monthly Data'!A104</f>
        <v>45108</v>
      </c>
      <c r="B104" s="1">
        <f t="shared" si="5"/>
        <v>2023</v>
      </c>
      <c r="C104" s="1">
        <f t="shared" si="6"/>
        <v>7</v>
      </c>
      <c r="D104" s="259">
        <f ca="1">'Monthly Data'!S104</f>
        <v>8119868.4054430835</v>
      </c>
      <c r="E104" s="259">
        <f t="shared" ca="1" si="8"/>
        <v>174.0219619206118</v>
      </c>
      <c r="F104" s="259">
        <f>'Monthly Data'!BE104</f>
        <v>161.78333333333336</v>
      </c>
      <c r="G104" s="269">
        <f>'Monthly Data'!CG104</f>
        <v>0</v>
      </c>
      <c r="H104" s="269">
        <f>'Monthly Data'!AQ104</f>
        <v>220.8</v>
      </c>
      <c r="I104" s="269">
        <f>'Monthly Data'!CD104</f>
        <v>31</v>
      </c>
      <c r="K104" s="18"/>
      <c r="L104" s="18">
        <f ca="1">(E104-F104)*'GS 1k-4,999 Predicted Monthly'!$T$11</f>
        <v>109354.87100759736</v>
      </c>
      <c r="M104" s="18"/>
      <c r="N104" s="18"/>
      <c r="O104" s="18"/>
      <c r="P104" s="18">
        <f t="shared" ca="1" si="7"/>
        <v>8229223.2764506806</v>
      </c>
      <c r="R104" s="18"/>
      <c r="S104" s="276"/>
    </row>
    <row r="105" spans="1:19" x14ac:dyDescent="0.25">
      <c r="A105" s="3">
        <f>'Monthly Data'!A105</f>
        <v>45139</v>
      </c>
      <c r="B105" s="1">
        <f t="shared" si="5"/>
        <v>2023</v>
      </c>
      <c r="C105" s="1">
        <f t="shared" si="6"/>
        <v>8</v>
      </c>
      <c r="D105" s="259">
        <f ca="1">'Monthly Data'!S105</f>
        <v>8174529.1976424176</v>
      </c>
      <c r="E105" s="259">
        <f t="shared" ca="1" si="8"/>
        <v>149.7160046113307</v>
      </c>
      <c r="F105" s="259">
        <f>'Monthly Data'!BE105</f>
        <v>105.41739130434784</v>
      </c>
      <c r="G105" s="269">
        <f>'Monthly Data'!CG105</f>
        <v>0</v>
      </c>
      <c r="H105" s="269">
        <f>'Monthly Data'!AQ105</f>
        <v>223.5</v>
      </c>
      <c r="I105" s="269">
        <f>'Monthly Data'!CD105</f>
        <v>31</v>
      </c>
      <c r="K105" s="18"/>
      <c r="L105" s="18">
        <f ca="1">(E105-F105)*'GS 1k-4,999 Predicted Monthly'!$T$11</f>
        <v>395817.97171588062</v>
      </c>
      <c r="M105" s="18"/>
      <c r="N105" s="18"/>
      <c r="O105" s="18"/>
      <c r="P105" s="18">
        <f t="shared" ca="1" si="7"/>
        <v>8570347.1693582982</v>
      </c>
      <c r="R105" s="18"/>
      <c r="S105" s="276"/>
    </row>
    <row r="106" spans="1:19" x14ac:dyDescent="0.25">
      <c r="A106" s="3">
        <f>'Monthly Data'!A106</f>
        <v>45170</v>
      </c>
      <c r="B106" s="1">
        <f t="shared" si="5"/>
        <v>2023</v>
      </c>
      <c r="C106" s="1">
        <f t="shared" si="6"/>
        <v>9</v>
      </c>
      <c r="D106" s="259">
        <f ca="1">'Monthly Data'!S106</f>
        <v>7952862.3344004741</v>
      </c>
      <c r="E106" s="259">
        <f t="shared" ca="1" si="8"/>
        <v>62.345178571428576</v>
      </c>
      <c r="F106" s="259">
        <f>'Monthly Data'!BE106</f>
        <v>58.208333333333314</v>
      </c>
      <c r="G106" s="269">
        <f>'Monthly Data'!CG106</f>
        <v>0</v>
      </c>
      <c r="H106" s="269">
        <f>'Monthly Data'!AQ106</f>
        <v>223.9</v>
      </c>
      <c r="I106" s="269">
        <f>'Monthly Data'!CD106</f>
        <v>30</v>
      </c>
      <c r="K106" s="18"/>
      <c r="L106" s="18">
        <f ca="1">(E106-F106)*'GS 1k-4,999 Predicted Monthly'!$T$11</f>
        <v>36963.633152536044</v>
      </c>
      <c r="M106" s="18"/>
      <c r="N106" s="18"/>
      <c r="O106" s="18"/>
      <c r="P106" s="18">
        <f t="shared" ca="1" si="7"/>
        <v>7989825.9675530102</v>
      </c>
      <c r="R106" s="18"/>
      <c r="S106" s="276"/>
    </row>
    <row r="107" spans="1:19" x14ac:dyDescent="0.25">
      <c r="A107" s="3">
        <f>'Monthly Data'!A107</f>
        <v>45200</v>
      </c>
      <c r="B107" s="1">
        <f t="shared" si="5"/>
        <v>2023</v>
      </c>
      <c r="C107" s="1">
        <f t="shared" si="6"/>
        <v>10</v>
      </c>
      <c r="D107" s="259">
        <f ca="1">'Monthly Data'!S107</f>
        <v>6667523.0009363433</v>
      </c>
      <c r="E107" s="259">
        <f t="shared" ca="1" si="8"/>
        <v>7.1541666666666703</v>
      </c>
      <c r="F107" s="259">
        <f>'Monthly Data'!BE107</f>
        <v>19.579166666666676</v>
      </c>
      <c r="G107" s="269">
        <f>'Monthly Data'!CG107</f>
        <v>0</v>
      </c>
      <c r="H107" s="269">
        <f>'Monthly Data'!AQ107</f>
        <v>223.1</v>
      </c>
      <c r="I107" s="269">
        <f>'Monthly Data'!CD107</f>
        <v>31</v>
      </c>
      <c r="K107" s="18"/>
      <c r="L107" s="18">
        <f ca="1">(E107-F107)*'GS 1k-4,999 Predicted Monthly'!$T$11</f>
        <v>-111020.14107052379</v>
      </c>
      <c r="M107" s="18"/>
      <c r="N107" s="18"/>
      <c r="O107" s="18"/>
      <c r="P107" s="18">
        <f t="shared" ca="1" si="7"/>
        <v>6556502.8598658191</v>
      </c>
      <c r="R107" s="18"/>
      <c r="S107" s="276"/>
    </row>
    <row r="108" spans="1:19" x14ac:dyDescent="0.25">
      <c r="A108" s="3">
        <f>'Monthly Data'!A108</f>
        <v>45231</v>
      </c>
      <c r="B108" s="1">
        <f t="shared" si="5"/>
        <v>2023</v>
      </c>
      <c r="C108" s="1">
        <f t="shared" si="6"/>
        <v>11</v>
      </c>
      <c r="D108" s="259">
        <f ca="1">'Monthly Data'!S108</f>
        <v>7486805.8952734377</v>
      </c>
      <c r="E108" s="259">
        <f t="shared" ca="1" si="8"/>
        <v>0.15041666666666628</v>
      </c>
      <c r="F108" s="259">
        <f>'Monthly Data'!BE108</f>
        <v>0</v>
      </c>
      <c r="G108" s="269">
        <f>'Monthly Data'!CG108</f>
        <v>0</v>
      </c>
      <c r="H108" s="269">
        <f>'Monthly Data'!AQ108</f>
        <v>224.9</v>
      </c>
      <c r="I108" s="269">
        <f>'Monthly Data'!CD108</f>
        <v>30</v>
      </c>
      <c r="K108" s="18"/>
      <c r="L108" s="18">
        <f ca="1">(E108-F108)*'GS 1k-4,999 Predicted Monthly'!$T$11</f>
        <v>1344.0064026310854</v>
      </c>
      <c r="M108" s="18"/>
      <c r="N108" s="18"/>
      <c r="O108" s="18"/>
      <c r="P108" s="18">
        <f t="shared" ca="1" si="7"/>
        <v>7488149.901676069</v>
      </c>
      <c r="R108" s="18"/>
      <c r="S108" s="276"/>
    </row>
    <row r="109" spans="1:19" x14ac:dyDescent="0.25">
      <c r="A109" s="3">
        <f>'Monthly Data'!A109</f>
        <v>45261</v>
      </c>
      <c r="B109" s="1">
        <f t="shared" si="5"/>
        <v>2023</v>
      </c>
      <c r="C109" s="1">
        <f t="shared" si="6"/>
        <v>12</v>
      </c>
      <c r="D109" s="259">
        <f ca="1">'Monthly Data'!S109</f>
        <v>6814669.4166436857</v>
      </c>
      <c r="E109" s="259">
        <f t="shared" ca="1" si="8"/>
        <v>0</v>
      </c>
      <c r="F109" s="259">
        <f>'Monthly Data'!BE109</f>
        <v>0</v>
      </c>
      <c r="G109" s="269">
        <f>'Monthly Data'!CG109</f>
        <v>0</v>
      </c>
      <c r="H109" s="269">
        <f>'Monthly Data'!AQ109</f>
        <v>226.3</v>
      </c>
      <c r="I109" s="269">
        <f>'Monthly Data'!CD109</f>
        <v>31</v>
      </c>
      <c r="K109" s="18"/>
      <c r="L109" s="18">
        <f ca="1">(E109-F109)*'GS 1k-4,999 Predicted Monthly'!$T$11</f>
        <v>0</v>
      </c>
      <c r="M109" s="18"/>
      <c r="N109" s="18"/>
      <c r="O109" s="18"/>
      <c r="P109" s="18">
        <f t="shared" ca="1" si="7"/>
        <v>6814669.4166436857</v>
      </c>
      <c r="Q109" s="259"/>
      <c r="R109" s="18"/>
      <c r="S109" s="276"/>
    </row>
    <row r="110" spans="1:19" x14ac:dyDescent="0.25">
      <c r="A110" s="3">
        <f>'Monthly Data'!A110</f>
        <v>45292</v>
      </c>
      <c r="B110" s="1">
        <f t="shared" si="5"/>
        <v>2024</v>
      </c>
      <c r="C110" s="1">
        <f t="shared" si="6"/>
        <v>1</v>
      </c>
      <c r="D110" s="259">
        <f ca="1">'Monthly Data'!S110</f>
        <v>7527605.8341107564</v>
      </c>
      <c r="E110" s="259">
        <f t="shared" si="8"/>
        <v>0</v>
      </c>
      <c r="F110" s="259">
        <f>'Monthly Data'!BE110</f>
        <v>0</v>
      </c>
      <c r="G110" s="269">
        <f>'Monthly Data'!CG110</f>
        <v>0</v>
      </c>
      <c r="H110" s="269">
        <f>'Monthly Data'!AQ110</f>
        <v>228.3</v>
      </c>
      <c r="I110" s="269">
        <f>'Monthly Data'!CD110</f>
        <v>31</v>
      </c>
      <c r="K110" s="18"/>
      <c r="L110" s="18">
        <f>(E110-F110)*'GS 1k-4,999 Predicted Monthly'!$T$11</f>
        <v>0</v>
      </c>
      <c r="M110" s="18"/>
      <c r="N110" s="18"/>
      <c r="O110" s="18"/>
      <c r="P110" s="18">
        <f t="shared" ca="1" si="7"/>
        <v>7527605.8341107564</v>
      </c>
      <c r="Q110" s="259"/>
      <c r="R110" s="18"/>
      <c r="S110" s="276"/>
    </row>
    <row r="111" spans="1:19" x14ac:dyDescent="0.25">
      <c r="A111" s="3">
        <f>'Monthly Data'!A111</f>
        <v>45323</v>
      </c>
      <c r="B111" s="1">
        <f t="shared" si="5"/>
        <v>2024</v>
      </c>
      <c r="C111" s="1">
        <f t="shared" si="6"/>
        <v>2</v>
      </c>
      <c r="D111" s="259">
        <f ca="1">'Monthly Data'!S111</f>
        <v>6745787.1723414566</v>
      </c>
      <c r="E111" s="259">
        <f t="shared" ca="1" si="8"/>
        <v>0</v>
      </c>
      <c r="F111" s="259">
        <f>'Monthly Data'!BE111</f>
        <v>0</v>
      </c>
      <c r="G111" s="269">
        <f>'Monthly Data'!CG111</f>
        <v>0</v>
      </c>
      <c r="H111" s="269">
        <f>'Monthly Data'!AQ111</f>
        <v>229.4</v>
      </c>
      <c r="I111" s="269">
        <f>'Monthly Data'!CD111</f>
        <v>29</v>
      </c>
      <c r="K111" s="18"/>
      <c r="L111" s="18">
        <f ca="1">(E111-F111)*'GS 1k-4,999 Predicted Monthly'!$T$11</f>
        <v>0</v>
      </c>
      <c r="M111" s="18"/>
      <c r="N111" s="18"/>
      <c r="O111" s="18"/>
      <c r="P111" s="18">
        <f t="shared" ca="1" si="7"/>
        <v>6745787.1723414566</v>
      </c>
      <c r="Q111" s="259"/>
      <c r="R111" s="18"/>
      <c r="S111" s="276"/>
    </row>
    <row r="112" spans="1:19" x14ac:dyDescent="0.25">
      <c r="A112" s="3">
        <f>'Monthly Data'!A112</f>
        <v>45352</v>
      </c>
      <c r="B112" s="1">
        <f t="shared" si="5"/>
        <v>2024</v>
      </c>
      <c r="C112" s="1">
        <f t="shared" si="6"/>
        <v>3</v>
      </c>
      <c r="D112" s="259">
        <f ca="1">'Monthly Data'!S112</f>
        <v>7044960.5105721559</v>
      </c>
      <c r="E112" s="259">
        <f t="shared" ca="1" si="8"/>
        <v>0</v>
      </c>
      <c r="F112" s="259">
        <f>'Monthly Data'!BE112</f>
        <v>0</v>
      </c>
      <c r="G112" s="269">
        <f>'Monthly Data'!CG112</f>
        <v>0</v>
      </c>
      <c r="H112" s="269">
        <f>'Monthly Data'!AQ112</f>
        <v>230.9</v>
      </c>
      <c r="I112" s="269">
        <f>'Monthly Data'!CD112</f>
        <v>31</v>
      </c>
      <c r="K112" s="18"/>
      <c r="L112" s="18">
        <f ca="1">(E112-F112)*'GS 1k-4,999 Predicted Monthly'!$T$11</f>
        <v>0</v>
      </c>
      <c r="M112" s="18"/>
      <c r="N112" s="18"/>
      <c r="O112" s="18"/>
      <c r="P112" s="18">
        <f t="shared" ca="1" si="7"/>
        <v>7044960.5105721559</v>
      </c>
      <c r="Q112" s="259"/>
    </row>
    <row r="113" spans="1:18" x14ac:dyDescent="0.25">
      <c r="A113" s="3">
        <f>'Monthly Data'!A113</f>
        <v>45383</v>
      </c>
      <c r="B113" s="1">
        <f t="shared" si="5"/>
        <v>2024</v>
      </c>
      <c r="C113" s="1">
        <f t="shared" si="6"/>
        <v>4</v>
      </c>
      <c r="D113" s="259">
        <f ca="1">'Monthly Data'!S113</f>
        <v>7401293.8488028552</v>
      </c>
      <c r="E113" s="259">
        <f t="shared" ca="1" si="8"/>
        <v>0.4316666666666677</v>
      </c>
      <c r="F113" s="259">
        <f>'Monthly Data'!BE113</f>
        <v>0</v>
      </c>
      <c r="G113" s="269">
        <f>'Monthly Data'!CG113</f>
        <v>0</v>
      </c>
      <c r="H113" s="269">
        <f>'Monthly Data'!AQ113</f>
        <v>233.1</v>
      </c>
      <c r="I113" s="269">
        <f>'Monthly Data'!CD113</f>
        <v>30</v>
      </c>
      <c r="K113" s="18"/>
      <c r="L113" s="18">
        <f ca="1">(E113-F113)*'GS 1k-4,999 Predicted Monthly'!$T$11</f>
        <v>3857.0377648914441</v>
      </c>
      <c r="M113" s="18"/>
      <c r="N113" s="18"/>
      <c r="O113" s="18"/>
      <c r="P113" s="18">
        <f t="shared" ca="1" si="7"/>
        <v>7405150.8865677463</v>
      </c>
      <c r="Q113" s="259"/>
      <c r="R113" s="18"/>
    </row>
    <row r="114" spans="1:18" x14ac:dyDescent="0.25">
      <c r="A114" s="3">
        <f>'Monthly Data'!A114</f>
        <v>45413</v>
      </c>
      <c r="B114" s="1">
        <f t="shared" si="5"/>
        <v>2024</v>
      </c>
      <c r="C114" s="1">
        <f t="shared" si="6"/>
        <v>5</v>
      </c>
      <c r="D114" s="259">
        <f ca="1">'Monthly Data'!S114</f>
        <v>7911842.1870335545</v>
      </c>
      <c r="E114" s="259">
        <f t="shared" ca="1" si="8"/>
        <v>29.4520183982684</v>
      </c>
      <c r="F114" s="259">
        <f>'Monthly Data'!BE114</f>
        <v>27.287500000000005</v>
      </c>
      <c r="G114" s="269">
        <f>'Monthly Data'!CG114</f>
        <v>0</v>
      </c>
      <c r="H114" s="269">
        <f>'Monthly Data'!AQ114</f>
        <v>232.8</v>
      </c>
      <c r="I114" s="269">
        <f>'Monthly Data'!CD114</f>
        <v>31</v>
      </c>
      <c r="K114" s="18"/>
      <c r="L114" s="18">
        <f ca="1">(E114-F114)*'GS 1k-4,999 Predicted Monthly'!$T$11</f>
        <v>19340.453756579584</v>
      </c>
      <c r="M114" s="18"/>
      <c r="N114" s="18"/>
      <c r="O114" s="18"/>
      <c r="P114" s="18">
        <f t="shared" ca="1" si="7"/>
        <v>7931182.6407901337</v>
      </c>
      <c r="Q114" s="259"/>
      <c r="R114" s="18"/>
    </row>
    <row r="115" spans="1:18" x14ac:dyDescent="0.25">
      <c r="A115" s="3">
        <f>'Monthly Data'!A115</f>
        <v>45444</v>
      </c>
      <c r="B115" s="1">
        <f t="shared" si="5"/>
        <v>2024</v>
      </c>
      <c r="C115" s="1">
        <f t="shared" si="6"/>
        <v>6</v>
      </c>
      <c r="D115" s="259">
        <f ca="1">'Monthly Data'!S115</f>
        <v>8689046.5252642538</v>
      </c>
      <c r="E115" s="259">
        <f t="shared" ca="1" si="8"/>
        <v>86.311049595332207</v>
      </c>
      <c r="F115" s="259">
        <f>'Monthly Data'!BE115</f>
        <v>94.466666666666669</v>
      </c>
      <c r="G115" s="269">
        <f>'Monthly Data'!CG115</f>
        <v>0</v>
      </c>
      <c r="H115" s="269">
        <f>'Monthly Data'!AQ115</f>
        <v>230.6</v>
      </c>
      <c r="I115" s="269">
        <f>'Monthly Data'!CD115</f>
        <v>30</v>
      </c>
      <c r="K115" s="18"/>
      <c r="L115" s="18">
        <f ca="1">(E115-F115)*'GS 1k-4,999 Predicted Monthly'!$T$11</f>
        <v>-72872.254147020009</v>
      </c>
      <c r="M115" s="18"/>
      <c r="N115" s="18"/>
      <c r="O115" s="18"/>
      <c r="P115" s="18">
        <f t="shared" ca="1" si="7"/>
        <v>8616174.2711172346</v>
      </c>
      <c r="Q115" s="259"/>
      <c r="R115" s="18"/>
    </row>
    <row r="116" spans="1:18" x14ac:dyDescent="0.25">
      <c r="A116" s="3">
        <v>45474</v>
      </c>
      <c r="B116" s="1">
        <f t="shared" si="5"/>
        <v>2024</v>
      </c>
      <c r="C116" s="1">
        <f t="shared" si="6"/>
        <v>7</v>
      </c>
      <c r="D116" s="259">
        <f ca="1">'Monthly Data'!S116</f>
        <v>9531642.8634949531</v>
      </c>
      <c r="E116" s="259">
        <f t="shared" ca="1" si="8"/>
        <v>174.0219619206118</v>
      </c>
      <c r="F116" s="259">
        <f>'Monthly Data'!BE116</f>
        <v>179.14166666666668</v>
      </c>
      <c r="G116" s="269">
        <f>'Monthly Data'!CG116</f>
        <v>0</v>
      </c>
      <c r="H116" s="269">
        <f>'Monthly Data'!AQ116</f>
        <v>227.5</v>
      </c>
      <c r="I116" s="269">
        <f>'Monthly Data'!CD116</f>
        <v>31</v>
      </c>
      <c r="K116" s="18"/>
      <c r="L116" s="18">
        <f ca="1">(E116-F116)*'GS 1k-4,999 Predicted Monthly'!$T$11</f>
        <v>-45745.701661685518</v>
      </c>
      <c r="M116" s="18"/>
      <c r="N116" s="18"/>
      <c r="O116" s="18"/>
      <c r="P116" s="18">
        <f t="shared" ca="1" si="7"/>
        <v>9485897.1618332677</v>
      </c>
      <c r="Q116" s="259"/>
      <c r="R116" s="18"/>
    </row>
    <row r="117" spans="1:18" x14ac:dyDescent="0.25">
      <c r="A117" s="3">
        <v>45505</v>
      </c>
      <c r="B117" s="1">
        <f t="shared" si="5"/>
        <v>2024</v>
      </c>
      <c r="C117" s="1">
        <f t="shared" si="6"/>
        <v>8</v>
      </c>
      <c r="D117" s="259">
        <f ca="1">'Monthly Data'!S117</f>
        <v>9275831.2017256543</v>
      </c>
      <c r="E117" s="259">
        <f t="shared" ca="1" si="8"/>
        <v>149.7160046113307</v>
      </c>
      <c r="F117" s="259">
        <f>'Monthly Data'!BE117</f>
        <v>140.625</v>
      </c>
      <c r="G117" s="269">
        <f>'Monthly Data'!CG117</f>
        <v>0</v>
      </c>
      <c r="H117" s="269">
        <f>'Monthly Data'!AQ117</f>
        <v>225.1</v>
      </c>
      <c r="I117" s="269">
        <f>'Monthly Data'!CD117</f>
        <v>31</v>
      </c>
      <c r="K117" s="18"/>
      <c r="L117" s="18">
        <f ca="1">(E117-F117)*'GS 1k-4,999 Predicted Monthly'!$T$11</f>
        <v>81230.15005414217</v>
      </c>
      <c r="M117" s="18"/>
      <c r="N117" s="18"/>
      <c r="O117" s="18"/>
      <c r="P117" s="18">
        <f t="shared" ca="1" si="7"/>
        <v>9357061.3517797962</v>
      </c>
      <c r="R117" s="18"/>
    </row>
    <row r="118" spans="1:18" x14ac:dyDescent="0.25">
      <c r="A118" s="3">
        <v>45536</v>
      </c>
      <c r="B118" s="1">
        <f t="shared" si="5"/>
        <v>2024</v>
      </c>
      <c r="C118" s="1">
        <f t="shared" si="6"/>
        <v>9</v>
      </c>
      <c r="D118" s="259">
        <f ca="1">'Monthly Data'!S118</f>
        <v>8099900.5399563527</v>
      </c>
      <c r="E118" s="259">
        <f t="shared" ca="1" si="8"/>
        <v>62.345178571428576</v>
      </c>
      <c r="F118" s="259">
        <f>'Monthly Data'!BE118</f>
        <v>62.220833333333331</v>
      </c>
      <c r="G118" s="269">
        <f>'Monthly Data'!CG118</f>
        <v>0</v>
      </c>
      <c r="H118" s="269">
        <f>'Monthly Data'!AQ118</f>
        <v>226.9</v>
      </c>
      <c r="I118" s="269">
        <f>'Monthly Data'!CD118</f>
        <v>30</v>
      </c>
      <c r="K118" s="18"/>
      <c r="L118" s="18">
        <f ca="1">(E118-F118)*'GS 1k-4,999 Predicted Monthly'!$T$11</f>
        <v>1111.0523842882847</v>
      </c>
      <c r="M118" s="18"/>
      <c r="N118" s="18"/>
      <c r="O118" s="18"/>
      <c r="P118" s="18">
        <f t="shared" ca="1" si="7"/>
        <v>8101011.5923406407</v>
      </c>
      <c r="R118" s="18"/>
    </row>
    <row r="119" spans="1:18" x14ac:dyDescent="0.25">
      <c r="A119" s="3">
        <v>45566</v>
      </c>
      <c r="B119" s="1">
        <f t="shared" si="5"/>
        <v>2024</v>
      </c>
      <c r="C119" s="1">
        <f t="shared" si="6"/>
        <v>10</v>
      </c>
      <c r="D119" s="259">
        <f ca="1">'Monthly Data'!S119</f>
        <v>7448548.8781870529</v>
      </c>
      <c r="E119" s="259">
        <f t="shared" ca="1" si="8"/>
        <v>7.1541666666666703</v>
      </c>
      <c r="F119" s="259">
        <f>'Monthly Data'!BE119</f>
        <v>3.0458333333333378</v>
      </c>
      <c r="G119" s="269">
        <f>'Monthly Data'!CG119</f>
        <v>0</v>
      </c>
      <c r="H119" s="269">
        <f>'Monthly Data'!AQ119</f>
        <v>228.7</v>
      </c>
      <c r="I119" s="269">
        <f>'Monthly Data'!CD119</f>
        <v>31</v>
      </c>
      <c r="K119" s="18"/>
      <c r="L119" s="18">
        <f ca="1">(E119-F119)*'GS 1k-4,999 Predicted Monthly'!$T$11</f>
        <v>36708.872936128901</v>
      </c>
      <c r="M119" s="18"/>
      <c r="N119" s="18"/>
      <c r="O119" s="18"/>
      <c r="P119" s="18">
        <f t="shared" ca="1" si="7"/>
        <v>7485257.7511231815</v>
      </c>
      <c r="R119" s="18"/>
    </row>
    <row r="120" spans="1:18" x14ac:dyDescent="0.25">
      <c r="A120" s="3">
        <v>45597</v>
      </c>
      <c r="B120" s="1">
        <f t="shared" si="5"/>
        <v>2024</v>
      </c>
      <c r="C120" s="1">
        <f t="shared" si="6"/>
        <v>11</v>
      </c>
      <c r="D120" s="259">
        <f ca="1">'Monthly Data'!S120</f>
        <v>7029118.2164177522</v>
      </c>
      <c r="E120" s="259">
        <f t="shared" ca="1" si="8"/>
        <v>0.15041666666666628</v>
      </c>
      <c r="F120" s="259">
        <f>'Monthly Data'!BE120</f>
        <v>1.5041666666666629</v>
      </c>
      <c r="G120" s="269">
        <f>'Monthly Data'!CG120</f>
        <v>0</v>
      </c>
      <c r="H120" s="269">
        <f>'Monthly Data'!AQ120</f>
        <v>228.7</v>
      </c>
      <c r="I120" s="269">
        <f>'Monthly Data'!CD120</f>
        <v>30</v>
      </c>
      <c r="K120" s="18"/>
      <c r="L120" s="18">
        <f ca="1">(E120-F120)*'GS 1k-4,999 Predicted Monthly'!$T$11</f>
        <v>-12096.05762367977</v>
      </c>
      <c r="M120" s="18"/>
      <c r="N120" s="18"/>
      <c r="O120" s="18"/>
      <c r="P120" s="18">
        <f t="shared" ca="1" si="7"/>
        <v>7017022.1587940725</v>
      </c>
      <c r="R120" s="18"/>
    </row>
    <row r="121" spans="1:18" x14ac:dyDescent="0.25">
      <c r="A121" s="3">
        <v>45627</v>
      </c>
      <c r="B121" s="1">
        <f t="shared" si="5"/>
        <v>2024</v>
      </c>
      <c r="C121" s="1">
        <f t="shared" si="6"/>
        <v>12</v>
      </c>
      <c r="D121" s="259">
        <f ca="1">'Monthly Data'!S121</f>
        <v>7448387.5546484515</v>
      </c>
      <c r="E121" s="259">
        <f t="shared" ca="1" si="8"/>
        <v>0</v>
      </c>
      <c r="F121" s="259">
        <f>'Monthly Data'!BE121</f>
        <v>0</v>
      </c>
      <c r="G121" s="269">
        <f>'Monthly Data'!CG121</f>
        <v>0</v>
      </c>
      <c r="H121" s="269">
        <f>'Monthly Data'!AQ121</f>
        <v>227</v>
      </c>
      <c r="I121" s="269">
        <f>'Monthly Data'!CD121</f>
        <v>31</v>
      </c>
      <c r="K121" s="18"/>
      <c r="L121" s="18">
        <f ca="1">(E121-F121)*'GS 1k-4,999 Predicted Monthly'!$T$11</f>
        <v>0</v>
      </c>
      <c r="M121" s="18"/>
      <c r="N121" s="18"/>
      <c r="O121" s="18"/>
      <c r="P121" s="18">
        <f t="shared" ca="1" si="7"/>
        <v>7448387.5546484515</v>
      </c>
      <c r="R121" s="18"/>
    </row>
    <row r="122" spans="1:18" x14ac:dyDescent="0.25">
      <c r="A122" s="3">
        <v>45658</v>
      </c>
      <c r="B122" s="1">
        <f t="shared" si="5"/>
        <v>2025</v>
      </c>
      <c r="C122" s="1">
        <f t="shared" si="6"/>
        <v>1</v>
      </c>
      <c r="D122" s="259"/>
      <c r="E122" s="259">
        <f>E110</f>
        <v>0</v>
      </c>
      <c r="F122" s="259"/>
      <c r="G122" s="269">
        <f>G110</f>
        <v>0</v>
      </c>
      <c r="H122" s="269">
        <f>Economic!F124</f>
        <v>232.12402500000002</v>
      </c>
      <c r="I122" s="269">
        <f>I74</f>
        <v>31</v>
      </c>
      <c r="K122" s="18">
        <f>'GS 1k-4,999 Predicted Monthly'!$T$10</f>
        <v>1375460.7545834701</v>
      </c>
      <c r="L122" s="18">
        <f>E122*'GS 1k-4,999 Predicted Monthly'!$T$11</f>
        <v>0</v>
      </c>
      <c r="M122" s="18">
        <f>G122*'GS 1k-4,999 Predicted Monthly'!$T$12</f>
        <v>0</v>
      </c>
      <c r="N122" s="18">
        <f>H122*'GS 1k-4,999 Predicted Monthly'!$T$13</f>
        <v>2543883.7946008402</v>
      </c>
      <c r="O122" s="18">
        <f>I122*'GS 1k-4,999 Predicted Monthly'!$T$14</f>
        <v>3509355.4704038892</v>
      </c>
      <c r="P122" s="18">
        <f t="shared" ref="P122:P130" si="9">SUM(K122:O122)</f>
        <v>7428700.0195881994</v>
      </c>
      <c r="R122" s="18"/>
    </row>
    <row r="123" spans="1:18" x14ac:dyDescent="0.25">
      <c r="A123" s="3">
        <v>45689</v>
      </c>
      <c r="B123" s="1">
        <f t="shared" si="5"/>
        <v>2025</v>
      </c>
      <c r="C123" s="1">
        <f t="shared" si="6"/>
        <v>2</v>
      </c>
      <c r="D123" s="259"/>
      <c r="E123" s="259">
        <f t="shared" ref="E123:E145" ca="1" si="10">E111</f>
        <v>0</v>
      </c>
      <c r="F123" s="259"/>
      <c r="G123" s="269">
        <f t="shared" ref="G123:G138" si="11">G111</f>
        <v>0</v>
      </c>
      <c r="H123" s="269">
        <f>Economic!F125</f>
        <v>233.24245000000002</v>
      </c>
      <c r="I123" s="269">
        <f t="shared" ref="I123:I145" si="12">I75</f>
        <v>28</v>
      </c>
      <c r="K123" s="18">
        <f>'GS 1k-4,999 Predicted Monthly'!$T$10</f>
        <v>1375460.7545834701</v>
      </c>
      <c r="L123" s="18">
        <f ca="1">E123*'GS 1k-4,999 Predicted Monthly'!$T$11</f>
        <v>0</v>
      </c>
      <c r="M123" s="18">
        <f>G123*'GS 1k-4,999 Predicted Monthly'!$T$12</f>
        <v>0</v>
      </c>
      <c r="N123" s="18">
        <f>H123*'GS 1k-4,999 Predicted Monthly'!$T$13</f>
        <v>2556140.7905450403</v>
      </c>
      <c r="O123" s="18">
        <f>I123*'GS 1k-4,999 Predicted Monthly'!$T$14</f>
        <v>3169740.4248809321</v>
      </c>
      <c r="P123" s="18">
        <f t="shared" ca="1" si="9"/>
        <v>7101341.9700094424</v>
      </c>
      <c r="R123" s="18"/>
    </row>
    <row r="124" spans="1:18" x14ac:dyDescent="0.25">
      <c r="A124" s="3">
        <v>45717</v>
      </c>
      <c r="B124" s="1">
        <f t="shared" si="5"/>
        <v>2025</v>
      </c>
      <c r="C124" s="1">
        <f t="shared" si="6"/>
        <v>3</v>
      </c>
      <c r="D124" s="259"/>
      <c r="E124" s="259">
        <f t="shared" ca="1" si="10"/>
        <v>0</v>
      </c>
      <c r="F124" s="259"/>
      <c r="G124" s="269">
        <f t="shared" si="11"/>
        <v>0</v>
      </c>
      <c r="H124" s="269">
        <f>Economic!F126</f>
        <v>234.76757500000002</v>
      </c>
      <c r="I124" s="269">
        <f t="shared" si="12"/>
        <v>31</v>
      </c>
      <c r="K124" s="18">
        <f>'GS 1k-4,999 Predicted Monthly'!$T$10</f>
        <v>1375460.7545834701</v>
      </c>
      <c r="L124" s="18">
        <f ca="1">E124*'GS 1k-4,999 Predicted Monthly'!$T$11</f>
        <v>0</v>
      </c>
      <c r="M124" s="18">
        <f>G124*'GS 1k-4,999 Predicted Monthly'!$T$12</f>
        <v>0</v>
      </c>
      <c r="N124" s="18">
        <f>H124*'GS 1k-4,999 Predicted Monthly'!$T$13</f>
        <v>2572854.8759234953</v>
      </c>
      <c r="O124" s="18">
        <f>I124*'GS 1k-4,999 Predicted Monthly'!$T$14</f>
        <v>3509355.4704038892</v>
      </c>
      <c r="P124" s="18">
        <f t="shared" ca="1" si="9"/>
        <v>7457671.1009108545</v>
      </c>
      <c r="R124" s="18"/>
    </row>
    <row r="125" spans="1:18" x14ac:dyDescent="0.25">
      <c r="A125" s="3">
        <v>45748</v>
      </c>
      <c r="B125" s="1">
        <f t="shared" si="5"/>
        <v>2025</v>
      </c>
      <c r="C125" s="1">
        <f t="shared" si="6"/>
        <v>4</v>
      </c>
      <c r="D125" s="259"/>
      <c r="E125" s="259">
        <f t="shared" ca="1" si="10"/>
        <v>0.4316666666666677</v>
      </c>
      <c r="F125" s="259"/>
      <c r="G125" s="269">
        <f t="shared" si="11"/>
        <v>0</v>
      </c>
      <c r="H125" s="269">
        <f>Economic!F127</f>
        <v>237.004425</v>
      </c>
      <c r="I125" s="269">
        <f t="shared" si="12"/>
        <v>30</v>
      </c>
      <c r="K125" s="18">
        <f>'GS 1k-4,999 Predicted Monthly'!$T$10</f>
        <v>1375460.7545834701</v>
      </c>
      <c r="L125" s="18">
        <f ca="1">E125*'GS 1k-4,999 Predicted Monthly'!$T$11</f>
        <v>3857.0377648914441</v>
      </c>
      <c r="M125" s="18">
        <f>G125*'GS 1k-4,999 Predicted Monthly'!$T$12</f>
        <v>0</v>
      </c>
      <c r="N125" s="18">
        <f>H125*'GS 1k-4,999 Predicted Monthly'!$T$13</f>
        <v>2597368.8678118954</v>
      </c>
      <c r="O125" s="18">
        <f>I125*'GS 1k-4,999 Predicted Monthly'!$T$14</f>
        <v>3396150.4552295702</v>
      </c>
      <c r="P125" s="18">
        <f t="shared" ca="1" si="9"/>
        <v>7372837.1153898276</v>
      </c>
    </row>
    <row r="126" spans="1:18" x14ac:dyDescent="0.25">
      <c r="A126" s="3">
        <v>45778</v>
      </c>
      <c r="B126" s="1">
        <f t="shared" si="5"/>
        <v>2025</v>
      </c>
      <c r="C126" s="1">
        <f t="shared" si="6"/>
        <v>5</v>
      </c>
      <c r="D126" s="259"/>
      <c r="E126" s="259">
        <f t="shared" ca="1" si="10"/>
        <v>29.4520183982684</v>
      </c>
      <c r="F126" s="259"/>
      <c r="G126" s="269">
        <f t="shared" si="11"/>
        <v>0</v>
      </c>
      <c r="H126" s="269">
        <f>Economic!F128</f>
        <v>236.69940000000003</v>
      </c>
      <c r="I126" s="269">
        <f t="shared" si="12"/>
        <v>31</v>
      </c>
      <c r="K126" s="18">
        <f>'GS 1k-4,999 Predicted Monthly'!$T$10</f>
        <v>1375460.7545834701</v>
      </c>
      <c r="L126" s="18">
        <f ca="1">E126*'GS 1k-4,999 Predicted Monthly'!$T$11</f>
        <v>263160.34103721677</v>
      </c>
      <c r="M126" s="18">
        <f>G126*'GS 1k-4,999 Predicted Monthly'!$T$12</f>
        <v>0</v>
      </c>
      <c r="N126" s="18">
        <f>H126*'GS 1k-4,999 Predicted Monthly'!$T$13</f>
        <v>2594026.0507362047</v>
      </c>
      <c r="O126" s="18">
        <f>I126*'GS 1k-4,999 Predicted Monthly'!$T$14</f>
        <v>3509355.4704038892</v>
      </c>
      <c r="P126" s="18">
        <f t="shared" ca="1" si="9"/>
        <v>7742002.616760781</v>
      </c>
    </row>
    <row r="127" spans="1:18" x14ac:dyDescent="0.25">
      <c r="A127" s="3">
        <v>45809</v>
      </c>
      <c r="B127" s="1">
        <f t="shared" si="5"/>
        <v>2025</v>
      </c>
      <c r="C127" s="1">
        <f t="shared" si="6"/>
        <v>6</v>
      </c>
      <c r="D127" s="259"/>
      <c r="E127" s="259">
        <f t="shared" ca="1" si="10"/>
        <v>86.311049595332207</v>
      </c>
      <c r="F127" s="259"/>
      <c r="G127" s="269">
        <f t="shared" si="11"/>
        <v>0</v>
      </c>
      <c r="H127" s="269">
        <f>Economic!F129</f>
        <v>234.46254999999999</v>
      </c>
      <c r="I127" s="269">
        <f t="shared" si="12"/>
        <v>30</v>
      </c>
      <c r="K127" s="18">
        <f>'GS 1k-4,999 Predicted Monthly'!$T$10</f>
        <v>1375460.7545834701</v>
      </c>
      <c r="L127" s="18">
        <f ca="1">E127*'GS 1k-4,999 Predicted Monthly'!$T$11</f>
        <v>771208.44281841069</v>
      </c>
      <c r="M127" s="18">
        <f>G127*'GS 1k-4,999 Predicted Monthly'!$T$12</f>
        <v>0</v>
      </c>
      <c r="N127" s="18">
        <f>H127*'GS 1k-4,999 Predicted Monthly'!$T$13</f>
        <v>2569512.0588478041</v>
      </c>
      <c r="O127" s="18">
        <f>I127*'GS 1k-4,999 Predicted Monthly'!$T$14</f>
        <v>3396150.4552295702</v>
      </c>
      <c r="P127" s="18">
        <f t="shared" ca="1" si="9"/>
        <v>8112331.711479255</v>
      </c>
    </row>
    <row r="128" spans="1:18" x14ac:dyDescent="0.25">
      <c r="A128" s="3">
        <v>45839</v>
      </c>
      <c r="B128" s="1">
        <f t="shared" si="5"/>
        <v>2025</v>
      </c>
      <c r="C128" s="1">
        <f t="shared" si="6"/>
        <v>7</v>
      </c>
      <c r="D128" s="259"/>
      <c r="E128" s="259">
        <f t="shared" ca="1" si="10"/>
        <v>174.0219619206118</v>
      </c>
      <c r="F128" s="259"/>
      <c r="G128" s="269">
        <f t="shared" si="11"/>
        <v>0</v>
      </c>
      <c r="H128" s="269">
        <f>Economic!F130</f>
        <v>231.31062500000002</v>
      </c>
      <c r="I128" s="269">
        <f t="shared" si="12"/>
        <v>31</v>
      </c>
      <c r="K128" s="18">
        <f>'GS 1k-4,999 Predicted Monthly'!$T$10</f>
        <v>1375460.7545834701</v>
      </c>
      <c r="L128" s="18">
        <f ca="1">E128*'GS 1k-4,999 Predicted Monthly'!$T$11</f>
        <v>1554924.9707682601</v>
      </c>
      <c r="M128" s="18">
        <f>G128*'GS 1k-4,999 Predicted Monthly'!$T$12</f>
        <v>0</v>
      </c>
      <c r="N128" s="18">
        <f>H128*'GS 1k-4,999 Predicted Monthly'!$T$13</f>
        <v>2534969.6157323308</v>
      </c>
      <c r="O128" s="18">
        <f>I128*'GS 1k-4,999 Predicted Monthly'!$T$14</f>
        <v>3509355.4704038892</v>
      </c>
      <c r="P128" s="18">
        <f t="shared" ca="1" si="9"/>
        <v>8974710.8114879504</v>
      </c>
    </row>
    <row r="129" spans="1:16" x14ac:dyDescent="0.25">
      <c r="A129" s="3">
        <v>45870</v>
      </c>
      <c r="B129" s="1">
        <f t="shared" si="5"/>
        <v>2025</v>
      </c>
      <c r="C129" s="1">
        <f t="shared" si="6"/>
        <v>8</v>
      </c>
      <c r="D129" s="259"/>
      <c r="E129" s="259">
        <f t="shared" ca="1" si="10"/>
        <v>149.7160046113307</v>
      </c>
      <c r="F129" s="259"/>
      <c r="G129" s="269">
        <f t="shared" si="11"/>
        <v>0</v>
      </c>
      <c r="H129" s="269">
        <f>Economic!F131</f>
        <v>228.87042500000001</v>
      </c>
      <c r="I129" s="269">
        <f t="shared" si="12"/>
        <v>31</v>
      </c>
      <c r="K129" s="18">
        <f>'GS 1k-4,999 Predicted Monthly'!$T$10</f>
        <v>1375460.7545834701</v>
      </c>
      <c r="L129" s="18">
        <f ca="1">E129*'GS 1k-4,999 Predicted Monthly'!$T$11</f>
        <v>1337745.8311843153</v>
      </c>
      <c r="M129" s="18">
        <f>G129*'GS 1k-4,999 Predicted Monthly'!$T$12</f>
        <v>0</v>
      </c>
      <c r="N129" s="18">
        <f>H129*'GS 1k-4,999 Predicted Monthly'!$T$13</f>
        <v>2508227.0791268027</v>
      </c>
      <c r="O129" s="18">
        <f>I129*'GS 1k-4,999 Predicted Monthly'!$T$14</f>
        <v>3509355.4704038892</v>
      </c>
      <c r="P129" s="18">
        <f t="shared" ca="1" si="9"/>
        <v>8730789.1352984775</v>
      </c>
    </row>
    <row r="130" spans="1:16" x14ac:dyDescent="0.25">
      <c r="A130" s="3">
        <v>45901</v>
      </c>
      <c r="B130" s="1">
        <f t="shared" ref="B130:B145" si="13">YEAR(A130)</f>
        <v>2025</v>
      </c>
      <c r="C130" s="1">
        <f t="shared" ref="C130:C145" si="14">MONTH(A130)</f>
        <v>9</v>
      </c>
      <c r="D130" s="259"/>
      <c r="E130" s="259">
        <f t="shared" ca="1" si="10"/>
        <v>62.345178571428576</v>
      </c>
      <c r="F130" s="259"/>
      <c r="G130" s="269">
        <f t="shared" si="11"/>
        <v>0</v>
      </c>
      <c r="H130" s="269">
        <f>Economic!F132</f>
        <v>230.70057500000001</v>
      </c>
      <c r="I130" s="269">
        <f t="shared" si="12"/>
        <v>30</v>
      </c>
      <c r="K130" s="18">
        <f>'GS 1k-4,999 Predicted Monthly'!$T$10</f>
        <v>1375460.7545834701</v>
      </c>
      <c r="L130" s="18">
        <f ca="1">E130*'GS 1k-4,999 Predicted Monthly'!$T$11</f>
        <v>557068.04990478826</v>
      </c>
      <c r="M130" s="18">
        <f>G130*'GS 1k-4,999 Predicted Monthly'!$T$12</f>
        <v>0</v>
      </c>
      <c r="N130" s="18">
        <f>H130*'GS 1k-4,999 Predicted Monthly'!$T$13</f>
        <v>2528283.9815809489</v>
      </c>
      <c r="O130" s="18">
        <f>I130*'GS 1k-4,999 Predicted Monthly'!$T$14</f>
        <v>3396150.4552295702</v>
      </c>
      <c r="P130" s="18">
        <f t="shared" ca="1" si="9"/>
        <v>7856963.2412987771</v>
      </c>
    </row>
    <row r="131" spans="1:16" x14ac:dyDescent="0.25">
      <c r="A131" s="3">
        <v>45931</v>
      </c>
      <c r="B131" s="1">
        <f t="shared" si="13"/>
        <v>2025</v>
      </c>
      <c r="C131" s="1">
        <f t="shared" si="14"/>
        <v>10</v>
      </c>
      <c r="D131" s="259"/>
      <c r="E131" s="259">
        <f t="shared" ca="1" si="10"/>
        <v>7.1541666666666703</v>
      </c>
      <c r="F131" s="259"/>
      <c r="G131" s="269">
        <f t="shared" si="11"/>
        <v>0</v>
      </c>
      <c r="H131" s="269">
        <f>Economic!F133</f>
        <v>232.53072499999999</v>
      </c>
      <c r="I131" s="269">
        <f t="shared" si="12"/>
        <v>31</v>
      </c>
      <c r="K131" s="18">
        <f>'GS 1k-4,999 Predicted Monthly'!$T$10</f>
        <v>1375460.7545834701</v>
      </c>
      <c r="L131" s="18">
        <f ca="1">E131*'GS 1k-4,999 Predicted Monthly'!$T$11</f>
        <v>63924.071837052099</v>
      </c>
      <c r="M131" s="18">
        <f>G131*'GS 1k-4,999 Predicted Monthly'!$T$12</f>
        <v>0</v>
      </c>
      <c r="N131" s="18">
        <f>H131*'GS 1k-4,999 Predicted Monthly'!$T$13</f>
        <v>2548340.8840350942</v>
      </c>
      <c r="O131" s="18">
        <f>I131*'GS 1k-4,999 Predicted Monthly'!$T$14</f>
        <v>3509355.4704038892</v>
      </c>
      <c r="P131" s="18">
        <f t="shared" ref="P131:P145" ca="1" si="15">SUM(K131:O131)</f>
        <v>7497081.1808595052</v>
      </c>
    </row>
    <row r="132" spans="1:16" x14ac:dyDescent="0.25">
      <c r="A132" s="3">
        <v>45962</v>
      </c>
      <c r="B132" s="1">
        <f t="shared" si="13"/>
        <v>2025</v>
      </c>
      <c r="C132" s="1">
        <f t="shared" si="14"/>
        <v>11</v>
      </c>
      <c r="D132" s="259"/>
      <c r="E132" s="259">
        <f t="shared" ca="1" si="10"/>
        <v>0.15041666666666628</v>
      </c>
      <c r="F132" s="259"/>
      <c r="G132" s="269">
        <f t="shared" si="11"/>
        <v>0</v>
      </c>
      <c r="H132" s="269">
        <f>Economic!F134</f>
        <v>232.53072499999999</v>
      </c>
      <c r="I132" s="269">
        <f t="shared" si="12"/>
        <v>30</v>
      </c>
      <c r="K132" s="18">
        <f>'GS 1k-4,999 Predicted Monthly'!$T$10</f>
        <v>1375460.7545834701</v>
      </c>
      <c r="L132" s="18">
        <f ca="1">E132*'GS 1k-4,999 Predicted Monthly'!$T$11</f>
        <v>1344.0064026310854</v>
      </c>
      <c r="M132" s="18">
        <f>G132*'GS 1k-4,999 Predicted Monthly'!$T$12</f>
        <v>0</v>
      </c>
      <c r="N132" s="18">
        <f>H132*'GS 1k-4,999 Predicted Monthly'!$T$13</f>
        <v>2548340.8840350942</v>
      </c>
      <c r="O132" s="18">
        <f>I132*'GS 1k-4,999 Predicted Monthly'!$T$14</f>
        <v>3396150.4552295702</v>
      </c>
      <c r="P132" s="18">
        <f t="shared" ca="1" si="15"/>
        <v>7321296.1002507657</v>
      </c>
    </row>
    <row r="133" spans="1:16" x14ac:dyDescent="0.25">
      <c r="A133" s="3">
        <v>45992</v>
      </c>
      <c r="B133" s="1">
        <f t="shared" si="13"/>
        <v>2025</v>
      </c>
      <c r="C133" s="1">
        <f t="shared" si="14"/>
        <v>12</v>
      </c>
      <c r="D133" s="259"/>
      <c r="E133" s="259">
        <f t="shared" ca="1" si="10"/>
        <v>0</v>
      </c>
      <c r="F133" s="259"/>
      <c r="G133" s="269">
        <f t="shared" si="11"/>
        <v>0</v>
      </c>
      <c r="H133" s="269">
        <f>Economic!F135</f>
        <v>230.80225000000002</v>
      </c>
      <c r="I133" s="269">
        <f t="shared" si="12"/>
        <v>31</v>
      </c>
      <c r="K133" s="18">
        <f>'GS 1k-4,999 Predicted Monthly'!$T$10</f>
        <v>1375460.7545834701</v>
      </c>
      <c r="L133" s="18">
        <f ca="1">E133*'GS 1k-4,999 Predicted Monthly'!$T$11</f>
        <v>0</v>
      </c>
      <c r="M133" s="18">
        <f>G133*'GS 1k-4,999 Predicted Monthly'!$T$12</f>
        <v>0</v>
      </c>
      <c r="N133" s="18">
        <f>H133*'GS 1k-4,999 Predicted Monthly'!$T$13</f>
        <v>2529398.2539395122</v>
      </c>
      <c r="O133" s="18">
        <f>I133*'GS 1k-4,999 Predicted Monthly'!$T$14</f>
        <v>3509355.4704038892</v>
      </c>
      <c r="P133" s="18">
        <f t="shared" ca="1" si="15"/>
        <v>7414214.478926871</v>
      </c>
    </row>
    <row r="134" spans="1:16" x14ac:dyDescent="0.25">
      <c r="A134" s="3">
        <v>46023</v>
      </c>
      <c r="B134" s="1">
        <f t="shared" si="13"/>
        <v>2026</v>
      </c>
      <c r="C134" s="1">
        <f t="shared" si="14"/>
        <v>1</v>
      </c>
      <c r="D134" s="259"/>
      <c r="E134" s="259">
        <f t="shared" si="10"/>
        <v>0</v>
      </c>
      <c r="F134" s="259"/>
      <c r="G134" s="269">
        <f t="shared" si="11"/>
        <v>0</v>
      </c>
      <c r="H134" s="269">
        <f>Economic!F136</f>
        <v>234.85148229375</v>
      </c>
      <c r="I134" s="269">
        <f t="shared" si="12"/>
        <v>31</v>
      </c>
      <c r="K134" s="18">
        <f>'GS 1k-4,999 Predicted Monthly'!$T$10</f>
        <v>1375460.7545834701</v>
      </c>
      <c r="L134" s="18">
        <f>E134*'GS 1k-4,999 Predicted Monthly'!$T$11</f>
        <v>0</v>
      </c>
      <c r="M134" s="18">
        <f>G134*'GS 1k-4,999 Predicted Monthly'!$T$12</f>
        <v>0</v>
      </c>
      <c r="N134" s="18">
        <f>H134*'GS 1k-4,999 Predicted Monthly'!$T$13</f>
        <v>2573774.4291873998</v>
      </c>
      <c r="O134" s="18">
        <f>I134*'GS 1k-4,999 Predicted Monthly'!$T$14</f>
        <v>3509355.4704038892</v>
      </c>
      <c r="P134" s="18">
        <f t="shared" si="15"/>
        <v>7458590.6541747591</v>
      </c>
    </row>
    <row r="135" spans="1:16" x14ac:dyDescent="0.25">
      <c r="A135" s="3">
        <v>46054</v>
      </c>
      <c r="B135" s="1">
        <f t="shared" si="13"/>
        <v>2026</v>
      </c>
      <c r="C135" s="1">
        <f t="shared" si="14"/>
        <v>2</v>
      </c>
      <c r="D135" s="259"/>
      <c r="E135" s="259">
        <f t="shared" ca="1" si="10"/>
        <v>0</v>
      </c>
      <c r="F135" s="259"/>
      <c r="G135" s="269">
        <f t="shared" si="11"/>
        <v>0</v>
      </c>
      <c r="H135" s="269">
        <f>Economic!F137</f>
        <v>235.9830487875</v>
      </c>
      <c r="I135" s="269">
        <f t="shared" si="12"/>
        <v>28</v>
      </c>
      <c r="K135" s="18">
        <f>'GS 1k-4,999 Predicted Monthly'!$T$10</f>
        <v>1375460.7545834701</v>
      </c>
      <c r="L135" s="18">
        <f ca="1">E135*'GS 1k-4,999 Predicted Monthly'!$T$11</f>
        <v>0</v>
      </c>
      <c r="M135" s="18">
        <f>G135*'GS 1k-4,999 Predicted Monthly'!$T$12</f>
        <v>0</v>
      </c>
      <c r="N135" s="18">
        <f>H135*'GS 1k-4,999 Predicted Monthly'!$T$13</f>
        <v>2586175.4448339441</v>
      </c>
      <c r="O135" s="18">
        <f>I135*'GS 1k-4,999 Predicted Monthly'!$T$14</f>
        <v>3169740.4248809321</v>
      </c>
      <c r="P135" s="18">
        <f t="shared" ca="1" si="15"/>
        <v>7131376.6242983462</v>
      </c>
    </row>
    <row r="136" spans="1:16" x14ac:dyDescent="0.25">
      <c r="A136" s="3">
        <v>46082</v>
      </c>
      <c r="B136" s="1">
        <f t="shared" si="13"/>
        <v>2026</v>
      </c>
      <c r="C136" s="1">
        <f t="shared" si="14"/>
        <v>3</v>
      </c>
      <c r="D136" s="259"/>
      <c r="E136" s="259">
        <f t="shared" ca="1" si="10"/>
        <v>0</v>
      </c>
      <c r="F136" s="259"/>
      <c r="G136" s="269">
        <f t="shared" si="11"/>
        <v>0</v>
      </c>
      <c r="H136" s="269">
        <f>Economic!F138</f>
        <v>237.52609400624999</v>
      </c>
      <c r="I136" s="269">
        <f t="shared" si="12"/>
        <v>31</v>
      </c>
      <c r="K136" s="18">
        <f>'GS 1k-4,999 Predicted Monthly'!$T$10</f>
        <v>1375460.7545834701</v>
      </c>
      <c r="L136" s="18">
        <f ca="1">E136*'GS 1k-4,999 Predicted Monthly'!$T$11</f>
        <v>0</v>
      </c>
      <c r="M136" s="18">
        <f>G136*'GS 1k-4,999 Predicted Monthly'!$T$12</f>
        <v>0</v>
      </c>
      <c r="N136" s="18">
        <f>H136*'GS 1k-4,999 Predicted Monthly'!$T$13</f>
        <v>2603085.9207155961</v>
      </c>
      <c r="O136" s="18">
        <f>I136*'GS 1k-4,999 Predicted Monthly'!$T$14</f>
        <v>3509355.4704038892</v>
      </c>
      <c r="P136" s="18">
        <f t="shared" ca="1" si="15"/>
        <v>7487902.1457029553</v>
      </c>
    </row>
    <row r="137" spans="1:16" x14ac:dyDescent="0.25">
      <c r="A137" s="3">
        <v>46113</v>
      </c>
      <c r="B137" s="1">
        <f t="shared" si="13"/>
        <v>2026</v>
      </c>
      <c r="C137" s="1">
        <f t="shared" si="14"/>
        <v>4</v>
      </c>
      <c r="D137" s="259"/>
      <c r="E137" s="259">
        <f t="shared" ca="1" si="10"/>
        <v>0.4316666666666677</v>
      </c>
      <c r="F137" s="259"/>
      <c r="G137" s="269">
        <f t="shared" si="11"/>
        <v>0</v>
      </c>
      <c r="H137" s="269">
        <f>Economic!F139</f>
        <v>239.78922699374999</v>
      </c>
      <c r="I137" s="269">
        <f t="shared" si="12"/>
        <v>30</v>
      </c>
      <c r="K137" s="18">
        <f>'GS 1k-4,999 Predicted Monthly'!$T$10</f>
        <v>1375460.7545834701</v>
      </c>
      <c r="L137" s="18">
        <f ca="1">E137*'GS 1k-4,999 Predicted Monthly'!$T$11</f>
        <v>3857.0377648914441</v>
      </c>
      <c r="M137" s="18">
        <f>G137*'GS 1k-4,999 Predicted Monthly'!$T$12</f>
        <v>0</v>
      </c>
      <c r="N137" s="18">
        <f>H137*'GS 1k-4,999 Predicted Monthly'!$T$13</f>
        <v>2627887.9520086851</v>
      </c>
      <c r="O137" s="18">
        <f>I137*'GS 1k-4,999 Predicted Monthly'!$T$14</f>
        <v>3396150.4552295702</v>
      </c>
      <c r="P137" s="18">
        <f t="shared" ca="1" si="15"/>
        <v>7403356.1995866168</v>
      </c>
    </row>
    <row r="138" spans="1:16" x14ac:dyDescent="0.25">
      <c r="A138" s="3">
        <v>46143</v>
      </c>
      <c r="B138" s="1">
        <f t="shared" si="13"/>
        <v>2026</v>
      </c>
      <c r="C138" s="1">
        <f t="shared" si="14"/>
        <v>5</v>
      </c>
      <c r="D138" s="259"/>
      <c r="E138" s="259">
        <f t="shared" ca="1" si="10"/>
        <v>29.4520183982684</v>
      </c>
      <c r="F138" s="259"/>
      <c r="G138" s="269">
        <f t="shared" si="11"/>
        <v>0</v>
      </c>
      <c r="H138" s="269">
        <f>Economic!F140</f>
        <v>239.48061795000001</v>
      </c>
      <c r="I138" s="269">
        <f t="shared" si="12"/>
        <v>31</v>
      </c>
      <c r="K138" s="18">
        <f>'GS 1k-4,999 Predicted Monthly'!$T$10</f>
        <v>1375460.7545834701</v>
      </c>
      <c r="L138" s="18">
        <f ca="1">E138*'GS 1k-4,999 Predicted Monthly'!$T$11</f>
        <v>263160.34103721677</v>
      </c>
      <c r="M138" s="18">
        <f>G138*'GS 1k-4,999 Predicted Monthly'!$T$12</f>
        <v>0</v>
      </c>
      <c r="N138" s="18">
        <f>H138*'GS 1k-4,999 Predicted Monthly'!$T$13</f>
        <v>2624505.8568323553</v>
      </c>
      <c r="O138" s="18">
        <f>I138*'GS 1k-4,999 Predicted Monthly'!$T$14</f>
        <v>3509355.4704038892</v>
      </c>
      <c r="P138" s="18">
        <f t="shared" ca="1" si="15"/>
        <v>7772482.4228569316</v>
      </c>
    </row>
    <row r="139" spans="1:16" x14ac:dyDescent="0.25">
      <c r="A139" s="3">
        <v>46174</v>
      </c>
      <c r="B139" s="1">
        <f t="shared" si="13"/>
        <v>2026</v>
      </c>
      <c r="C139" s="1">
        <f t="shared" si="14"/>
        <v>6</v>
      </c>
      <c r="D139" s="259"/>
      <c r="E139" s="259">
        <f t="shared" ca="1" si="10"/>
        <v>86.311049595332207</v>
      </c>
      <c r="F139" s="259"/>
      <c r="G139" s="269">
        <f t="shared" ref="G139:G145" si="16">G127</f>
        <v>0</v>
      </c>
      <c r="H139" s="269">
        <f>Economic!F141</f>
        <v>237.21748496249998</v>
      </c>
      <c r="I139" s="269">
        <f t="shared" si="12"/>
        <v>30</v>
      </c>
      <c r="K139" s="18">
        <f>'GS 1k-4,999 Predicted Monthly'!$T$10</f>
        <v>1375460.7545834701</v>
      </c>
      <c r="L139" s="18">
        <f ca="1">E139*'GS 1k-4,999 Predicted Monthly'!$T$11</f>
        <v>771208.44281841069</v>
      </c>
      <c r="M139" s="18">
        <f>G139*'GS 1k-4,999 Predicted Monthly'!$T$12</f>
        <v>0</v>
      </c>
      <c r="N139" s="18">
        <f>H139*'GS 1k-4,999 Predicted Monthly'!$T$13</f>
        <v>2599703.8255392653</v>
      </c>
      <c r="O139" s="18">
        <f>I139*'GS 1k-4,999 Predicted Monthly'!$T$14</f>
        <v>3396150.4552295702</v>
      </c>
      <c r="P139" s="18">
        <f t="shared" ca="1" si="15"/>
        <v>8142523.4781707162</v>
      </c>
    </row>
    <row r="140" spans="1:16" x14ac:dyDescent="0.25">
      <c r="A140" s="3">
        <v>46204</v>
      </c>
      <c r="B140" s="1">
        <f t="shared" si="13"/>
        <v>2026</v>
      </c>
      <c r="C140" s="1">
        <f t="shared" si="14"/>
        <v>7</v>
      </c>
      <c r="D140" s="259"/>
      <c r="E140" s="259">
        <f t="shared" ca="1" si="10"/>
        <v>174.0219619206118</v>
      </c>
      <c r="F140" s="259"/>
      <c r="G140" s="269">
        <f t="shared" si="16"/>
        <v>0</v>
      </c>
      <c r="H140" s="269">
        <f>Economic!F142</f>
        <v>234.02852484375001</v>
      </c>
      <c r="I140" s="269">
        <f t="shared" si="12"/>
        <v>31</v>
      </c>
      <c r="K140" s="18">
        <f>'GS 1k-4,999 Predicted Monthly'!$T$10</f>
        <v>1375460.7545834701</v>
      </c>
      <c r="L140" s="18">
        <f ca="1">E140*'GS 1k-4,999 Predicted Monthly'!$T$11</f>
        <v>1554924.9707682601</v>
      </c>
      <c r="M140" s="18">
        <f>G140*'GS 1k-4,999 Predicted Monthly'!$T$12</f>
        <v>0</v>
      </c>
      <c r="N140" s="18">
        <f>H140*'GS 1k-4,999 Predicted Monthly'!$T$13</f>
        <v>2564755.5087171854</v>
      </c>
      <c r="O140" s="18">
        <f>I140*'GS 1k-4,999 Predicted Monthly'!$T$14</f>
        <v>3509355.4704038892</v>
      </c>
      <c r="P140" s="18">
        <f t="shared" ca="1" si="15"/>
        <v>9004496.7044728044</v>
      </c>
    </row>
    <row r="141" spans="1:16" x14ac:dyDescent="0.25">
      <c r="A141" s="3">
        <v>46235</v>
      </c>
      <c r="B141" s="1">
        <f t="shared" si="13"/>
        <v>2026</v>
      </c>
      <c r="C141" s="1">
        <f t="shared" si="14"/>
        <v>8</v>
      </c>
      <c r="D141" s="259"/>
      <c r="E141" s="259">
        <f t="shared" ca="1" si="10"/>
        <v>149.7160046113307</v>
      </c>
      <c r="F141" s="259"/>
      <c r="G141" s="269">
        <f t="shared" si="16"/>
        <v>0</v>
      </c>
      <c r="H141" s="269">
        <f>Economic!F143</f>
        <v>231.55965249375001</v>
      </c>
      <c r="I141" s="269">
        <f t="shared" si="12"/>
        <v>31</v>
      </c>
      <c r="K141" s="18">
        <f>'GS 1k-4,999 Predicted Monthly'!$T$10</f>
        <v>1375460.7545834701</v>
      </c>
      <c r="L141" s="18">
        <f ca="1">E141*'GS 1k-4,999 Predicted Monthly'!$T$11</f>
        <v>1337745.8311843153</v>
      </c>
      <c r="M141" s="18">
        <f>G141*'GS 1k-4,999 Predicted Monthly'!$T$12</f>
        <v>0</v>
      </c>
      <c r="N141" s="18">
        <f>H141*'GS 1k-4,999 Predicted Monthly'!$T$13</f>
        <v>2537698.7473065425</v>
      </c>
      <c r="O141" s="18">
        <f>I141*'GS 1k-4,999 Predicted Monthly'!$T$14</f>
        <v>3509355.4704038892</v>
      </c>
      <c r="P141" s="18">
        <f t="shared" ca="1" si="15"/>
        <v>8760260.8034782168</v>
      </c>
    </row>
    <row r="142" spans="1:16" x14ac:dyDescent="0.25">
      <c r="A142" s="3">
        <v>46266</v>
      </c>
      <c r="B142" s="1">
        <f t="shared" si="13"/>
        <v>2026</v>
      </c>
      <c r="C142" s="1">
        <f t="shared" si="14"/>
        <v>9</v>
      </c>
      <c r="D142" s="259"/>
      <c r="E142" s="259">
        <f t="shared" ca="1" si="10"/>
        <v>62.345178571428576</v>
      </c>
      <c r="F142" s="259"/>
      <c r="G142" s="269">
        <f t="shared" si="16"/>
        <v>0</v>
      </c>
      <c r="H142" s="269">
        <f>Economic!F144</f>
        <v>233.41130675624999</v>
      </c>
      <c r="I142" s="269">
        <f t="shared" si="12"/>
        <v>30</v>
      </c>
      <c r="K142" s="18">
        <f>'GS 1k-4,999 Predicted Monthly'!$T$10</f>
        <v>1375460.7545834701</v>
      </c>
      <c r="L142" s="18">
        <f ca="1">E142*'GS 1k-4,999 Predicted Monthly'!$T$11</f>
        <v>557068.04990478826</v>
      </c>
      <c r="M142" s="18">
        <f>G142*'GS 1k-4,999 Predicted Monthly'!$T$12</f>
        <v>0</v>
      </c>
      <c r="N142" s="18">
        <f>H142*'GS 1k-4,999 Predicted Monthly'!$T$13</f>
        <v>2557991.3183645243</v>
      </c>
      <c r="O142" s="18">
        <f>I142*'GS 1k-4,999 Predicted Monthly'!$T$14</f>
        <v>3396150.4552295702</v>
      </c>
      <c r="P142" s="18">
        <f t="shared" ca="1" si="15"/>
        <v>7886670.5780823529</v>
      </c>
    </row>
    <row r="143" spans="1:16" x14ac:dyDescent="0.25">
      <c r="A143" s="3">
        <v>46296</v>
      </c>
      <c r="B143" s="1">
        <f t="shared" si="13"/>
        <v>2026</v>
      </c>
      <c r="C143" s="1">
        <f t="shared" si="14"/>
        <v>10</v>
      </c>
      <c r="D143" s="259"/>
      <c r="E143" s="259">
        <f t="shared" ca="1" si="10"/>
        <v>7.1541666666666703</v>
      </c>
      <c r="F143" s="259"/>
      <c r="G143" s="269">
        <f t="shared" si="16"/>
        <v>0</v>
      </c>
      <c r="H143" s="269">
        <f>Economic!F145</f>
        <v>235.26296101874996</v>
      </c>
      <c r="I143" s="269">
        <f t="shared" si="12"/>
        <v>31</v>
      </c>
      <c r="K143" s="18">
        <f>'GS 1k-4,999 Predicted Monthly'!$T$10</f>
        <v>1375460.7545834701</v>
      </c>
      <c r="L143" s="18">
        <f ca="1">E143*'GS 1k-4,999 Predicted Monthly'!$T$11</f>
        <v>63924.071837052099</v>
      </c>
      <c r="M143" s="18">
        <f>G143*'GS 1k-4,999 Predicted Monthly'!$T$12</f>
        <v>0</v>
      </c>
      <c r="N143" s="18">
        <f>H143*'GS 1k-4,999 Predicted Monthly'!$T$13</f>
        <v>2578283.8894225066</v>
      </c>
      <c r="O143" s="18">
        <f>I143*'GS 1k-4,999 Predicted Monthly'!$T$14</f>
        <v>3509355.4704038892</v>
      </c>
      <c r="P143" s="18">
        <f t="shared" ca="1" si="15"/>
        <v>7527024.1862469176</v>
      </c>
    </row>
    <row r="144" spans="1:16" x14ac:dyDescent="0.25">
      <c r="A144" s="3">
        <v>46327</v>
      </c>
      <c r="B144" s="1">
        <f t="shared" si="13"/>
        <v>2026</v>
      </c>
      <c r="C144" s="1">
        <f t="shared" si="14"/>
        <v>11</v>
      </c>
      <c r="D144" s="259"/>
      <c r="E144" s="259">
        <f t="shared" ca="1" si="10"/>
        <v>0.15041666666666628</v>
      </c>
      <c r="F144" s="259"/>
      <c r="G144" s="269">
        <f t="shared" si="16"/>
        <v>0</v>
      </c>
      <c r="H144" s="269">
        <f>Economic!F146</f>
        <v>235.26296101874996</v>
      </c>
      <c r="I144" s="269">
        <f t="shared" si="12"/>
        <v>30</v>
      </c>
      <c r="K144" s="18">
        <f>'GS 1k-4,999 Predicted Monthly'!$T$10</f>
        <v>1375460.7545834701</v>
      </c>
      <c r="L144" s="18">
        <f ca="1">E144*'GS 1k-4,999 Predicted Monthly'!$T$11</f>
        <v>1344.0064026310854</v>
      </c>
      <c r="M144" s="18">
        <f>G144*'GS 1k-4,999 Predicted Monthly'!$T$12</f>
        <v>0</v>
      </c>
      <c r="N144" s="18">
        <f>H144*'GS 1k-4,999 Predicted Monthly'!$T$13</f>
        <v>2578283.8894225066</v>
      </c>
      <c r="O144" s="18">
        <f>I144*'GS 1k-4,999 Predicted Monthly'!$T$14</f>
        <v>3396150.4552295702</v>
      </c>
      <c r="P144" s="18">
        <f t="shared" ca="1" si="15"/>
        <v>7351239.1056381781</v>
      </c>
    </row>
    <row r="145" spans="1:16" x14ac:dyDescent="0.25">
      <c r="A145" s="3">
        <v>46357</v>
      </c>
      <c r="B145" s="1">
        <f t="shared" si="13"/>
        <v>2026</v>
      </c>
      <c r="C145" s="1">
        <f t="shared" si="14"/>
        <v>12</v>
      </c>
      <c r="D145" s="259"/>
      <c r="E145" s="259">
        <f t="shared" ca="1" si="10"/>
        <v>0</v>
      </c>
      <c r="F145" s="259"/>
      <c r="G145" s="269">
        <f t="shared" si="16"/>
        <v>0</v>
      </c>
      <c r="H145" s="269">
        <f>Economic!F147</f>
        <v>233.5141764375</v>
      </c>
      <c r="I145" s="269">
        <f t="shared" si="12"/>
        <v>31</v>
      </c>
      <c r="K145" s="18">
        <f>'GS 1k-4,999 Predicted Monthly'!$T$10</f>
        <v>1375460.7545834701</v>
      </c>
      <c r="L145" s="18">
        <f ca="1">E145*'GS 1k-4,999 Predicted Monthly'!$T$11</f>
        <v>0</v>
      </c>
      <c r="M145" s="18">
        <f>G145*'GS 1k-4,999 Predicted Monthly'!$T$12</f>
        <v>0</v>
      </c>
      <c r="N145" s="18">
        <f>H145*'GS 1k-4,999 Predicted Monthly'!$T$13</f>
        <v>2559118.6834233017</v>
      </c>
      <c r="O145" s="18">
        <f>I145*'GS 1k-4,999 Predicted Monthly'!$T$14</f>
        <v>3509355.4704038892</v>
      </c>
      <c r="P145" s="18">
        <f t="shared" ca="1" si="15"/>
        <v>7443934.9084106609</v>
      </c>
    </row>
    <row r="195" spans="8:19" x14ac:dyDescent="0.25">
      <c r="H195" s="18"/>
      <c r="I195" s="18"/>
      <c r="L195" s="18"/>
      <c r="M195" s="18"/>
      <c r="N195" s="18"/>
      <c r="O195" s="18"/>
      <c r="P195" s="18"/>
      <c r="Q195" s="18"/>
      <c r="R195" s="18"/>
      <c r="S195" s="18"/>
    </row>
    <row r="196" spans="8:19" x14ac:dyDescent="0.25">
      <c r="H196" s="18"/>
      <c r="I196" s="18"/>
      <c r="L196" s="18"/>
      <c r="M196" s="18"/>
      <c r="N196" s="18"/>
      <c r="O196" s="18"/>
      <c r="P196" s="18"/>
      <c r="Q196" s="18"/>
      <c r="R196" s="18"/>
      <c r="S196" s="18"/>
    </row>
    <row r="197" spans="8:19" x14ac:dyDescent="0.25">
      <c r="H197" s="18"/>
      <c r="I197" s="18"/>
      <c r="L197" s="18"/>
      <c r="M197" s="18"/>
      <c r="N197" s="18"/>
      <c r="O197" s="18"/>
      <c r="P197" s="18"/>
      <c r="Q197" s="18"/>
      <c r="R197" s="18"/>
      <c r="S197" s="18"/>
    </row>
    <row r="198" spans="8:19" x14ac:dyDescent="0.25">
      <c r="H198" s="18"/>
      <c r="I198" s="18"/>
      <c r="L198" s="18"/>
      <c r="M198" s="18"/>
      <c r="N198" s="18"/>
      <c r="O198" s="18"/>
      <c r="P198" s="18"/>
      <c r="Q198" s="18"/>
      <c r="R198" s="18"/>
      <c r="S198" s="18"/>
    </row>
    <row r="199" spans="8:19" x14ac:dyDescent="0.25">
      <c r="H199" s="18"/>
      <c r="I199" s="18"/>
      <c r="L199" s="18"/>
      <c r="M199" s="18"/>
      <c r="N199" s="18"/>
      <c r="O199" s="18"/>
      <c r="P199" s="18"/>
      <c r="Q199" s="18"/>
      <c r="R199" s="18"/>
      <c r="S199" s="18"/>
    </row>
    <row r="200" spans="8:19" x14ac:dyDescent="0.25">
      <c r="H200" s="18"/>
      <c r="I200" s="18"/>
      <c r="L200" s="18"/>
      <c r="M200" s="18"/>
      <c r="N200" s="18"/>
      <c r="O200" s="18"/>
      <c r="P200" s="18"/>
      <c r="Q200" s="18"/>
      <c r="R200" s="18"/>
      <c r="S200" s="18"/>
    </row>
    <row r="201" spans="8:19" x14ac:dyDescent="0.25">
      <c r="H201" s="18"/>
      <c r="I201" s="18"/>
      <c r="L201" s="18"/>
      <c r="M201" s="18"/>
      <c r="N201" s="18"/>
      <c r="O201" s="18"/>
      <c r="P201" s="18"/>
      <c r="Q201" s="18"/>
      <c r="R201" s="18"/>
      <c r="S201" s="18"/>
    </row>
    <row r="202" spans="8:19" x14ac:dyDescent="0.25">
      <c r="H202" s="18"/>
      <c r="I202" s="18"/>
      <c r="L202" s="18"/>
      <c r="M202" s="18"/>
      <c r="N202" s="18"/>
      <c r="O202" s="18"/>
      <c r="P202" s="18"/>
      <c r="Q202" s="18"/>
      <c r="R202" s="18"/>
      <c r="S202" s="18"/>
    </row>
    <row r="204" spans="8:19" x14ac:dyDescent="0.25">
      <c r="K204" s="24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6">
    <tabColor theme="4" tint="0.79998168889431442"/>
  </sheetPr>
  <dimension ref="A1:Z204"/>
  <sheetViews>
    <sheetView workbookViewId="0">
      <selection activeCell="G45" sqref="G45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7.44140625" style="1" customWidth="1"/>
    <col min="5" max="5" width="10.88671875" style="1" bestFit="1" customWidth="1"/>
    <col min="6" max="6" width="11.88671875" style="1" bestFit="1" customWidth="1"/>
    <col min="7" max="13" width="9.44140625" style="1" bestFit="1" customWidth="1"/>
    <col min="14" max="14" width="9.33203125" style="1"/>
    <col min="15" max="15" width="14.77734375" style="1" bestFit="1" customWidth="1"/>
    <col min="16" max="16" width="12.88671875" style="1" bestFit="1" customWidth="1"/>
    <col min="17" max="17" width="13.88671875" style="1" bestFit="1" customWidth="1"/>
    <col min="18" max="22" width="13.77734375" style="1" customWidth="1"/>
    <col min="23" max="23" width="19.6640625" style="1" customWidth="1"/>
    <col min="24" max="24" width="13.77734375" style="1" bestFit="1" customWidth="1"/>
    <col min="25" max="25" width="12.44140625" style="1" bestFit="1" customWidth="1"/>
    <col min="26" max="16384" width="9.33203125" style="1"/>
  </cols>
  <sheetData>
    <row r="1" spans="1:23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Data'!X1</f>
        <v>GS_LU_NoCDM</v>
      </c>
      <c r="E1" s="267" t="str">
        <f>G1&amp;"Norm"</f>
        <v>HDD8Norm</v>
      </c>
      <c r="F1" s="267" t="str">
        <f>H1&amp;"Norm"</f>
        <v>CDD14Norm</v>
      </c>
      <c r="G1" s="267" t="str">
        <f>'Monthly Data'!BL1</f>
        <v>HDD8</v>
      </c>
      <c r="H1" s="267" t="str">
        <f>'Monthly Data'!BG1</f>
        <v>CDD14</v>
      </c>
      <c r="I1" s="267" t="str">
        <f>'Monthly Data'!CC1</f>
        <v>Trend</v>
      </c>
      <c r="J1" s="267" t="str">
        <f>'Monthly Data'!CD1</f>
        <v>Month Days</v>
      </c>
      <c r="K1" s="267" t="str">
        <f>'Monthly Data'!CG1</f>
        <v>COVID_AM</v>
      </c>
      <c r="L1" s="267" t="str">
        <f>'Monthly Data'!CB1</f>
        <v>Shoulder</v>
      </c>
      <c r="M1" s="267" t="str">
        <f>'Monthly Data'!AX1</f>
        <v>OEA_GDPChange</v>
      </c>
      <c r="O1" s="265" t="s">
        <v>152</v>
      </c>
      <c r="P1" s="267" t="str">
        <f t="shared" ref="P1:V1" si="0">G1</f>
        <v>HDD8</v>
      </c>
      <c r="Q1" s="267" t="str">
        <f t="shared" si="0"/>
        <v>CDD14</v>
      </c>
      <c r="R1" s="267" t="str">
        <f t="shared" si="0"/>
        <v>Trend</v>
      </c>
      <c r="S1" s="267" t="str">
        <f t="shared" si="0"/>
        <v>Month Days</v>
      </c>
      <c r="T1" s="267" t="str">
        <f t="shared" si="0"/>
        <v>COVID_AM</v>
      </c>
      <c r="U1" s="267" t="str">
        <f t="shared" si="0"/>
        <v>Shoulder</v>
      </c>
      <c r="V1" s="267" t="str">
        <f t="shared" si="0"/>
        <v>OEA_GDPChange</v>
      </c>
      <c r="W1" s="265" t="s">
        <v>409</v>
      </c>
    </row>
    <row r="2" spans="1:23" x14ac:dyDescent="0.25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Data'!BL2</f>
        <v>487.89184782608703</v>
      </c>
      <c r="H2" s="269">
        <f>'Monthly Data'!BG2</f>
        <v>0</v>
      </c>
      <c r="I2" s="269">
        <f>'Monthly Data'!CC2</f>
        <v>1</v>
      </c>
      <c r="J2" s="269">
        <f>'Monthly Data'!CD2</f>
        <v>31</v>
      </c>
      <c r="K2" s="269">
        <f>'Monthly Data'!CG2</f>
        <v>0</v>
      </c>
      <c r="L2" s="269">
        <f>'Monthly Data'!CB2</f>
        <v>0</v>
      </c>
      <c r="M2" s="269">
        <f>'Monthly Data'!AX2</f>
        <v>0</v>
      </c>
      <c r="O2" s="18"/>
      <c r="P2" s="18">
        <f ca="1">(E2-G2)*'Large Use Predicted Monthly'!$Z$11</f>
        <v>-41469.71985283152</v>
      </c>
      <c r="Q2" s="18">
        <f ca="1">(F2-H2)*'Large Use Predicted Monthly'!$Z$12</f>
        <v>0</v>
      </c>
      <c r="R2" s="18"/>
      <c r="S2" s="18"/>
      <c r="T2" s="18"/>
      <c r="U2" s="18"/>
      <c r="V2" s="18"/>
      <c r="W2" s="18">
        <f ca="1">SUM(D2,O2:V2)</f>
        <v>3268717.9948758124</v>
      </c>
    </row>
    <row r="3" spans="1:23" x14ac:dyDescent="0.25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Data'!BL3</f>
        <v>585.85434782608695</v>
      </c>
      <c r="H3" s="269">
        <f>'Monthly Data'!BG3</f>
        <v>0</v>
      </c>
      <c r="I3" s="269">
        <f>'Monthly Data'!CC3</f>
        <v>2</v>
      </c>
      <c r="J3" s="269">
        <f>'Monthly Data'!CD3</f>
        <v>28</v>
      </c>
      <c r="K3" s="269">
        <f>'Monthly Data'!CG3</f>
        <v>0</v>
      </c>
      <c r="L3" s="269">
        <f>'Monthly Data'!CB3</f>
        <v>0</v>
      </c>
      <c r="M3" s="269">
        <f>'Monthly Data'!AX3</f>
        <v>0</v>
      </c>
      <c r="O3" s="18"/>
      <c r="P3" s="18">
        <f ca="1">(E3-G3)*'Large Use Predicted Monthly'!$Z$11</f>
        <v>-100813.36357039094</v>
      </c>
      <c r="Q3" s="18">
        <f ca="1">(F3-H3)*'Large Use Predicted Monthly'!$Z$12</f>
        <v>0</v>
      </c>
      <c r="R3" s="18"/>
      <c r="S3" s="18"/>
      <c r="T3" s="18"/>
      <c r="U3" s="18"/>
      <c r="V3" s="18"/>
      <c r="W3" s="18">
        <f t="shared" ref="W3:W14" ca="1" si="3">SUM(D3,O3:V3)</f>
        <v>3079361.9915711745</v>
      </c>
    </row>
    <row r="4" spans="1:23" x14ac:dyDescent="0.25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Data'!BL4</f>
        <v>327.79999999999995</v>
      </c>
      <c r="H4" s="269">
        <f>'Monthly Data'!BG4</f>
        <v>0</v>
      </c>
      <c r="I4" s="269">
        <f>'Monthly Data'!CC4</f>
        <v>3</v>
      </c>
      <c r="J4" s="269">
        <f>'Monthly Data'!CD4</f>
        <v>31</v>
      </c>
      <c r="K4" s="269">
        <f>'Monthly Data'!CG4</f>
        <v>0</v>
      </c>
      <c r="L4" s="269">
        <f>'Monthly Data'!CB4</f>
        <v>1</v>
      </c>
      <c r="M4" s="269">
        <f>'Monthly Data'!AX4</f>
        <v>0</v>
      </c>
      <c r="O4" s="18"/>
      <c r="P4" s="18">
        <f ca="1">(E4-G4)*'Large Use Predicted Monthly'!$Z$11</f>
        <v>-36794.754416850774</v>
      </c>
      <c r="Q4" s="18">
        <f ca="1">(F4-H4)*'Large Use Predicted Monthly'!$Z$12</f>
        <v>0</v>
      </c>
      <c r="R4" s="18"/>
      <c r="S4" s="18"/>
      <c r="T4" s="18"/>
      <c r="U4" s="18"/>
      <c r="V4" s="18"/>
      <c r="W4" s="18">
        <f t="shared" ca="1" si="3"/>
        <v>3485709.2321515502</v>
      </c>
    </row>
    <row r="5" spans="1:23" x14ac:dyDescent="0.25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Data'!BL5</f>
        <v>72.862878787878799</v>
      </c>
      <c r="H5" s="269">
        <f>'Monthly Data'!BG5</f>
        <v>0</v>
      </c>
      <c r="I5" s="269">
        <f>'Monthly Data'!CC5</f>
        <v>4</v>
      </c>
      <c r="J5" s="269">
        <f>'Monthly Data'!CD5</f>
        <v>30</v>
      </c>
      <c r="K5" s="269">
        <f>'Monthly Data'!CG5</f>
        <v>0</v>
      </c>
      <c r="L5" s="269">
        <f>'Monthly Data'!CB5</f>
        <v>1</v>
      </c>
      <c r="M5" s="269">
        <f>'Monthly Data'!AX5</f>
        <v>5139</v>
      </c>
      <c r="O5" s="18"/>
      <c r="P5" s="18">
        <f ca="1">(E5-G5)*'Large Use Predicted Monthly'!$Z$11</f>
        <v>2936.9022184286141</v>
      </c>
      <c r="Q5" s="18">
        <f ca="1">(F5-H5)*'Large Use Predicted Monthly'!$Z$12</f>
        <v>3952.4898480923639</v>
      </c>
      <c r="R5" s="18"/>
      <c r="S5" s="18"/>
      <c r="T5" s="18"/>
      <c r="U5" s="18"/>
      <c r="V5" s="18"/>
      <c r="W5" s="18">
        <f t="shared" ca="1" si="3"/>
        <v>3282645.4168457608</v>
      </c>
    </row>
    <row r="6" spans="1:23" x14ac:dyDescent="0.25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Data'!BL6</f>
        <v>0</v>
      </c>
      <c r="H6" s="269">
        <f>'Monthly Data'!BG6</f>
        <v>62.881547619047637</v>
      </c>
      <c r="I6" s="269">
        <f>'Monthly Data'!CC6</f>
        <v>5</v>
      </c>
      <c r="J6" s="269">
        <f>'Monthly Data'!CD6</f>
        <v>31</v>
      </c>
      <c r="K6" s="269">
        <f>'Monthly Data'!CG6</f>
        <v>0</v>
      </c>
      <c r="L6" s="269">
        <f>'Monthly Data'!CB6</f>
        <v>1</v>
      </c>
      <c r="M6" s="269">
        <f>'Monthly Data'!AX6</f>
        <v>5139</v>
      </c>
      <c r="O6" s="18"/>
      <c r="P6" s="18">
        <f ca="1">(E6-G6)*'Large Use Predicted Monthly'!$Z$11</f>
        <v>2970.0174180756921</v>
      </c>
      <c r="Q6" s="18">
        <f ca="1">(F6-H6)*'Large Use Predicted Monthly'!$Z$12</f>
        <v>-18752.053716268991</v>
      </c>
      <c r="R6" s="18"/>
      <c r="S6" s="18"/>
      <c r="T6" s="18"/>
      <c r="U6" s="18"/>
      <c r="V6" s="18"/>
      <c r="W6" s="18">
        <f t="shared" ca="1" si="3"/>
        <v>3613505.227229801</v>
      </c>
    </row>
    <row r="7" spans="1:23" x14ac:dyDescent="0.2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Data'!BL7</f>
        <v>0</v>
      </c>
      <c r="H7" s="269">
        <f>'Monthly Data'!BG7</f>
        <v>95.599999999999966</v>
      </c>
      <c r="I7" s="269">
        <f>'Monthly Data'!CC7</f>
        <v>6</v>
      </c>
      <c r="J7" s="269">
        <f>'Monthly Data'!CD7</f>
        <v>30</v>
      </c>
      <c r="K7" s="269">
        <f>'Monthly Data'!CG7</f>
        <v>0</v>
      </c>
      <c r="L7" s="269">
        <f>'Monthly Data'!CB7</f>
        <v>0</v>
      </c>
      <c r="M7" s="269">
        <f>'Monthly Data'!AX7</f>
        <v>5139</v>
      </c>
      <c r="O7" s="18"/>
      <c r="P7" s="18">
        <f ca="1">(E7-G7)*'Large Use Predicted Monthly'!$Z$11</f>
        <v>0</v>
      </c>
      <c r="Q7" s="18">
        <f ca="1">(F7-H7)*'Large Use Predicted Monthly'!$Z$12</f>
        <v>75870.697752429318</v>
      </c>
      <c r="R7" s="18"/>
      <c r="S7" s="18"/>
      <c r="T7" s="18"/>
      <c r="U7" s="18"/>
      <c r="V7" s="18"/>
      <c r="W7" s="18">
        <f t="shared" ca="1" si="3"/>
        <v>3591279.4333828529</v>
      </c>
    </row>
    <row r="8" spans="1:23" x14ac:dyDescent="0.2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Data'!BL8</f>
        <v>0</v>
      </c>
      <c r="H8" s="269">
        <f>'Monthly Data'!BG8</f>
        <v>205.53749999999997</v>
      </c>
      <c r="I8" s="269">
        <f>'Monthly Data'!CC8</f>
        <v>7</v>
      </c>
      <c r="J8" s="269">
        <f>'Monthly Data'!CD8</f>
        <v>31</v>
      </c>
      <c r="K8" s="269">
        <f>'Monthly Data'!CG8</f>
        <v>0</v>
      </c>
      <c r="L8" s="269">
        <f>'Monthly Data'!CB8</f>
        <v>0</v>
      </c>
      <c r="M8" s="269">
        <f>'Monthly Data'!AX8</f>
        <v>6615</v>
      </c>
      <c r="O8" s="18"/>
      <c r="P8" s="18">
        <f ca="1">(E8-G8)*'Large Use Predicted Monthly'!$Z$11</f>
        <v>0</v>
      </c>
      <c r="Q8" s="18">
        <f ca="1">(F8-H8)*'Large Use Predicted Monthly'!$Z$12</f>
        <v>54862.565111269505</v>
      </c>
      <c r="R8" s="18"/>
      <c r="S8" s="18"/>
      <c r="T8" s="18"/>
      <c r="U8" s="18"/>
      <c r="V8" s="18"/>
      <c r="W8" s="18">
        <f t="shared" ca="1" si="3"/>
        <v>3958194.284325493</v>
      </c>
    </row>
    <row r="9" spans="1:23" x14ac:dyDescent="0.2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Data'!BL9</f>
        <v>0</v>
      </c>
      <c r="H9" s="269">
        <f>'Monthly Data'!BG9</f>
        <v>167.94166666666666</v>
      </c>
      <c r="I9" s="269">
        <f>'Monthly Data'!CC9</f>
        <v>8</v>
      </c>
      <c r="J9" s="269">
        <f>'Monthly Data'!CD9</f>
        <v>31</v>
      </c>
      <c r="K9" s="269">
        <f>'Monthly Data'!CG9</f>
        <v>0</v>
      </c>
      <c r="L9" s="269">
        <f>'Monthly Data'!CB9</f>
        <v>0</v>
      </c>
      <c r="M9" s="269">
        <f>'Monthly Data'!AX9</f>
        <v>6615</v>
      </c>
      <c r="O9" s="18"/>
      <c r="P9" s="18">
        <f ca="1">(E9-G9)*'Large Use Predicted Monthly'!$Z$11</f>
        <v>0</v>
      </c>
      <c r="Q9" s="18">
        <f ca="1">(F9-H9)*'Large Use Predicted Monthly'!$Z$12</f>
        <v>77619.602317113531</v>
      </c>
      <c r="R9" s="18"/>
      <c r="S9" s="18"/>
      <c r="T9" s="18"/>
      <c r="U9" s="18"/>
      <c r="V9" s="18"/>
      <c r="W9" s="18">
        <f t="shared" ca="1" si="3"/>
        <v>4012103.5175918862</v>
      </c>
    </row>
    <row r="10" spans="1:23" x14ac:dyDescent="0.2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Data'!BL10</f>
        <v>0</v>
      </c>
      <c r="H10" s="269">
        <f>'Monthly Data'!BG10</f>
        <v>134.9267857142857</v>
      </c>
      <c r="I10" s="269">
        <f>'Monthly Data'!CC10</f>
        <v>9</v>
      </c>
      <c r="J10" s="269">
        <f>'Monthly Data'!CD10</f>
        <v>30</v>
      </c>
      <c r="K10" s="269">
        <f>'Monthly Data'!CG10</f>
        <v>0</v>
      </c>
      <c r="L10" s="269">
        <f>'Monthly Data'!CB10</f>
        <v>1</v>
      </c>
      <c r="M10" s="269">
        <f>'Monthly Data'!AX10</f>
        <v>6615</v>
      </c>
      <c r="O10" s="18"/>
      <c r="P10" s="18">
        <f ca="1">(E10-G10)*'Large Use Predicted Monthly'!$Z$11</f>
        <v>0</v>
      </c>
      <c r="Q10" s="18">
        <f ca="1">(F10-H10)*'Large Use Predicted Monthly'!$Z$12</f>
        <v>-51436.383739855635</v>
      </c>
      <c r="R10" s="18"/>
      <c r="S10" s="18"/>
      <c r="T10" s="18"/>
      <c r="U10" s="18"/>
      <c r="V10" s="18"/>
      <c r="W10" s="18">
        <f t="shared" ca="1" si="3"/>
        <v>3782054.2989016282</v>
      </c>
    </row>
    <row r="11" spans="1:23" x14ac:dyDescent="0.2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Data'!BL11</f>
        <v>33.92916666666666</v>
      </c>
      <c r="H11" s="269">
        <f>'Monthly Data'!BG11</f>
        <v>4.3583333333333325</v>
      </c>
      <c r="I11" s="269">
        <f>'Monthly Data'!CC11</f>
        <v>10</v>
      </c>
      <c r="J11" s="269">
        <f>'Monthly Data'!CD11</f>
        <v>31</v>
      </c>
      <c r="K11" s="269">
        <f>'Monthly Data'!CG11</f>
        <v>0</v>
      </c>
      <c r="L11" s="269">
        <f>'Monthly Data'!CB11</f>
        <v>1</v>
      </c>
      <c r="M11" s="269">
        <f>'Monthly Data'!AX11</f>
        <v>7443</v>
      </c>
      <c r="O11" s="18"/>
      <c r="P11" s="18">
        <f ca="1">(E11-G11)*'Large Use Predicted Monthly'!$Z$11</f>
        <v>-3780.7653259808094</v>
      </c>
      <c r="Q11" s="18">
        <f ca="1">(F11-H11)*'Large Use Predicted Monthly'!$Z$12</f>
        <v>24587.674104460453</v>
      </c>
      <c r="R11" s="18"/>
      <c r="S11" s="18"/>
      <c r="T11" s="18"/>
      <c r="U11" s="18"/>
      <c r="V11" s="18"/>
      <c r="W11" s="18">
        <f t="shared" ca="1" si="3"/>
        <v>3450613.2643380505</v>
      </c>
    </row>
    <row r="12" spans="1:23" x14ac:dyDescent="0.2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Data'!BL12</f>
        <v>99.970833333333317</v>
      </c>
      <c r="H12" s="269">
        <f>'Monthly Data'!BG12</f>
        <v>0.27083333333333393</v>
      </c>
      <c r="I12" s="269">
        <f>'Monthly Data'!CC12</f>
        <v>11</v>
      </c>
      <c r="J12" s="269">
        <f>'Monthly Data'!CD12</f>
        <v>30</v>
      </c>
      <c r="K12" s="269">
        <f>'Monthly Data'!CG12</f>
        <v>0</v>
      </c>
      <c r="L12" s="269">
        <f>'Monthly Data'!CB12</f>
        <v>1</v>
      </c>
      <c r="M12" s="269">
        <f>'Monthly Data'!AX12</f>
        <v>7443</v>
      </c>
      <c r="O12" s="18"/>
      <c r="P12" s="18">
        <f ca="1">(E12-G12)*'Large Use Predicted Monthly'!$Z$11</f>
        <v>16517.683608047879</v>
      </c>
      <c r="Q12" s="18">
        <f ca="1">(F12-H12)*'Large Use Predicted Monthly'!$Z$12</f>
        <v>969.70557322920058</v>
      </c>
      <c r="R12" s="18"/>
      <c r="S12" s="18"/>
      <c r="T12" s="18"/>
      <c r="U12" s="18"/>
      <c r="V12" s="18"/>
      <c r="W12" s="18">
        <f t="shared" ca="1" si="3"/>
        <v>3437869.6936357538</v>
      </c>
    </row>
    <row r="13" spans="1:23" x14ac:dyDescent="0.2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Data'!BL13</f>
        <v>134.45072463768119</v>
      </c>
      <c r="H13" s="269">
        <f>'Monthly Data'!BG13</f>
        <v>0</v>
      </c>
      <c r="I13" s="269">
        <f>'Monthly Data'!CC13</f>
        <v>12</v>
      </c>
      <c r="J13" s="269">
        <f>'Monthly Data'!CD13</f>
        <v>31</v>
      </c>
      <c r="K13" s="269">
        <f>'Monthly Data'!CG13</f>
        <v>0</v>
      </c>
      <c r="L13" s="269">
        <f>'Monthly Data'!CB13</f>
        <v>0</v>
      </c>
      <c r="M13" s="269">
        <f>'Monthly Data'!AX13</f>
        <v>7443</v>
      </c>
      <c r="O13" s="18"/>
      <c r="P13" s="18">
        <f ca="1">(E13-G13)*'Large Use Predicted Monthly'!$Z$11</f>
        <v>55454.982677746091</v>
      </c>
      <c r="Q13" s="18">
        <f ca="1">(F13-H13)*'Large Use Predicted Monthly'!$Z$12</f>
        <v>0</v>
      </c>
      <c r="R13" s="18"/>
      <c r="S13" s="18"/>
      <c r="T13" s="18"/>
      <c r="U13" s="18"/>
      <c r="V13" s="18"/>
      <c r="W13" s="18">
        <f t="shared" ca="1" si="3"/>
        <v>3049616.9251569482</v>
      </c>
    </row>
    <row r="14" spans="1:23" x14ac:dyDescent="0.2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t="shared" ref="E14:F33" ca="1" si="4">E2</f>
        <v>387.33418478260865</v>
      </c>
      <c r="F14" s="269">
        <f t="shared" ca="1" si="4"/>
        <v>0</v>
      </c>
      <c r="G14" s="269">
        <f>'Monthly Data'!BL14</f>
        <v>365.87916666666672</v>
      </c>
      <c r="H14" s="269">
        <f>'Monthly Data'!BG14</f>
        <v>0</v>
      </c>
      <c r="I14" s="269">
        <f>'Monthly Data'!CC14</f>
        <v>13</v>
      </c>
      <c r="J14" s="269">
        <f>'Monthly Data'!CD14</f>
        <v>31</v>
      </c>
      <c r="K14" s="269">
        <f>'Monthly Data'!CG14</f>
        <v>0</v>
      </c>
      <c r="L14" s="269">
        <f>'Monthly Data'!CB14</f>
        <v>0</v>
      </c>
      <c r="M14" s="269">
        <f>'Monthly Data'!AX14</f>
        <v>5503</v>
      </c>
      <c r="O14" s="18"/>
      <c r="P14" s="18">
        <f ca="1">(E14-G14)*'Large Use Predicted Monthly'!$Z$11</f>
        <v>8847.9939149027396</v>
      </c>
      <c r="Q14" s="18">
        <f ca="1">(F14-H14)*'Large Use Predicted Monthly'!$Z$12</f>
        <v>0</v>
      </c>
      <c r="R14" s="18"/>
      <c r="S14" s="18"/>
      <c r="T14" s="18"/>
      <c r="U14" s="18"/>
      <c r="V14" s="18"/>
      <c r="W14" s="18">
        <f t="shared" ca="1" si="3"/>
        <v>3224575.404526758</v>
      </c>
    </row>
    <row r="15" spans="1:23" x14ac:dyDescent="0.2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ca="1" si="4"/>
        <v>341.39751811594203</v>
      </c>
      <c r="F15" s="269">
        <f t="shared" ca="1" si="4"/>
        <v>0</v>
      </c>
      <c r="G15" s="269">
        <f>'Monthly Data'!BL15</f>
        <v>313.70833333333326</v>
      </c>
      <c r="H15" s="269">
        <f>'Monthly Data'!BG15</f>
        <v>0</v>
      </c>
      <c r="I15" s="269">
        <f>'Monthly Data'!CC15</f>
        <v>14</v>
      </c>
      <c r="J15" s="269">
        <f>'Monthly Data'!CD15</f>
        <v>29</v>
      </c>
      <c r="K15" s="269">
        <f>'Monthly Data'!CG15</f>
        <v>0</v>
      </c>
      <c r="L15" s="269">
        <f>'Monthly Data'!CB15</f>
        <v>0</v>
      </c>
      <c r="M15" s="269">
        <f>'Monthly Data'!AX15</f>
        <v>5503</v>
      </c>
      <c r="O15" s="18"/>
      <c r="P15" s="18">
        <f ca="1">(E15-G15)*'Large Use Predicted Monthly'!$Z$11</f>
        <v>11418.948105343243</v>
      </c>
      <c r="Q15" s="18">
        <f ca="1">(F15-H15)*'Large Use Predicted Monthly'!$Z$12</f>
        <v>0</v>
      </c>
      <c r="R15" s="18"/>
      <c r="S15" s="18"/>
      <c r="T15" s="18"/>
      <c r="U15" s="18"/>
      <c r="V15" s="18"/>
      <c r="W15" s="18">
        <f t="shared" ref="W15:W47" ca="1" si="5">SUM(D15,O15:V15)</f>
        <v>3441717.0946895839</v>
      </c>
    </row>
    <row r="16" spans="1:23" x14ac:dyDescent="0.2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Data'!BL16</f>
        <v>207.6751811594203</v>
      </c>
      <c r="H16" s="269">
        <f>'Monthly Data'!BG16</f>
        <v>0</v>
      </c>
      <c r="I16" s="269">
        <f>'Monthly Data'!CC16</f>
        <v>15</v>
      </c>
      <c r="J16" s="269">
        <f>'Monthly Data'!CD16</f>
        <v>31</v>
      </c>
      <c r="K16" s="269">
        <f>'Monthly Data'!CG16</f>
        <v>0</v>
      </c>
      <c r="L16" s="269">
        <f>'Monthly Data'!CB16</f>
        <v>1</v>
      </c>
      <c r="M16" s="269">
        <f>'Monthly Data'!AX16</f>
        <v>5503</v>
      </c>
      <c r="O16" s="18"/>
      <c r="P16" s="18">
        <f ca="1">(E16-G16)*'Large Use Predicted Monthly'!$Z$11</f>
        <v>12744.409819067214</v>
      </c>
      <c r="Q16" s="18">
        <f ca="1">(F16-H16)*'Large Use Predicted Monthly'!$Z$12</f>
        <v>0</v>
      </c>
      <c r="R16" s="18"/>
      <c r="S16" s="18"/>
      <c r="T16" s="18"/>
      <c r="U16" s="18"/>
      <c r="V16" s="18"/>
      <c r="W16" s="18">
        <f t="shared" ca="1" si="5"/>
        <v>3635065.1168076685</v>
      </c>
    </row>
    <row r="17" spans="1:24" x14ac:dyDescent="0.2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Data'!BL17</f>
        <v>127.94999999999997</v>
      </c>
      <c r="H17" s="269">
        <f>'Monthly Data'!BG17</f>
        <v>0.83333333333333393</v>
      </c>
      <c r="I17" s="269">
        <f>'Monthly Data'!CC17</f>
        <v>16</v>
      </c>
      <c r="J17" s="269">
        <f>'Monthly Data'!CD17</f>
        <v>30</v>
      </c>
      <c r="K17" s="269">
        <f>'Monthly Data'!CG17</f>
        <v>0</v>
      </c>
      <c r="L17" s="269">
        <f>'Monthly Data'!CB17</f>
        <v>1</v>
      </c>
      <c r="M17" s="269">
        <f>'Monthly Data'!AX17</f>
        <v>-2655</v>
      </c>
      <c r="O17" s="18"/>
      <c r="P17" s="18">
        <f ca="1">(E17-G17)*'Large Use Predicted Monthly'!$Z$11</f>
        <v>-19780.883925606031</v>
      </c>
      <c r="Q17" s="18">
        <f ca="1">(F17-H17)*'Large Use Predicted Monthly'!$Z$12</f>
        <v>2449.0703547137546</v>
      </c>
      <c r="R17" s="18"/>
      <c r="S17" s="18"/>
      <c r="T17" s="18"/>
      <c r="U17" s="18"/>
      <c r="V17" s="18"/>
      <c r="W17" s="18">
        <f t="shared" ca="1" si="5"/>
        <v>3435911.0368516068</v>
      </c>
    </row>
    <row r="18" spans="1:24" x14ac:dyDescent="0.2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Data'!BL18</f>
        <v>4.2083333333333348</v>
      </c>
      <c r="H18" s="269">
        <f>'Monthly Data'!BG18</f>
        <v>66.604166666666671</v>
      </c>
      <c r="I18" s="269">
        <f>'Monthly Data'!CC18</f>
        <v>17</v>
      </c>
      <c r="J18" s="269">
        <f>'Monthly Data'!CD18</f>
        <v>31</v>
      </c>
      <c r="K18" s="269">
        <f>'Monthly Data'!CG18</f>
        <v>0</v>
      </c>
      <c r="L18" s="269">
        <f>'Monthly Data'!CB18</f>
        <v>1</v>
      </c>
      <c r="M18" s="269">
        <f>'Monthly Data'!AX18</f>
        <v>-2655</v>
      </c>
      <c r="O18" s="18"/>
      <c r="P18" s="18">
        <f ca="1">(E18-G18)*'Large Use Predicted Monthly'!$Z$11</f>
        <v>1234.511648563039</v>
      </c>
      <c r="Q18" s="18">
        <f ca="1">(F18-H18)*'Large Use Predicted Monthly'!$Z$12</f>
        <v>-25468.043367404549</v>
      </c>
      <c r="R18" s="18"/>
      <c r="S18" s="18"/>
      <c r="T18" s="18"/>
      <c r="U18" s="18"/>
      <c r="V18" s="18"/>
      <c r="W18" s="18">
        <f t="shared" ca="1" si="5"/>
        <v>3373384.492765279</v>
      </c>
    </row>
    <row r="19" spans="1:24" x14ac:dyDescent="0.2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Data'!BL19</f>
        <v>0</v>
      </c>
      <c r="H19" s="269">
        <f>'Monthly Data'!BG19</f>
        <v>147.17916666666667</v>
      </c>
      <c r="I19" s="269">
        <f>'Monthly Data'!CC19</f>
        <v>18</v>
      </c>
      <c r="J19" s="269">
        <f>'Monthly Data'!CD19</f>
        <v>30</v>
      </c>
      <c r="K19" s="269">
        <f>'Monthly Data'!CG19</f>
        <v>0</v>
      </c>
      <c r="L19" s="269">
        <f>'Monthly Data'!CB19</f>
        <v>0</v>
      </c>
      <c r="M19" s="269">
        <f>'Monthly Data'!AX19</f>
        <v>-2655</v>
      </c>
      <c r="O19" s="18"/>
      <c r="P19" s="18">
        <f ca="1">(E19-G19)*'Large Use Predicted Monthly'!$Z$11</f>
        <v>0</v>
      </c>
      <c r="Q19" s="18">
        <f ca="1">(F19-H19)*'Large Use Predicted Monthly'!$Z$12</f>
        <v>-17183.451790239717</v>
      </c>
      <c r="R19" s="18"/>
      <c r="S19" s="18"/>
      <c r="T19" s="18"/>
      <c r="U19" s="18"/>
      <c r="V19" s="18"/>
      <c r="W19" s="18">
        <f t="shared" ca="1" si="5"/>
        <v>3355417.3344457154</v>
      </c>
      <c r="X19" s="279"/>
    </row>
    <row r="20" spans="1:24" x14ac:dyDescent="0.2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Data'!BL20</f>
        <v>0</v>
      </c>
      <c r="H20" s="269">
        <f>'Monthly Data'!BG20</f>
        <v>251.2291666666666</v>
      </c>
      <c r="I20" s="269">
        <f>'Monthly Data'!CC20</f>
        <v>19</v>
      </c>
      <c r="J20" s="269">
        <f>'Monthly Data'!CD20</f>
        <v>31</v>
      </c>
      <c r="K20" s="269">
        <f>'Monthly Data'!CG20</f>
        <v>0</v>
      </c>
      <c r="L20" s="269">
        <f>'Monthly Data'!CB20</f>
        <v>0</v>
      </c>
      <c r="M20" s="269">
        <f>'Monthly Data'!AX20</f>
        <v>5974</v>
      </c>
      <c r="O20" s="18"/>
      <c r="P20" s="18">
        <f ca="1">(E20-G20)*'Large Use Predicted Monthly'!$Z$11</f>
        <v>0</v>
      </c>
      <c r="Q20" s="18">
        <f ca="1">(F20-H20)*'Large Use Predicted Monthly'!$Z$12</f>
        <v>-27569.925710679534</v>
      </c>
      <c r="R20" s="18"/>
      <c r="S20" s="18"/>
      <c r="T20" s="18"/>
      <c r="U20" s="18"/>
      <c r="V20" s="18"/>
      <c r="W20" s="18">
        <f t="shared" ca="1" si="5"/>
        <v>3693741.0175656672</v>
      </c>
    </row>
    <row r="21" spans="1:24" x14ac:dyDescent="0.2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Data'!BL21</f>
        <v>0</v>
      </c>
      <c r="H21" s="269">
        <f>'Monthly Data'!BG21</f>
        <v>266.02500000000003</v>
      </c>
      <c r="I21" s="269">
        <f>'Monthly Data'!CC21</f>
        <v>20</v>
      </c>
      <c r="J21" s="269">
        <f>'Monthly Data'!CD21</f>
        <v>31</v>
      </c>
      <c r="K21" s="269">
        <f>'Monthly Data'!CG21</f>
        <v>0</v>
      </c>
      <c r="L21" s="269">
        <f>'Monthly Data'!CB21</f>
        <v>0</v>
      </c>
      <c r="M21" s="269">
        <f>'Monthly Data'!AX21</f>
        <v>5974</v>
      </c>
      <c r="O21" s="18"/>
      <c r="P21" s="18">
        <f ca="1">(E21-G21)*'Large Use Predicted Monthly'!$Z$11</f>
        <v>0</v>
      </c>
      <c r="Q21" s="18">
        <f ca="1">(F21-H21)*'Large Use Predicted Monthly'!$Z$12</f>
        <v>-99332.872053548737</v>
      </c>
      <c r="R21" s="18"/>
      <c r="S21" s="18"/>
      <c r="T21" s="18"/>
      <c r="U21" s="18"/>
      <c r="V21" s="18"/>
      <c r="W21" s="18">
        <f t="shared" ca="1" si="5"/>
        <v>3557037.3279633573</v>
      </c>
    </row>
    <row r="22" spans="1:24" x14ac:dyDescent="0.2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Data'!BL22</f>
        <v>0</v>
      </c>
      <c r="H22" s="269">
        <f>'Monthly Data'!BG22</f>
        <v>120.65416666666664</v>
      </c>
      <c r="I22" s="269">
        <f>'Monthly Data'!CC22</f>
        <v>21</v>
      </c>
      <c r="J22" s="269">
        <f>'Monthly Data'!CD22</f>
        <v>30</v>
      </c>
      <c r="K22" s="269">
        <f>'Monthly Data'!CG22</f>
        <v>0</v>
      </c>
      <c r="L22" s="269">
        <f>'Monthly Data'!CB22</f>
        <v>1</v>
      </c>
      <c r="M22" s="269">
        <f>'Monthly Data'!AX22</f>
        <v>5974</v>
      </c>
      <c r="O22" s="18"/>
      <c r="P22" s="18">
        <f ca="1">(E22-G22)*'Large Use Predicted Monthly'!$Z$11</f>
        <v>0</v>
      </c>
      <c r="Q22" s="18">
        <f ca="1">(F22-H22)*'Large Use Predicted Monthly'!$Z$12</f>
        <v>-25687.10330254685</v>
      </c>
      <c r="R22" s="18"/>
      <c r="S22" s="18"/>
      <c r="T22" s="18"/>
      <c r="U22" s="18"/>
      <c r="V22" s="18"/>
      <c r="W22" s="18">
        <f t="shared" ca="1" si="5"/>
        <v>3749626.5956077501</v>
      </c>
    </row>
    <row r="23" spans="1:24" x14ac:dyDescent="0.2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Data'!BL23</f>
        <v>33.25</v>
      </c>
      <c r="H23" s="269">
        <f>'Monthly Data'!BG23</f>
        <v>24.770833333333336</v>
      </c>
      <c r="I23" s="269">
        <f>'Monthly Data'!CC23</f>
        <v>22</v>
      </c>
      <c r="J23" s="269">
        <f>'Monthly Data'!CD23</f>
        <v>31</v>
      </c>
      <c r="K23" s="269">
        <f>'Monthly Data'!CG23</f>
        <v>0</v>
      </c>
      <c r="L23" s="269">
        <f>'Monthly Data'!CB23</f>
        <v>1</v>
      </c>
      <c r="M23" s="269">
        <f>'Monthly Data'!AX23</f>
        <v>-1226</v>
      </c>
      <c r="O23" s="18"/>
      <c r="P23" s="18">
        <f ca="1">(E23-G23)*'Large Use Predicted Monthly'!$Z$11</f>
        <v>-3500.6787512970873</v>
      </c>
      <c r="Q23" s="18">
        <f ca="1">(F23-H23)*'Large Use Predicted Monthly'!$Z$12</f>
        <v>-12238.586385848563</v>
      </c>
      <c r="R23" s="18"/>
      <c r="S23" s="18"/>
      <c r="T23" s="18"/>
      <c r="U23" s="18"/>
      <c r="V23" s="18"/>
      <c r="W23" s="18">
        <f t="shared" ca="1" si="5"/>
        <v>3469111.9823629051</v>
      </c>
    </row>
    <row r="24" spans="1:24" x14ac:dyDescent="0.2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Data'!BL24</f>
        <v>89.230952380952388</v>
      </c>
      <c r="H24" s="269">
        <f>'Monthly Data'!BG24</f>
        <v>0</v>
      </c>
      <c r="I24" s="269">
        <f>'Monthly Data'!CC24</f>
        <v>23</v>
      </c>
      <c r="J24" s="269">
        <f>'Monthly Data'!CD24</f>
        <v>30</v>
      </c>
      <c r="K24" s="269">
        <f>'Monthly Data'!CG24</f>
        <v>0</v>
      </c>
      <c r="L24" s="269">
        <f>'Monthly Data'!CB24</f>
        <v>1</v>
      </c>
      <c r="M24" s="269">
        <f>'Monthly Data'!AX24</f>
        <v>-1226</v>
      </c>
      <c r="O24" s="18"/>
      <c r="P24" s="18">
        <f ca="1">(E24-G24)*'Large Use Predicted Monthly'!$Z$11</f>
        <v>20946.782702717854</v>
      </c>
      <c r="Q24" s="18">
        <f ca="1">(F24-H24)*'Large Use Predicted Monthly'!$Z$12</f>
        <v>1458.3169085772493</v>
      </c>
      <c r="R24" s="18"/>
      <c r="S24" s="18"/>
      <c r="T24" s="18"/>
      <c r="U24" s="18"/>
      <c r="V24" s="18"/>
      <c r="W24" s="18">
        <f t="shared" ca="1" si="5"/>
        <v>3287045.3211087217</v>
      </c>
    </row>
    <row r="25" spans="1:24" x14ac:dyDescent="0.2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Data'!BL25</f>
        <v>306.67083333333341</v>
      </c>
      <c r="H25" s="269">
        <f>'Monthly Data'!BG25</f>
        <v>0</v>
      </c>
      <c r="I25" s="269">
        <f>'Monthly Data'!CC25</f>
        <v>24</v>
      </c>
      <c r="J25" s="269">
        <f>'Monthly Data'!CD25</f>
        <v>31</v>
      </c>
      <c r="K25" s="269">
        <f>'Monthly Data'!CG25</f>
        <v>0</v>
      </c>
      <c r="L25" s="269">
        <f>'Monthly Data'!CB25</f>
        <v>0</v>
      </c>
      <c r="M25" s="269">
        <f>'Monthly Data'!AX25</f>
        <v>-1226</v>
      </c>
      <c r="O25" s="18"/>
      <c r="P25" s="18">
        <f ca="1">(E25-G25)*'Large Use Predicted Monthly'!$Z$11</f>
        <v>-15568.144197675831</v>
      </c>
      <c r="Q25" s="18">
        <f ca="1">(F25-H25)*'Large Use Predicted Monthly'!$Z$12</f>
        <v>0</v>
      </c>
      <c r="R25" s="18"/>
      <c r="S25" s="18"/>
      <c r="T25" s="18"/>
      <c r="U25" s="18"/>
      <c r="V25" s="18"/>
      <c r="W25" s="18">
        <f t="shared" ca="1" si="5"/>
        <v>3028383.6192740244</v>
      </c>
    </row>
    <row r="26" spans="1:24" x14ac:dyDescent="0.2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Data'!BL26</f>
        <v>310.2166666666667</v>
      </c>
      <c r="H26" s="269">
        <f>'Monthly Data'!BG26</f>
        <v>0</v>
      </c>
      <c r="I26" s="269">
        <f>'Monthly Data'!CC26</f>
        <v>25</v>
      </c>
      <c r="J26" s="269">
        <f>'Monthly Data'!CD26</f>
        <v>31</v>
      </c>
      <c r="K26" s="269">
        <f>'Monthly Data'!CG26</f>
        <v>0</v>
      </c>
      <c r="L26" s="269">
        <f>'Monthly Data'!CB26</f>
        <v>0</v>
      </c>
      <c r="M26" s="269">
        <f>'Monthly Data'!AX26</f>
        <v>11322</v>
      </c>
      <c r="O26" s="18"/>
      <c r="P26" s="18">
        <f ca="1">(E26-G26)*'Large Use Predicted Monthly'!$Z$11</f>
        <v>31803.064781159705</v>
      </c>
      <c r="Q26" s="18">
        <f ca="1">(F26-H26)*'Large Use Predicted Monthly'!$Z$12</f>
        <v>0</v>
      </c>
      <c r="R26" s="18"/>
      <c r="S26" s="18"/>
      <c r="T26" s="18"/>
      <c r="U26" s="18"/>
      <c r="V26" s="18"/>
      <c r="W26" s="18">
        <f t="shared" ca="1" si="5"/>
        <v>3173434.1110956692</v>
      </c>
    </row>
    <row r="27" spans="1:24" x14ac:dyDescent="0.2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Data'!BL27</f>
        <v>251.42499999999998</v>
      </c>
      <c r="H27" s="269">
        <f>'Monthly Data'!BG27</f>
        <v>0</v>
      </c>
      <c r="I27" s="269">
        <f>'Monthly Data'!CC27</f>
        <v>26</v>
      </c>
      <c r="J27" s="269">
        <f>'Monthly Data'!CD27</f>
        <v>28</v>
      </c>
      <c r="K27" s="269">
        <f>'Monthly Data'!CG27</f>
        <v>0</v>
      </c>
      <c r="L27" s="269">
        <f>'Monthly Data'!CB27</f>
        <v>0</v>
      </c>
      <c r="M27" s="269">
        <f>'Monthly Data'!AX27</f>
        <v>11322</v>
      </c>
      <c r="O27" s="18"/>
      <c r="P27" s="18">
        <f ca="1">(E27-G27)*'Large Use Predicted Monthly'!$Z$11</f>
        <v>37104.433494130477</v>
      </c>
      <c r="Q27" s="18">
        <f ca="1">(F27-H27)*'Large Use Predicted Monthly'!$Z$12</f>
        <v>0</v>
      </c>
      <c r="R27" s="18"/>
      <c r="S27" s="18"/>
      <c r="T27" s="18"/>
      <c r="U27" s="18"/>
      <c r="V27" s="18"/>
      <c r="W27" s="18">
        <f t="shared" ca="1" si="5"/>
        <v>2717322.0947692734</v>
      </c>
    </row>
    <row r="28" spans="1:24" x14ac:dyDescent="0.2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Data'!BL28</f>
        <v>290.67916666666662</v>
      </c>
      <c r="H28" s="269">
        <f>'Monthly Data'!BG28</f>
        <v>0</v>
      </c>
      <c r="I28" s="269">
        <f>'Monthly Data'!CC28</f>
        <v>27</v>
      </c>
      <c r="J28" s="269">
        <f>'Monthly Data'!CD28</f>
        <v>31</v>
      </c>
      <c r="K28" s="269">
        <f>'Monthly Data'!CG28</f>
        <v>0</v>
      </c>
      <c r="L28" s="269">
        <f>'Monthly Data'!CB28</f>
        <v>1</v>
      </c>
      <c r="M28" s="269">
        <f>'Monthly Data'!AX28</f>
        <v>11322</v>
      </c>
      <c r="O28" s="18"/>
      <c r="P28" s="18">
        <f ca="1">(E28-G28)*'Large Use Predicted Monthly'!$Z$11</f>
        <v>-21486.218871713914</v>
      </c>
      <c r="Q28" s="18">
        <f ca="1">(F28-H28)*'Large Use Predicted Monthly'!$Z$12</f>
        <v>0</v>
      </c>
      <c r="R28" s="18"/>
      <c r="S28" s="18"/>
      <c r="T28" s="18"/>
      <c r="U28" s="18"/>
      <c r="V28" s="18"/>
      <c r="W28" s="18">
        <f t="shared" ca="1" si="5"/>
        <v>3154631.5114989849</v>
      </c>
    </row>
    <row r="29" spans="1:24" x14ac:dyDescent="0.2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Data'!BL29</f>
        <v>34.695833333333326</v>
      </c>
      <c r="H29" s="269">
        <f>'Monthly Data'!BG29</f>
        <v>5.6500000000000057</v>
      </c>
      <c r="I29" s="269">
        <f>'Monthly Data'!CC29</f>
        <v>28</v>
      </c>
      <c r="J29" s="269">
        <f>'Monthly Data'!CD29</f>
        <v>30</v>
      </c>
      <c r="K29" s="269">
        <f>'Monthly Data'!CG29</f>
        <v>0</v>
      </c>
      <c r="L29" s="269">
        <f>'Monthly Data'!CB29</f>
        <v>1</v>
      </c>
      <c r="M29" s="269">
        <f>'Monthly Data'!AX29</f>
        <v>7942</v>
      </c>
      <c r="O29" s="18"/>
      <c r="P29" s="18">
        <f ca="1">(E29-G29)*'Large Use Predicted Monthly'!$Z$11</f>
        <v>18676.8929332679</v>
      </c>
      <c r="Q29" s="18">
        <f ca="1">(F29-H29)*'Large Use Predicted Monthly'!$Z$12</f>
        <v>-6240.6943170146105</v>
      </c>
      <c r="R29" s="18"/>
      <c r="S29" s="18"/>
      <c r="T29" s="18"/>
      <c r="U29" s="18"/>
      <c r="V29" s="18"/>
      <c r="W29" s="18">
        <f t="shared" ca="1" si="5"/>
        <v>2873455.3757440243</v>
      </c>
    </row>
    <row r="30" spans="1:24" x14ac:dyDescent="0.2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Data'!BL30</f>
        <v>10.045833333333327</v>
      </c>
      <c r="H30" s="269">
        <f>'Monthly Data'!BG30</f>
        <v>28.370833333333344</v>
      </c>
      <c r="I30" s="269">
        <f>'Monthly Data'!CC30</f>
        <v>29</v>
      </c>
      <c r="J30" s="269">
        <f>'Monthly Data'!CD30</f>
        <v>31</v>
      </c>
      <c r="K30" s="269">
        <f>'Monthly Data'!CG30</f>
        <v>0</v>
      </c>
      <c r="L30" s="269">
        <f>'Monthly Data'!CB30</f>
        <v>1</v>
      </c>
      <c r="M30" s="269">
        <f>'Monthly Data'!AX30</f>
        <v>7942</v>
      </c>
      <c r="O30" s="18"/>
      <c r="P30" s="18">
        <f ca="1">(E30-G30)*'Large Use Predicted Monthly'!$Z$11</f>
        <v>-1172.8582356817365</v>
      </c>
      <c r="Q30" s="18">
        <f ca="1">(F30-H30)*'Large Use Predicted Monthly'!$Z$12</f>
        <v>43508.842988805991</v>
      </c>
      <c r="R30" s="18"/>
      <c r="S30" s="18"/>
      <c r="T30" s="18"/>
      <c r="U30" s="18"/>
      <c r="V30" s="18"/>
      <c r="W30" s="18">
        <f t="shared" ca="1" si="5"/>
        <v>3156628.1699514482</v>
      </c>
    </row>
    <row r="31" spans="1:24" x14ac:dyDescent="0.2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ca="1" si="4"/>
        <v>0</v>
      </c>
      <c r="F31" s="269">
        <f t="shared" ca="1" si="4"/>
        <v>137.65451754405018</v>
      </c>
      <c r="G31" s="269">
        <f>'Monthly Data'!BL31</f>
        <v>0</v>
      </c>
      <c r="H31" s="269">
        <f>'Monthly Data'!BG31</f>
        <v>112.71333333333334</v>
      </c>
      <c r="I31" s="269">
        <f>'Monthly Data'!CC31</f>
        <v>30</v>
      </c>
      <c r="J31" s="269">
        <f>'Monthly Data'!CD31</f>
        <v>30</v>
      </c>
      <c r="K31" s="269">
        <f>'Monthly Data'!CG31</f>
        <v>0</v>
      </c>
      <c r="L31" s="269">
        <f>'Monthly Data'!CB31</f>
        <v>0</v>
      </c>
      <c r="M31" s="269">
        <f>'Monthly Data'!AX31</f>
        <v>7942</v>
      </c>
      <c r="O31" s="18"/>
      <c r="P31" s="18">
        <f ca="1">(E31-G31)*'Large Use Predicted Monthly'!$Z$11</f>
        <v>0</v>
      </c>
      <c r="Q31" s="18">
        <f ca="1">(F31-H31)*'Large Use Predicted Monthly'!$Z$12</f>
        <v>44996.475036406147</v>
      </c>
      <c r="R31" s="18"/>
      <c r="S31" s="18"/>
      <c r="T31" s="18"/>
      <c r="U31" s="18"/>
      <c r="V31" s="18"/>
      <c r="W31" s="18">
        <f t="shared" ca="1" si="5"/>
        <v>3220504.169924594</v>
      </c>
    </row>
    <row r="32" spans="1:24" x14ac:dyDescent="0.2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4"/>
        <v>0</v>
      </c>
      <c r="F32" s="269">
        <f t="shared" ca="1" si="4"/>
        <v>235.94737858727848</v>
      </c>
      <c r="G32" s="269">
        <f>'Monthly Data'!BL32</f>
        <v>0</v>
      </c>
      <c r="H32" s="269">
        <f>'Monthly Data'!BG32</f>
        <v>198.16666666666666</v>
      </c>
      <c r="I32" s="269">
        <f>'Monthly Data'!CC32</f>
        <v>31</v>
      </c>
      <c r="J32" s="269">
        <f>'Monthly Data'!CD32</f>
        <v>31</v>
      </c>
      <c r="K32" s="269">
        <f>'Monthly Data'!CG32</f>
        <v>0</v>
      </c>
      <c r="L32" s="269">
        <f>'Monthly Data'!CB32</f>
        <v>0</v>
      </c>
      <c r="M32" s="269">
        <f>'Monthly Data'!AX32</f>
        <v>416</v>
      </c>
      <c r="O32" s="18"/>
      <c r="P32" s="18">
        <f ca="1">(E32-G32)*'Large Use Predicted Monthly'!$Z$11</f>
        <v>0</v>
      </c>
      <c r="Q32" s="18">
        <f ca="1">(F32-H32)*'Large Use Predicted Monthly'!$Z$12</f>
        <v>68160.310530203249</v>
      </c>
      <c r="R32" s="18"/>
      <c r="S32" s="18"/>
      <c r="T32" s="18"/>
      <c r="U32" s="18"/>
      <c r="V32" s="18"/>
      <c r="W32" s="18">
        <f t="shared" ca="1" si="5"/>
        <v>3411061.5777054289</v>
      </c>
    </row>
    <row r="33" spans="1:23" x14ac:dyDescent="0.2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4"/>
        <v>0</v>
      </c>
      <c r="F33" s="269">
        <f t="shared" ca="1" si="4"/>
        <v>210.96558794466404</v>
      </c>
      <c r="G33" s="269">
        <f>'Monthly Data'!BL33</f>
        <v>0</v>
      </c>
      <c r="H33" s="269">
        <f>'Monthly Data'!BG33</f>
        <v>155.42409420289857</v>
      </c>
      <c r="I33" s="269">
        <f>'Monthly Data'!CC33</f>
        <v>32</v>
      </c>
      <c r="J33" s="269">
        <f>'Monthly Data'!CD33</f>
        <v>31</v>
      </c>
      <c r="K33" s="269">
        <f>'Monthly Data'!CG33</f>
        <v>0</v>
      </c>
      <c r="L33" s="269">
        <f>'Monthly Data'!CB33</f>
        <v>0</v>
      </c>
      <c r="M33" s="269">
        <f>'Monthly Data'!AX33</f>
        <v>416</v>
      </c>
      <c r="O33" s="18"/>
      <c r="P33" s="18">
        <f ca="1">(E33-G33)*'Large Use Predicted Monthly'!$Z$11</f>
        <v>0</v>
      </c>
      <c r="Q33" s="18">
        <f ca="1">(F33-H33)*'Large Use Predicted Monthly'!$Z$12</f>
        <v>100202.59725928342</v>
      </c>
      <c r="R33" s="18"/>
      <c r="S33" s="18"/>
      <c r="T33" s="18"/>
      <c r="U33" s="18"/>
      <c r="V33" s="18"/>
      <c r="W33" s="18">
        <f t="shared" ca="1" si="5"/>
        <v>3539232.4662148985</v>
      </c>
    </row>
    <row r="34" spans="1:23" x14ac:dyDescent="0.2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ref="E34:F53" ca="1" si="6">E22</f>
        <v>0</v>
      </c>
      <c r="F34" s="269">
        <f t="shared" ca="1" si="6"/>
        <v>106.4160119047619</v>
      </c>
      <c r="G34" s="269">
        <f>'Monthly Data'!BL34</f>
        <v>0</v>
      </c>
      <c r="H34" s="269">
        <f>'Monthly Data'!BG34</f>
        <v>112.67916666666666</v>
      </c>
      <c r="I34" s="269">
        <f>'Monthly Data'!CC34</f>
        <v>33</v>
      </c>
      <c r="J34" s="269">
        <f>'Monthly Data'!CD34</f>
        <v>30</v>
      </c>
      <c r="K34" s="269">
        <f>'Monthly Data'!CG34</f>
        <v>0</v>
      </c>
      <c r="L34" s="269">
        <f>'Monthly Data'!CB34</f>
        <v>1</v>
      </c>
      <c r="M34" s="269">
        <f>'Monthly Data'!AX34</f>
        <v>416</v>
      </c>
      <c r="O34" s="18"/>
      <c r="P34" s="18">
        <f ca="1">(E34-G34)*'Large Use Predicted Monthly'!$Z$11</f>
        <v>0</v>
      </c>
      <c r="Q34" s="18">
        <f ca="1">(F34-H34)*'Large Use Predicted Monthly'!$Z$12</f>
        <v>-11299.378750913604</v>
      </c>
      <c r="R34" s="18"/>
      <c r="S34" s="18"/>
      <c r="T34" s="18"/>
      <c r="U34" s="18"/>
      <c r="V34" s="18"/>
      <c r="W34" s="18">
        <f t="shared" ca="1" si="5"/>
        <v>3366065.8212735811</v>
      </c>
    </row>
    <row r="35" spans="1:23" x14ac:dyDescent="0.2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6"/>
        <v>24.76139492753623</v>
      </c>
      <c r="F35" s="269">
        <f t="shared" ca="1" si="6"/>
        <v>17.987083333333334</v>
      </c>
      <c r="G35" s="269">
        <f>'Monthly Data'!BL35</f>
        <v>11.620833333333334</v>
      </c>
      <c r="H35" s="269">
        <f>'Monthly Data'!BG35</f>
        <v>29.654166666666669</v>
      </c>
      <c r="I35" s="269">
        <f>'Monthly Data'!CC35</f>
        <v>34</v>
      </c>
      <c r="J35" s="269">
        <f>'Monthly Data'!CD35</f>
        <v>31</v>
      </c>
      <c r="K35" s="269">
        <f>'Monthly Data'!CG35</f>
        <v>0</v>
      </c>
      <c r="L35" s="269">
        <f>'Monthly Data'!CB35</f>
        <v>1</v>
      </c>
      <c r="M35" s="269">
        <f>'Monthly Data'!AX35</f>
        <v>6393</v>
      </c>
      <c r="O35" s="18"/>
      <c r="P35" s="18">
        <f ca="1">(E35-G35)*'Large Use Predicted Monthly'!$Z$11</f>
        <v>5419.1335749803184</v>
      </c>
      <c r="Q35" s="18">
        <f ca="1">(F35-H35)*'Large Use Predicted Monthly'!$Z$12</f>
        <v>-21048.624617047208</v>
      </c>
      <c r="R35" s="18"/>
      <c r="S35" s="18"/>
      <c r="T35" s="18"/>
      <c r="U35" s="18"/>
      <c r="V35" s="18"/>
      <c r="W35" s="18">
        <f t="shared" ca="1" si="5"/>
        <v>3362629.5786939664</v>
      </c>
    </row>
    <row r="36" spans="1:23" x14ac:dyDescent="0.2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6"/>
        <v>140.02366389045739</v>
      </c>
      <c r="F36" s="269">
        <f t="shared" ca="1" si="6"/>
        <v>0.8083333333333329</v>
      </c>
      <c r="G36" s="269">
        <f>'Monthly Data'!BL36</f>
        <v>148.02424242424243</v>
      </c>
      <c r="H36" s="269">
        <f>'Monthly Data'!BG36</f>
        <v>0</v>
      </c>
      <c r="I36" s="269">
        <f>'Monthly Data'!CC36</f>
        <v>35</v>
      </c>
      <c r="J36" s="269">
        <f>'Monthly Data'!CD36</f>
        <v>30</v>
      </c>
      <c r="K36" s="269">
        <f>'Monthly Data'!CG36</f>
        <v>0</v>
      </c>
      <c r="L36" s="269">
        <f>'Monthly Data'!CB36</f>
        <v>1</v>
      </c>
      <c r="M36" s="269">
        <f>'Monthly Data'!AX36</f>
        <v>6393</v>
      </c>
      <c r="O36" s="18"/>
      <c r="P36" s="18">
        <f ca="1">(E36-G36)*'Large Use Predicted Monthly'!$Z$11</f>
        <v>-3299.4178704529963</v>
      </c>
      <c r="Q36" s="18">
        <f ca="1">(F36-H36)*'Large Use Predicted Monthly'!$Z$12</f>
        <v>1458.3169085772493</v>
      </c>
      <c r="R36" s="18"/>
      <c r="S36" s="18"/>
      <c r="T36" s="18"/>
      <c r="U36" s="18"/>
      <c r="V36" s="18"/>
      <c r="W36" s="18">
        <f t="shared" ca="1" si="5"/>
        <v>2931988.8147244034</v>
      </c>
    </row>
    <row r="37" spans="1:23" x14ac:dyDescent="0.2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6"/>
        <v>268.92048913043476</v>
      </c>
      <c r="F37" s="269">
        <f t="shared" ca="1" si="6"/>
        <v>0</v>
      </c>
      <c r="G37" s="269">
        <f>'Monthly Data'!BL37</f>
        <v>426.3125</v>
      </c>
      <c r="H37" s="269">
        <f>'Monthly Data'!BG37</f>
        <v>0</v>
      </c>
      <c r="I37" s="269">
        <f>'Monthly Data'!CC37</f>
        <v>36</v>
      </c>
      <c r="J37" s="269">
        <f>'Monthly Data'!CD37</f>
        <v>31</v>
      </c>
      <c r="K37" s="269">
        <f>'Monthly Data'!CG37</f>
        <v>0</v>
      </c>
      <c r="L37" s="269">
        <f>'Monthly Data'!CB37</f>
        <v>0</v>
      </c>
      <c r="M37" s="269">
        <f>'Monthly Data'!AX37</f>
        <v>6393</v>
      </c>
      <c r="O37" s="18"/>
      <c r="P37" s="18">
        <f ca="1">(E37-G37)*'Large Use Predicted Monthly'!$Z$11</f>
        <v>-64908.057728157291</v>
      </c>
      <c r="Q37" s="18">
        <f ca="1">(F37-H37)*'Large Use Predicted Monthly'!$Z$12</f>
        <v>0</v>
      </c>
      <c r="R37" s="18"/>
      <c r="S37" s="18"/>
      <c r="T37" s="18"/>
      <c r="U37" s="18"/>
      <c r="V37" s="18"/>
      <c r="W37" s="18">
        <f t="shared" ca="1" si="5"/>
        <v>2990607.8005195637</v>
      </c>
    </row>
    <row r="38" spans="1:23" x14ac:dyDescent="0.2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6"/>
        <v>387.33418478260865</v>
      </c>
      <c r="F38" s="269">
        <f t="shared" ca="1" si="6"/>
        <v>0</v>
      </c>
      <c r="G38" s="269">
        <f>'Monthly Data'!BL38</f>
        <v>440.53750000000002</v>
      </c>
      <c r="H38" s="269">
        <f>'Monthly Data'!BG38</f>
        <v>0</v>
      </c>
      <c r="I38" s="269">
        <f>'Monthly Data'!CC38</f>
        <v>37</v>
      </c>
      <c r="J38" s="269">
        <f>'Monthly Data'!CD38</f>
        <v>31</v>
      </c>
      <c r="K38" s="269">
        <f>'Monthly Data'!CG38</f>
        <v>0</v>
      </c>
      <c r="L38" s="269">
        <f>'Monthly Data'!CB38</f>
        <v>0</v>
      </c>
      <c r="M38" s="269">
        <f>'Monthly Data'!AX38</f>
        <v>8006</v>
      </c>
      <c r="O38" s="18"/>
      <c r="P38" s="18">
        <f ca="1">(E38-G38)*'Large Use Predicted Monthly'!$Z$11</f>
        <v>-21940.909429778148</v>
      </c>
      <c r="Q38" s="18">
        <f ca="1">(F38-H38)*'Large Use Predicted Monthly'!$Z$12</f>
        <v>0</v>
      </c>
      <c r="R38" s="18"/>
      <c r="S38" s="18"/>
      <c r="T38" s="18"/>
      <c r="U38" s="18"/>
      <c r="V38" s="18"/>
      <c r="W38" s="18">
        <f t="shared" ca="1" si="5"/>
        <v>3598219.7026062566</v>
      </c>
    </row>
    <row r="39" spans="1:23" x14ac:dyDescent="0.2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6"/>
        <v>341.39751811594203</v>
      </c>
      <c r="F39" s="269">
        <f t="shared" ca="1" si="6"/>
        <v>0</v>
      </c>
      <c r="G39" s="269">
        <f>'Monthly Data'!BL39</f>
        <v>296.49583333333334</v>
      </c>
      <c r="H39" s="269">
        <f>'Monthly Data'!BG39</f>
        <v>0</v>
      </c>
      <c r="I39" s="269">
        <f>'Monthly Data'!CC39</f>
        <v>38</v>
      </c>
      <c r="J39" s="269">
        <f>'Monthly Data'!CD39</f>
        <v>28</v>
      </c>
      <c r="K39" s="269">
        <f>'Monthly Data'!CG39</f>
        <v>0</v>
      </c>
      <c r="L39" s="269">
        <f>'Monthly Data'!CB39</f>
        <v>0</v>
      </c>
      <c r="M39" s="269">
        <f>'Monthly Data'!AX39</f>
        <v>8006</v>
      </c>
      <c r="O39" s="18"/>
      <c r="P39" s="18">
        <f ca="1">(E39-G39)*'Large Use Predicted Monthly'!$Z$11</f>
        <v>18517.338534904367</v>
      </c>
      <c r="Q39" s="18">
        <f ca="1">(F39-H39)*'Large Use Predicted Monthly'!$Z$12</f>
        <v>0</v>
      </c>
      <c r="R39" s="18"/>
      <c r="S39" s="18"/>
      <c r="T39" s="18"/>
      <c r="U39" s="18"/>
      <c r="V39" s="18"/>
      <c r="W39" s="18">
        <f t="shared" ca="1" si="5"/>
        <v>3405818.2897895076</v>
      </c>
    </row>
    <row r="40" spans="1:23" x14ac:dyDescent="0.2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6"/>
        <v>238.57840579710145</v>
      </c>
      <c r="F40" s="269">
        <f t="shared" ca="1" si="6"/>
        <v>0</v>
      </c>
      <c r="G40" s="269">
        <f>'Monthly Data'!BL40</f>
        <v>257.2791666666667</v>
      </c>
      <c r="H40" s="269">
        <f>'Monthly Data'!BG40</f>
        <v>0</v>
      </c>
      <c r="I40" s="269">
        <f>'Monthly Data'!CC40</f>
        <v>39</v>
      </c>
      <c r="J40" s="269">
        <f>'Monthly Data'!CD40</f>
        <v>31</v>
      </c>
      <c r="K40" s="269">
        <f>'Monthly Data'!CG40</f>
        <v>0</v>
      </c>
      <c r="L40" s="269">
        <f>'Monthly Data'!CB40</f>
        <v>1</v>
      </c>
      <c r="M40" s="269">
        <f>'Monthly Data'!AX40</f>
        <v>8006</v>
      </c>
      <c r="O40" s="18"/>
      <c r="P40" s="18">
        <f ca="1">(E40-G40)*'Large Use Predicted Monthly'!$Z$11</f>
        <v>-7712.1453584333303</v>
      </c>
      <c r="Q40" s="18">
        <f ca="1">(F40-H40)*'Large Use Predicted Monthly'!$Z$12</f>
        <v>0</v>
      </c>
      <c r="R40" s="18"/>
      <c r="S40" s="18"/>
      <c r="T40" s="18"/>
      <c r="U40" s="18"/>
      <c r="V40" s="18"/>
      <c r="W40" s="18">
        <f t="shared" ca="1" si="5"/>
        <v>3729284.903263934</v>
      </c>
    </row>
    <row r="41" spans="1:23" x14ac:dyDescent="0.2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6"/>
        <v>79.984412878787879</v>
      </c>
      <c r="F41" s="269">
        <f t="shared" ca="1" si="6"/>
        <v>2.1908333333333347</v>
      </c>
      <c r="G41" s="269">
        <f>'Monthly Data'!BL41</f>
        <v>158.6666666666666</v>
      </c>
      <c r="H41" s="269">
        <f>'Monthly Data'!BG41</f>
        <v>0</v>
      </c>
      <c r="I41" s="269">
        <f>'Monthly Data'!CC41</f>
        <v>40</v>
      </c>
      <c r="J41" s="269">
        <f>'Monthly Data'!CD41</f>
        <v>30</v>
      </c>
      <c r="K41" s="269">
        <f>'Monthly Data'!CG41</f>
        <v>0</v>
      </c>
      <c r="L41" s="269">
        <f>'Monthly Data'!CB41</f>
        <v>1</v>
      </c>
      <c r="M41" s="269">
        <f>'Monthly Data'!AX41</f>
        <v>5437</v>
      </c>
      <c r="O41" s="18"/>
      <c r="P41" s="18">
        <f ca="1">(E41-G41)*'Large Use Predicted Monthly'!$Z$11</f>
        <v>-32448.357720504308</v>
      </c>
      <c r="Q41" s="18">
        <f ca="1">(F41-H41)*'Large Use Predicted Monthly'!$Z$12</f>
        <v>3952.4898480923639</v>
      </c>
      <c r="R41" s="18"/>
      <c r="S41" s="18"/>
      <c r="T41" s="18"/>
      <c r="U41" s="18"/>
      <c r="V41" s="18"/>
      <c r="W41" s="18">
        <f t="shared" ca="1" si="5"/>
        <v>3390541.5798934563</v>
      </c>
    </row>
    <row r="42" spans="1:23" x14ac:dyDescent="0.2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6"/>
        <v>7.2018333333333331</v>
      </c>
      <c r="F42" s="269">
        <f t="shared" ca="1" si="6"/>
        <v>52.487435064935063</v>
      </c>
      <c r="G42" s="269">
        <f>'Monthly Data'!BL42</f>
        <v>0.50416666666666554</v>
      </c>
      <c r="H42" s="269">
        <f>'Monthly Data'!BG42</f>
        <v>80.600541125541127</v>
      </c>
      <c r="I42" s="269">
        <f>'Monthly Data'!CC42</f>
        <v>41</v>
      </c>
      <c r="J42" s="269">
        <f>'Monthly Data'!CD42</f>
        <v>31</v>
      </c>
      <c r="K42" s="269">
        <f>'Monthly Data'!CG42</f>
        <v>0</v>
      </c>
      <c r="L42" s="269">
        <f>'Monthly Data'!CB42</f>
        <v>1</v>
      </c>
      <c r="M42" s="269">
        <f>'Monthly Data'!AX42</f>
        <v>5437</v>
      </c>
      <c r="O42" s="18"/>
      <c r="P42" s="18">
        <f ca="1">(E42-G42)*'Large Use Predicted Monthly'!$Z$11</f>
        <v>2762.1003902429889</v>
      </c>
      <c r="Q42" s="18">
        <f ca="1">(F42-H42)*'Large Use Predicted Monthly'!$Z$12</f>
        <v>-50718.95000512254</v>
      </c>
      <c r="R42" s="18"/>
      <c r="S42" s="18"/>
      <c r="T42" s="18"/>
      <c r="U42" s="18"/>
      <c r="V42" s="18"/>
      <c r="W42" s="18">
        <f t="shared" ca="1" si="5"/>
        <v>3739099.9561890475</v>
      </c>
    </row>
    <row r="43" spans="1:23" x14ac:dyDescent="0.2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6"/>
        <v>0</v>
      </c>
      <c r="F43" s="269">
        <f t="shared" ca="1" si="6"/>
        <v>137.65451754405018</v>
      </c>
      <c r="G43" s="269">
        <f>'Monthly Data'!BL43</f>
        <v>0</v>
      </c>
      <c r="H43" s="269">
        <f>'Monthly Data'!BG43</f>
        <v>141.51477272727271</v>
      </c>
      <c r="I43" s="269">
        <f>'Monthly Data'!CC43</f>
        <v>42</v>
      </c>
      <c r="J43" s="269">
        <f>'Monthly Data'!CD43</f>
        <v>30</v>
      </c>
      <c r="K43" s="269">
        <f>'Monthly Data'!CG43</f>
        <v>0</v>
      </c>
      <c r="L43" s="269">
        <f>'Monthly Data'!CB43</f>
        <v>0</v>
      </c>
      <c r="M43" s="269">
        <f>'Monthly Data'!AX43</f>
        <v>5437</v>
      </c>
      <c r="O43" s="18"/>
      <c r="P43" s="18">
        <f ca="1">(E43-G43)*'Large Use Predicted Monthly'!$Z$11</f>
        <v>0</v>
      </c>
      <c r="Q43" s="18">
        <f ca="1">(F43-H43)*'Large Use Predicted Monthly'!$Z$12</f>
        <v>-6964.2994702470833</v>
      </c>
      <c r="R43" s="18"/>
      <c r="S43" s="18"/>
      <c r="T43" s="18"/>
      <c r="U43" s="18"/>
      <c r="V43" s="18"/>
      <c r="W43" s="18">
        <f t="shared" ca="1" si="5"/>
        <v>3558100.2821477014</v>
      </c>
    </row>
    <row r="44" spans="1:23" x14ac:dyDescent="0.2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6"/>
        <v>0</v>
      </c>
      <c r="F44" s="269">
        <f t="shared" ca="1" si="6"/>
        <v>235.94737858727848</v>
      </c>
      <c r="G44" s="269">
        <f>'Monthly Data'!BL44</f>
        <v>0</v>
      </c>
      <c r="H44" s="269">
        <f>'Monthly Data'!BG44</f>
        <v>256.39861424807077</v>
      </c>
      <c r="I44" s="269">
        <f>'Monthly Data'!CC44</f>
        <v>43</v>
      </c>
      <c r="J44" s="269">
        <f>'Monthly Data'!CD44</f>
        <v>31</v>
      </c>
      <c r="K44" s="269">
        <f>'Monthly Data'!CG44</f>
        <v>0</v>
      </c>
      <c r="L44" s="269">
        <f>'Monthly Data'!CB44</f>
        <v>0</v>
      </c>
      <c r="M44" s="269">
        <f>'Monthly Data'!AX44</f>
        <v>9244</v>
      </c>
      <c r="O44" s="18"/>
      <c r="P44" s="18">
        <f ca="1">(E44-G44)*'Large Use Predicted Monthly'!$Z$11</f>
        <v>0</v>
      </c>
      <c r="Q44" s="18">
        <f ca="1">(F44-H44)*'Large Use Predicted Monthly'!$Z$12</f>
        <v>-36896.143627337849</v>
      </c>
      <c r="R44" s="18"/>
      <c r="S44" s="18"/>
      <c r="T44" s="18"/>
      <c r="U44" s="18"/>
      <c r="V44" s="18"/>
      <c r="W44" s="18">
        <f t="shared" ca="1" si="5"/>
        <v>3931628.4423145512</v>
      </c>
    </row>
    <row r="45" spans="1:23" x14ac:dyDescent="0.2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6"/>
        <v>0</v>
      </c>
      <c r="F45" s="269">
        <f t="shared" ca="1" si="6"/>
        <v>210.96558794466404</v>
      </c>
      <c r="G45" s="269">
        <f>'Monthly Data'!BL45</f>
        <v>0</v>
      </c>
      <c r="H45" s="269">
        <f>'Monthly Data'!BG45</f>
        <v>252.24583333333339</v>
      </c>
      <c r="I45" s="269">
        <f>'Monthly Data'!CC45</f>
        <v>44</v>
      </c>
      <c r="J45" s="269">
        <f>'Monthly Data'!CD45</f>
        <v>31</v>
      </c>
      <c r="K45" s="269">
        <f>'Monthly Data'!CG45</f>
        <v>0</v>
      </c>
      <c r="L45" s="269">
        <f>'Monthly Data'!CB45</f>
        <v>0</v>
      </c>
      <c r="M45" s="269">
        <f>'Monthly Data'!AX45</f>
        <v>9244</v>
      </c>
      <c r="O45" s="18"/>
      <c r="P45" s="18">
        <f ca="1">(E45-G45)*'Large Use Predicted Monthly'!$Z$11</f>
        <v>0</v>
      </c>
      <c r="Q45" s="18">
        <f ca="1">(F45-H45)*'Large Use Predicted Monthly'!$Z$12</f>
        <v>-74473.830730533504</v>
      </c>
      <c r="R45" s="18"/>
      <c r="S45" s="18"/>
      <c r="T45" s="18"/>
      <c r="U45" s="18"/>
      <c r="V45" s="18"/>
      <c r="W45" s="18">
        <f t="shared" ca="1" si="5"/>
        <v>4414994.0535504734</v>
      </c>
    </row>
    <row r="46" spans="1:23" x14ac:dyDescent="0.2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6"/>
        <v>0</v>
      </c>
      <c r="F46" s="269">
        <f t="shared" ca="1" si="6"/>
        <v>106.4160119047619</v>
      </c>
      <c r="G46" s="269">
        <f>'Monthly Data'!BL46</f>
        <v>0</v>
      </c>
      <c r="H46" s="269">
        <f>'Monthly Data'!BG46</f>
        <v>135.06250000000003</v>
      </c>
      <c r="I46" s="269">
        <f>'Monthly Data'!CC46</f>
        <v>45</v>
      </c>
      <c r="J46" s="269">
        <f>'Monthly Data'!CD46</f>
        <v>30</v>
      </c>
      <c r="K46" s="269">
        <f>'Monthly Data'!CG46</f>
        <v>0</v>
      </c>
      <c r="L46" s="269">
        <f>'Monthly Data'!CB46</f>
        <v>1</v>
      </c>
      <c r="M46" s="269">
        <f>'Monthly Data'!AX46</f>
        <v>9244</v>
      </c>
      <c r="O46" s="18"/>
      <c r="P46" s="18">
        <f ca="1">(E46-G46)*'Large Use Predicted Monthly'!$Z$11</f>
        <v>0</v>
      </c>
      <c r="Q46" s="18">
        <f ca="1">(F46-H46)*'Large Use Predicted Monthly'!$Z$12</f>
        <v>-51681.226343063085</v>
      </c>
      <c r="R46" s="18"/>
      <c r="S46" s="18"/>
      <c r="T46" s="18"/>
      <c r="U46" s="18"/>
      <c r="V46" s="18"/>
      <c r="W46" s="18">
        <f t="shared" ca="1" si="5"/>
        <v>4243597.5118246162</v>
      </c>
    </row>
    <row r="47" spans="1:23" x14ac:dyDescent="0.2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ca="1" si="6"/>
        <v>24.76139492753623</v>
      </c>
      <c r="F47" s="269">
        <f t="shared" ca="1" si="6"/>
        <v>17.987083333333334</v>
      </c>
      <c r="G47" s="269">
        <f>'Monthly Data'!BL47</f>
        <v>55.56666666666667</v>
      </c>
      <c r="H47" s="269">
        <f>'Monthly Data'!BG47</f>
        <v>15.387500000000001</v>
      </c>
      <c r="I47" s="269">
        <f>'Monthly Data'!CC47</f>
        <v>46</v>
      </c>
      <c r="J47" s="269">
        <f>'Monthly Data'!CD47</f>
        <v>31</v>
      </c>
      <c r="K47" s="269">
        <f>'Monthly Data'!CG47</f>
        <v>0</v>
      </c>
      <c r="L47" s="269">
        <f>'Monthly Data'!CB47</f>
        <v>1</v>
      </c>
      <c r="M47" s="269">
        <f>'Monthly Data'!AX47</f>
        <v>5492</v>
      </c>
      <c r="O47" s="18"/>
      <c r="P47" s="18">
        <f ca="1">(E47-G47)*'Large Use Predicted Monthly'!$Z$11</f>
        <v>-12704.014297346363</v>
      </c>
      <c r="Q47" s="18">
        <f ca="1">(F47-H47)*'Large Use Predicted Monthly'!$Z$12</f>
        <v>4689.9171095945685</v>
      </c>
      <c r="R47" s="18"/>
      <c r="S47" s="18"/>
      <c r="T47" s="18"/>
      <c r="U47" s="18"/>
      <c r="V47" s="18"/>
      <c r="W47" s="18">
        <f t="shared" ca="1" si="5"/>
        <v>3900798.8252533367</v>
      </c>
    </row>
    <row r="48" spans="1:23" x14ac:dyDescent="0.2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Data'!BL48</f>
        <v>206.24583333333334</v>
      </c>
      <c r="H48" s="269">
        <f>'Monthly Data'!BG48</f>
        <v>0</v>
      </c>
      <c r="I48" s="269">
        <f>'Monthly Data'!CC48</f>
        <v>47</v>
      </c>
      <c r="J48" s="269">
        <f>'Monthly Data'!CD48</f>
        <v>30</v>
      </c>
      <c r="K48" s="269">
        <f>'Monthly Data'!CG48</f>
        <v>0</v>
      </c>
      <c r="L48" s="269">
        <f>'Monthly Data'!CB48</f>
        <v>1</v>
      </c>
      <c r="M48" s="269">
        <f>'Monthly Data'!AX48</f>
        <v>5492</v>
      </c>
      <c r="O48" s="18"/>
      <c r="P48" s="18">
        <f ca="1">(E48-G48)*'Large Use Predicted Monthly'!$Z$11</f>
        <v>-27309.85120105086</v>
      </c>
      <c r="Q48" s="18">
        <f ca="1">(F48-H48)*'Large Use Predicted Monthly'!$Z$12</f>
        <v>1458.3169085772493</v>
      </c>
      <c r="R48" s="18"/>
      <c r="S48" s="18"/>
      <c r="T48" s="18"/>
      <c r="U48" s="18"/>
      <c r="V48" s="18"/>
      <c r="W48" s="18">
        <f t="shared" ref="W48:W111" ca="1" si="7">SUM(D48,O48:V48)</f>
        <v>3616946.0956639503</v>
      </c>
    </row>
    <row r="49" spans="1:23" x14ac:dyDescent="0.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Data'!BL49</f>
        <v>274.91666666666663</v>
      </c>
      <c r="H49" s="269">
        <f>'Monthly Data'!BG49</f>
        <v>0</v>
      </c>
      <c r="I49" s="269">
        <f>'Monthly Data'!CC49</f>
        <v>48</v>
      </c>
      <c r="J49" s="269">
        <f>'Monthly Data'!CD49</f>
        <v>31</v>
      </c>
      <c r="K49" s="269">
        <f>'Monthly Data'!CG49</f>
        <v>0</v>
      </c>
      <c r="L49" s="269">
        <f>'Monthly Data'!CB49</f>
        <v>0</v>
      </c>
      <c r="M49" s="269">
        <f>'Monthly Data'!AX49</f>
        <v>5492</v>
      </c>
      <c r="O49" s="18"/>
      <c r="P49" s="18">
        <f ca="1">(E49-G49)*'Large Use Predicted Monthly'!$Z$11</f>
        <v>-2472.8080893035813</v>
      </c>
      <c r="Q49" s="18">
        <f ca="1">(F49-H49)*'Large Use Predicted Monthly'!$Z$12</f>
        <v>0</v>
      </c>
      <c r="R49" s="18"/>
      <c r="S49" s="18"/>
      <c r="T49" s="18"/>
      <c r="U49" s="18"/>
      <c r="V49" s="18"/>
      <c r="W49" s="18">
        <f t="shared" ca="1" si="7"/>
        <v>3329362.1006885231</v>
      </c>
    </row>
    <row r="50" spans="1:23" x14ac:dyDescent="0.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Data'!BL50</f>
        <v>469.93333333333328</v>
      </c>
      <c r="H50" s="269">
        <f>'Monthly Data'!BG50</f>
        <v>0</v>
      </c>
      <c r="I50" s="269">
        <f>'Monthly Data'!CC50</f>
        <v>49</v>
      </c>
      <c r="J50" s="269">
        <f>'Monthly Data'!CD50</f>
        <v>31</v>
      </c>
      <c r="K50" s="269">
        <f>'Monthly Data'!CG50</f>
        <v>0</v>
      </c>
      <c r="L50" s="269">
        <f>'Monthly Data'!CB50</f>
        <v>0</v>
      </c>
      <c r="M50" s="269">
        <f>'Monthly Data'!AX50</f>
        <v>1092</v>
      </c>
      <c r="O50" s="18"/>
      <c r="P50" s="18">
        <f ca="1">(E50-G50)*'Large Use Predicted Monthly'!$Z$11</f>
        <v>-34063.674978205607</v>
      </c>
      <c r="Q50" s="18">
        <f ca="1">(F50-H50)*'Large Use Predicted Monthly'!$Z$12</f>
        <v>0</v>
      </c>
      <c r="R50" s="18"/>
      <c r="S50" s="18"/>
      <c r="T50" s="18"/>
      <c r="U50" s="18"/>
      <c r="V50" s="18"/>
      <c r="W50" s="18">
        <f t="shared" ca="1" si="7"/>
        <v>3361205.7257633707</v>
      </c>
    </row>
    <row r="51" spans="1:23" x14ac:dyDescent="0.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Data'!BL51</f>
        <v>359.30416666666662</v>
      </c>
      <c r="H51" s="269">
        <f>'Monthly Data'!BG51</f>
        <v>0</v>
      </c>
      <c r="I51" s="269">
        <f>'Monthly Data'!CC51</f>
        <v>50</v>
      </c>
      <c r="J51" s="269">
        <f>'Monthly Data'!CD51</f>
        <v>28</v>
      </c>
      <c r="K51" s="269">
        <f>'Monthly Data'!CG51</f>
        <v>0</v>
      </c>
      <c r="L51" s="269">
        <f>'Monthly Data'!CB51</f>
        <v>0</v>
      </c>
      <c r="M51" s="269">
        <f>'Monthly Data'!AX51</f>
        <v>1092</v>
      </c>
      <c r="O51" s="18"/>
      <c r="P51" s="18">
        <f ca="1">(E51-G51)*'Large Use Predicted Monthly'!$Z$11</f>
        <v>-7384.655494435935</v>
      </c>
      <c r="Q51" s="18">
        <f ca="1">(F51-H51)*'Large Use Predicted Monthly'!$Z$12</f>
        <v>0</v>
      </c>
      <c r="R51" s="18"/>
      <c r="S51" s="18"/>
      <c r="T51" s="18"/>
      <c r="U51" s="18"/>
      <c r="V51" s="18"/>
      <c r="W51" s="18">
        <f t="shared" ca="1" si="7"/>
        <v>2879919.8415722251</v>
      </c>
    </row>
    <row r="52" spans="1:23" x14ac:dyDescent="0.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Data'!BL52</f>
        <v>301.45833333333326</v>
      </c>
      <c r="H52" s="269">
        <f>'Monthly Data'!BG52</f>
        <v>0</v>
      </c>
      <c r="I52" s="269">
        <f>'Monthly Data'!CC52</f>
        <v>51</v>
      </c>
      <c r="J52" s="269">
        <f>'Monthly Data'!CD52</f>
        <v>31</v>
      </c>
      <c r="K52" s="269">
        <f>'Monthly Data'!CG52</f>
        <v>0</v>
      </c>
      <c r="L52" s="269">
        <f>'Monthly Data'!CB52</f>
        <v>1</v>
      </c>
      <c r="M52" s="269">
        <f>'Monthly Data'!AX52</f>
        <v>1092</v>
      </c>
      <c r="O52" s="18"/>
      <c r="P52" s="18">
        <f ca="1">(E52-G52)*'Large Use Predicted Monthly'!$Z$11</f>
        <v>-25931.519293227997</v>
      </c>
      <c r="Q52" s="18">
        <f ca="1">(F52-H52)*'Large Use Predicted Monthly'!$Z$12</f>
        <v>0</v>
      </c>
      <c r="R52" s="18"/>
      <c r="S52" s="18"/>
      <c r="T52" s="18"/>
      <c r="U52" s="18"/>
      <c r="V52" s="18"/>
      <c r="W52" s="18">
        <f t="shared" ca="1" si="7"/>
        <v>3268485.1780239972</v>
      </c>
    </row>
    <row r="53" spans="1:23" x14ac:dyDescent="0.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Data'!BL53</f>
        <v>81.245833333333351</v>
      </c>
      <c r="H53" s="269">
        <f>'Monthly Data'!BG53</f>
        <v>0</v>
      </c>
      <c r="I53" s="269">
        <f>'Monthly Data'!CC53</f>
        <v>52</v>
      </c>
      <c r="J53" s="269">
        <f>'Monthly Data'!CD53</f>
        <v>30</v>
      </c>
      <c r="K53" s="269">
        <f>'Monthly Data'!CG53</f>
        <v>0</v>
      </c>
      <c r="L53" s="269">
        <f>'Monthly Data'!CB53</f>
        <v>1</v>
      </c>
      <c r="M53" s="269">
        <f>'Monthly Data'!AX53</f>
        <v>5906</v>
      </c>
      <c r="O53" s="18"/>
      <c r="P53" s="18">
        <f ca="1">(E53-G53)*'Large Use Predicted Monthly'!$Z$11</f>
        <v>-520.20652910374827</v>
      </c>
      <c r="Q53" s="18">
        <f ca="1">(F53-H53)*'Large Use Predicted Monthly'!$Z$12</f>
        <v>3952.4898480923639</v>
      </c>
      <c r="R53" s="18"/>
      <c r="S53" s="18"/>
      <c r="T53" s="18"/>
      <c r="U53" s="18"/>
      <c r="V53" s="18"/>
      <c r="W53" s="18">
        <f t="shared" ca="1" si="7"/>
        <v>3142591.171357173</v>
      </c>
    </row>
    <row r="54" spans="1:23" x14ac:dyDescent="0.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ref="E54:F73" ca="1" si="8">E42</f>
        <v>7.2018333333333331</v>
      </c>
      <c r="F54" s="269">
        <f t="shared" ca="1" si="8"/>
        <v>52.487435064935063</v>
      </c>
      <c r="G54" s="269">
        <f>'Monthly Data'!BL54</f>
        <v>5.4041666666666659</v>
      </c>
      <c r="H54" s="269">
        <f>'Monthly Data'!BG54</f>
        <v>11.208333333333332</v>
      </c>
      <c r="I54" s="269">
        <f>'Monthly Data'!CC54</f>
        <v>53</v>
      </c>
      <c r="J54" s="269">
        <f>'Monthly Data'!CD54</f>
        <v>31</v>
      </c>
      <c r="K54" s="269">
        <f>'Monthly Data'!CG54</f>
        <v>0</v>
      </c>
      <c r="L54" s="269">
        <f>'Monthly Data'!CB54</f>
        <v>1</v>
      </c>
      <c r="M54" s="269">
        <f>'Monthly Data'!AX54</f>
        <v>5906</v>
      </c>
      <c r="O54" s="18"/>
      <c r="P54" s="18">
        <f ca="1">(E54-G54)*'Large Use Predicted Monthly'!$Z$11</f>
        <v>741.3530784143951</v>
      </c>
      <c r="Q54" s="18">
        <f ca="1">(F54-H54)*'Large Use Predicted Monthly'!$Z$12</f>
        <v>74471.767454938439</v>
      </c>
      <c r="R54" s="18"/>
      <c r="S54" s="18"/>
      <c r="T54" s="18"/>
      <c r="U54" s="18"/>
      <c r="V54" s="18"/>
      <c r="W54" s="18">
        <f t="shared" ca="1" si="7"/>
        <v>3260673.2306250581</v>
      </c>
    </row>
    <row r="55" spans="1:23" x14ac:dyDescent="0.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8"/>
        <v>0</v>
      </c>
      <c r="F55" s="269">
        <f t="shared" ca="1" si="8"/>
        <v>137.65451754405018</v>
      </c>
      <c r="G55" s="269">
        <f>'Monthly Data'!BL55</f>
        <v>0</v>
      </c>
      <c r="H55" s="269">
        <f>'Monthly Data'!BG55</f>
        <v>118.81666666666663</v>
      </c>
      <c r="I55" s="269">
        <f>'Monthly Data'!CC55</f>
        <v>54</v>
      </c>
      <c r="J55" s="269">
        <f>'Monthly Data'!CD55</f>
        <v>30</v>
      </c>
      <c r="K55" s="269">
        <f>'Monthly Data'!CG55</f>
        <v>0</v>
      </c>
      <c r="L55" s="269">
        <f>'Monthly Data'!CB55</f>
        <v>0</v>
      </c>
      <c r="M55" s="269">
        <f>'Monthly Data'!AX55</f>
        <v>5906</v>
      </c>
      <c r="O55" s="18"/>
      <c r="P55" s="18">
        <f ca="1">(E55-G55)*'Large Use Predicted Monthly'!$Z$11</f>
        <v>0</v>
      </c>
      <c r="Q55" s="18">
        <f ca="1">(F55-H55)*'Large Use Predicted Monthly'!$Z$12</f>
        <v>33985.430666901288</v>
      </c>
      <c r="R55" s="18"/>
      <c r="S55" s="18"/>
      <c r="T55" s="18"/>
      <c r="U55" s="18"/>
      <c r="V55" s="18"/>
      <c r="W55" s="18">
        <f t="shared" ca="1" si="7"/>
        <v>3229684.030734749</v>
      </c>
    </row>
    <row r="56" spans="1:23" x14ac:dyDescent="0.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8"/>
        <v>0</v>
      </c>
      <c r="F56" s="269">
        <f t="shared" ca="1" si="8"/>
        <v>235.94737858727848</v>
      </c>
      <c r="G56" s="269">
        <f>'Monthly Data'!BL56</f>
        <v>0</v>
      </c>
      <c r="H56" s="269">
        <f>'Monthly Data'!BG56</f>
        <v>259.60000000000008</v>
      </c>
      <c r="I56" s="269">
        <f>'Monthly Data'!CC56</f>
        <v>55</v>
      </c>
      <c r="J56" s="269">
        <f>'Monthly Data'!CD56</f>
        <v>31</v>
      </c>
      <c r="K56" s="269">
        <f>'Monthly Data'!CG56</f>
        <v>0</v>
      </c>
      <c r="L56" s="269">
        <f>'Monthly Data'!CB56</f>
        <v>0</v>
      </c>
      <c r="M56" s="269">
        <f>'Monthly Data'!AX56</f>
        <v>3717</v>
      </c>
      <c r="O56" s="18"/>
      <c r="P56" s="18">
        <f ca="1">(E56-G56)*'Large Use Predicted Monthly'!$Z$11</f>
        <v>0</v>
      </c>
      <c r="Q56" s="18">
        <f ca="1">(F56-H56)*'Large Use Predicted Monthly'!$Z$12</f>
        <v>-42671.774521667918</v>
      </c>
      <c r="R56" s="18"/>
      <c r="S56" s="18"/>
      <c r="T56" s="18"/>
      <c r="U56" s="18"/>
      <c r="V56" s="18"/>
      <c r="W56" s="18">
        <f t="shared" ca="1" si="7"/>
        <v>3447873.4351406912</v>
      </c>
    </row>
    <row r="57" spans="1:23" x14ac:dyDescent="0.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8"/>
        <v>0</v>
      </c>
      <c r="F57" s="269">
        <f t="shared" ca="1" si="8"/>
        <v>210.96558794466404</v>
      </c>
      <c r="G57" s="269">
        <f>'Monthly Data'!BL57</f>
        <v>0</v>
      </c>
      <c r="H57" s="269">
        <f>'Monthly Data'!BG57</f>
        <v>190.07083333333335</v>
      </c>
      <c r="I57" s="269">
        <f>'Monthly Data'!CC57</f>
        <v>56</v>
      </c>
      <c r="J57" s="269">
        <f>'Monthly Data'!CD57</f>
        <v>31</v>
      </c>
      <c r="K57" s="269">
        <f>'Monthly Data'!CG57</f>
        <v>0</v>
      </c>
      <c r="L57" s="269">
        <f>'Monthly Data'!CB57</f>
        <v>0</v>
      </c>
      <c r="M57" s="269">
        <f>'Monthly Data'!AX57</f>
        <v>3717</v>
      </c>
      <c r="O57" s="18"/>
      <c r="P57" s="18">
        <f ca="1">(E57-G57)*'Large Use Predicted Monthly'!$Z$11</f>
        <v>0</v>
      </c>
      <c r="Q57" s="18">
        <f ca="1">(F57-H57)*'Large Use Predicted Monthly'!$Z$12</f>
        <v>37696.297670444539</v>
      </c>
      <c r="R57" s="18"/>
      <c r="S57" s="18"/>
      <c r="T57" s="18"/>
      <c r="U57" s="18"/>
      <c r="V57" s="18"/>
      <c r="W57" s="18">
        <f t="shared" ca="1" si="7"/>
        <v>3611921.0075715915</v>
      </c>
    </row>
    <row r="58" spans="1:23" x14ac:dyDescent="0.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8"/>
        <v>0</v>
      </c>
      <c r="F58" s="269">
        <f t="shared" ca="1" si="8"/>
        <v>106.4160119047619</v>
      </c>
      <c r="G58" s="269">
        <f>'Monthly Data'!BL58</f>
        <v>0</v>
      </c>
      <c r="H58" s="269">
        <f>'Monthly Data'!BG58</f>
        <v>76.5</v>
      </c>
      <c r="I58" s="269">
        <f>'Monthly Data'!CC58</f>
        <v>57</v>
      </c>
      <c r="J58" s="269">
        <f>'Monthly Data'!CD58</f>
        <v>30</v>
      </c>
      <c r="K58" s="269">
        <f>'Monthly Data'!CG58</f>
        <v>0</v>
      </c>
      <c r="L58" s="269">
        <f>'Monthly Data'!CB58</f>
        <v>1</v>
      </c>
      <c r="M58" s="269">
        <f>'Monthly Data'!AX58</f>
        <v>3717</v>
      </c>
      <c r="O58" s="18"/>
      <c r="P58" s="18">
        <f ca="1">(E58-G58)*'Large Use Predicted Monthly'!$Z$11</f>
        <v>0</v>
      </c>
      <c r="Q58" s="18">
        <f ca="1">(F58-H58)*'Large Use Predicted Monthly'!$Z$12</f>
        <v>53971.578554118663</v>
      </c>
      <c r="R58" s="18"/>
      <c r="S58" s="18"/>
      <c r="T58" s="18"/>
      <c r="U58" s="18"/>
      <c r="V58" s="18"/>
      <c r="W58" s="18">
        <f t="shared" ca="1" si="7"/>
        <v>3379071.5694053732</v>
      </c>
    </row>
    <row r="59" spans="1:23" x14ac:dyDescent="0.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8"/>
        <v>24.76139492753623</v>
      </c>
      <c r="F59" s="269">
        <f t="shared" ca="1" si="8"/>
        <v>17.987083333333334</v>
      </c>
      <c r="G59" s="269">
        <f>'Monthly Data'!BL59</f>
        <v>8.0666666666666664</v>
      </c>
      <c r="H59" s="269">
        <f>'Monthly Data'!BG59</f>
        <v>7.3333333333333357</v>
      </c>
      <c r="I59" s="269">
        <f>'Monthly Data'!CC59</f>
        <v>58</v>
      </c>
      <c r="J59" s="269">
        <f>'Monthly Data'!CD59</f>
        <v>31</v>
      </c>
      <c r="K59" s="269">
        <f>'Monthly Data'!CG59</f>
        <v>0</v>
      </c>
      <c r="L59" s="269">
        <f>'Monthly Data'!CB59</f>
        <v>1</v>
      </c>
      <c r="M59" s="269">
        <f>'Monthly Data'!AX59</f>
        <v>1050</v>
      </c>
      <c r="O59" s="18"/>
      <c r="P59" s="18">
        <f ca="1">(E59-G59)*'Large Use Predicted Monthly'!$Z$11</f>
        <v>6884.8627050736777</v>
      </c>
      <c r="Q59" s="18">
        <f ca="1">(F59-H59)*'Large Use Predicted Monthly'!$Z$12</f>
        <v>19220.466513098818</v>
      </c>
      <c r="R59" s="18"/>
      <c r="S59" s="18"/>
      <c r="T59" s="18"/>
      <c r="U59" s="18"/>
      <c r="V59" s="18"/>
      <c r="W59" s="18">
        <f t="shared" ca="1" si="7"/>
        <v>3284919.5509761986</v>
      </c>
    </row>
    <row r="60" spans="1:23" x14ac:dyDescent="0.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8"/>
        <v>140.02366389045739</v>
      </c>
      <c r="F60" s="269">
        <f t="shared" ca="1" si="8"/>
        <v>0.8083333333333329</v>
      </c>
      <c r="G60" s="269">
        <f>'Monthly Data'!BL60</f>
        <v>229.72499999999999</v>
      </c>
      <c r="H60" s="269">
        <f>'Monthly Data'!BG60</f>
        <v>0</v>
      </c>
      <c r="I60" s="269">
        <f>'Monthly Data'!CC60</f>
        <v>59</v>
      </c>
      <c r="J60" s="269">
        <f>'Monthly Data'!CD60</f>
        <v>30</v>
      </c>
      <c r="K60" s="269">
        <f>'Monthly Data'!CG60</f>
        <v>0</v>
      </c>
      <c r="L60" s="269">
        <f>'Monthly Data'!CB60</f>
        <v>1</v>
      </c>
      <c r="M60" s="269">
        <f>'Monthly Data'!AX60</f>
        <v>1050</v>
      </c>
      <c r="O60" s="18"/>
      <c r="P60" s="18">
        <f ca="1">(E60-G60)*'Large Use Predicted Monthly'!$Z$11</f>
        <v>-36992.598736896201</v>
      </c>
      <c r="Q60" s="18">
        <f ca="1">(F60-H60)*'Large Use Predicted Monthly'!$Z$12</f>
        <v>1458.3169085772493</v>
      </c>
      <c r="R60" s="18"/>
      <c r="S60" s="18"/>
      <c r="T60" s="18"/>
      <c r="U60" s="18"/>
      <c r="V60" s="18"/>
      <c r="W60" s="18">
        <f t="shared" ca="1" si="7"/>
        <v>3223278.5304211606</v>
      </c>
    </row>
    <row r="61" spans="1:23" x14ac:dyDescent="0.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8"/>
        <v>268.92048913043476</v>
      </c>
      <c r="F61" s="269">
        <f t="shared" ca="1" si="8"/>
        <v>0</v>
      </c>
      <c r="G61" s="269">
        <f>'Monthly Data'!BL61</f>
        <v>304.42916666666662</v>
      </c>
      <c r="H61" s="269">
        <f>'Monthly Data'!BG61</f>
        <v>0</v>
      </c>
      <c r="I61" s="269">
        <f>'Monthly Data'!CC61</f>
        <v>60</v>
      </c>
      <c r="J61" s="269">
        <f>'Monthly Data'!CD61</f>
        <v>31</v>
      </c>
      <c r="K61" s="269">
        <f>'Monthly Data'!CG61</f>
        <v>0</v>
      </c>
      <c r="L61" s="269">
        <f>'Monthly Data'!CB61</f>
        <v>0</v>
      </c>
      <c r="M61" s="269">
        <f>'Monthly Data'!AX61</f>
        <v>1050</v>
      </c>
      <c r="O61" s="18"/>
      <c r="P61" s="18">
        <f ca="1">(E61-G61)*'Large Use Predicted Monthly'!$Z$11</f>
        <v>-14643.68666896508</v>
      </c>
      <c r="Q61" s="18">
        <f ca="1">(F61-H61)*'Large Use Predicted Monthly'!$Z$12</f>
        <v>0</v>
      </c>
      <c r="R61" s="18"/>
      <c r="S61" s="18"/>
      <c r="T61" s="18"/>
      <c r="U61" s="18"/>
      <c r="V61" s="18"/>
      <c r="W61" s="18">
        <f t="shared" ca="1" si="7"/>
        <v>3138183.4089189023</v>
      </c>
    </row>
    <row r="62" spans="1:23" x14ac:dyDescent="0.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8"/>
        <v>387.33418478260865</v>
      </c>
      <c r="F62" s="269">
        <f t="shared" ca="1" si="8"/>
        <v>0</v>
      </c>
      <c r="G62" s="269">
        <f>'Monthly Data'!BL62</f>
        <v>318.82083333333333</v>
      </c>
      <c r="H62" s="269">
        <f>'Monthly Data'!BG62</f>
        <v>0</v>
      </c>
      <c r="I62" s="269">
        <f>'Monthly Data'!CC62</f>
        <v>61</v>
      </c>
      <c r="J62" s="269">
        <f>'Monthly Data'!CD62</f>
        <v>31</v>
      </c>
      <c r="K62" s="269">
        <f>'Monthly Data'!CG62</f>
        <v>0</v>
      </c>
      <c r="L62" s="269">
        <f>'Monthly Data'!CB62</f>
        <v>0</v>
      </c>
      <c r="M62" s="269">
        <f>'Monthly Data'!AX62</f>
        <v>-11271</v>
      </c>
      <c r="O62" s="18"/>
      <c r="P62" s="18">
        <f ca="1">(E62-G62)*'Large Use Predicted Monthly'!$Z$11</f>
        <v>28254.728727651178</v>
      </c>
      <c r="Q62" s="18">
        <f ca="1">(F62-H62)*'Large Use Predicted Monthly'!$Z$12</f>
        <v>0</v>
      </c>
      <c r="R62" s="18"/>
      <c r="S62" s="18"/>
      <c r="T62" s="18"/>
      <c r="U62" s="18"/>
      <c r="V62" s="18"/>
      <c r="W62" s="18">
        <f t="shared" ca="1" si="7"/>
        <v>3103199.3750368077</v>
      </c>
    </row>
    <row r="63" spans="1:23" x14ac:dyDescent="0.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ca="1" si="8"/>
        <v>341.39751811594203</v>
      </c>
      <c r="F63" s="269">
        <f t="shared" ca="1" si="8"/>
        <v>0</v>
      </c>
      <c r="G63" s="269">
        <f>'Monthly Data'!BL63</f>
        <v>330.40000000000003</v>
      </c>
      <c r="H63" s="269">
        <f>'Monthly Data'!BG63</f>
        <v>0</v>
      </c>
      <c r="I63" s="269">
        <f>'Monthly Data'!CC63</f>
        <v>62</v>
      </c>
      <c r="J63" s="269">
        <f>'Monthly Data'!CD63</f>
        <v>29</v>
      </c>
      <c r="K63" s="269">
        <f>'Monthly Data'!CG63</f>
        <v>0</v>
      </c>
      <c r="L63" s="269">
        <f>'Monthly Data'!CB63</f>
        <v>0</v>
      </c>
      <c r="M63" s="269">
        <f>'Monthly Data'!AX63</f>
        <v>-11271</v>
      </c>
      <c r="O63" s="18"/>
      <c r="P63" s="18">
        <f ca="1">(E63-G63)*'Large Use Predicted Monthly'!$Z$11</f>
        <v>4535.3479937910315</v>
      </c>
      <c r="Q63" s="18">
        <f ca="1">(F63-H63)*'Large Use Predicted Monthly'!$Z$12</f>
        <v>0</v>
      </c>
      <c r="R63" s="18"/>
      <c r="S63" s="18"/>
      <c r="T63" s="18"/>
      <c r="U63" s="18"/>
      <c r="V63" s="18"/>
      <c r="W63" s="18">
        <f t="shared" ca="1" si="7"/>
        <v>2766563.9624229758</v>
      </c>
    </row>
    <row r="64" spans="1:23" x14ac:dyDescent="0.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8"/>
        <v>238.57840579710145</v>
      </c>
      <c r="F64" s="269">
        <f t="shared" ca="1" si="8"/>
        <v>0</v>
      </c>
      <c r="G64" s="269">
        <f>'Monthly Data'!BL64</f>
        <v>174.47500000000005</v>
      </c>
      <c r="H64" s="269">
        <f>'Monthly Data'!BG64</f>
        <v>0</v>
      </c>
      <c r="I64" s="269">
        <f>'Monthly Data'!CC64</f>
        <v>63</v>
      </c>
      <c r="J64" s="269">
        <f>'Monthly Data'!CD64</f>
        <v>31</v>
      </c>
      <c r="K64" s="269">
        <f>'Monthly Data'!CG64</f>
        <v>0.5</v>
      </c>
      <c r="L64" s="269">
        <f>'Monthly Data'!CB64</f>
        <v>1</v>
      </c>
      <c r="M64" s="269">
        <f>'Monthly Data'!AX64</f>
        <v>-11271</v>
      </c>
      <c r="O64" s="18"/>
      <c r="P64" s="18">
        <f ca="1">(E64-G64)*'Large Use Predicted Monthly'!$Z$11</f>
        <v>26436.078559908194</v>
      </c>
      <c r="Q64" s="18">
        <f ca="1">(F64-H64)*'Large Use Predicted Monthly'!$Z$12</f>
        <v>0</v>
      </c>
      <c r="R64" s="18"/>
      <c r="S64" s="18"/>
      <c r="T64" s="18"/>
      <c r="U64" s="18"/>
      <c r="V64" s="18"/>
      <c r="W64" s="18">
        <f t="shared" ca="1" si="7"/>
        <v>2633491.7826724923</v>
      </c>
    </row>
    <row r="65" spans="1:23" x14ac:dyDescent="0.25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8"/>
        <v>79.984412878787879</v>
      </c>
      <c r="F65" s="269">
        <f t="shared" ca="1" si="8"/>
        <v>2.1908333333333347</v>
      </c>
      <c r="G65" s="269">
        <f>'Monthly Data'!BL65</f>
        <v>89.183333333333337</v>
      </c>
      <c r="H65" s="269">
        <f>'Monthly Data'!BG65</f>
        <v>0</v>
      </c>
      <c r="I65" s="269">
        <f>'Monthly Data'!CC65</f>
        <v>64</v>
      </c>
      <c r="J65" s="269">
        <f>'Monthly Data'!CD65</f>
        <v>30</v>
      </c>
      <c r="K65" s="269">
        <f>'Monthly Data'!CG65</f>
        <v>1</v>
      </c>
      <c r="L65" s="269">
        <f>'Monthly Data'!CB65</f>
        <v>1</v>
      </c>
      <c r="M65" s="269">
        <f>'Monthly Data'!AX65</f>
        <v>-93587</v>
      </c>
      <c r="O65" s="18"/>
      <c r="P65" s="18">
        <f ca="1">(E65-G65)*'Large Use Predicted Monthly'!$Z$11</f>
        <v>-3793.6109755607754</v>
      </c>
      <c r="Q65" s="18">
        <f ca="1">(F65-H65)*'Large Use Predicted Monthly'!$Z$12</f>
        <v>3952.4898480923639</v>
      </c>
      <c r="R65" s="18"/>
      <c r="S65" s="18"/>
      <c r="T65" s="18"/>
      <c r="U65" s="18"/>
      <c r="V65" s="18"/>
      <c r="W65" s="18">
        <f t="shared" ca="1" si="7"/>
        <v>2049584.2882888105</v>
      </c>
    </row>
    <row r="66" spans="1:23" x14ac:dyDescent="0.25">
      <c r="A66" s="3">
        <f>'Monthly Data'!A66</f>
        <v>43952</v>
      </c>
      <c r="B66" s="1">
        <f t="shared" ref="B66:B129" si="9">YEAR(A66)</f>
        <v>2020</v>
      </c>
      <c r="C66" s="1">
        <f t="shared" ref="C66:C129" si="10">MONTH(A66)</f>
        <v>5</v>
      </c>
      <c r="D66" s="259">
        <f>'Monthly Data'!X66</f>
        <v>1973281.7621213137</v>
      </c>
      <c r="E66" s="269">
        <f t="shared" ca="1" si="8"/>
        <v>7.2018333333333331</v>
      </c>
      <c r="F66" s="269">
        <f t="shared" ca="1" si="8"/>
        <v>52.487435064935063</v>
      </c>
      <c r="G66" s="269">
        <f>'Monthly Data'!BL66</f>
        <v>36.524999999999999</v>
      </c>
      <c r="H66" s="269">
        <f>'Monthly Data'!BG66</f>
        <v>50.900595238095221</v>
      </c>
      <c r="I66" s="269">
        <f>'Monthly Data'!CC66</f>
        <v>65</v>
      </c>
      <c r="J66" s="269">
        <f>'Monthly Data'!CD66</f>
        <v>31</v>
      </c>
      <c r="K66" s="269">
        <f>'Monthly Data'!CG66</f>
        <v>1</v>
      </c>
      <c r="L66" s="269">
        <f>'Monthly Data'!CB66</f>
        <v>1</v>
      </c>
      <c r="M66" s="269">
        <f>'Monthly Data'!AX66</f>
        <v>-93587</v>
      </c>
      <c r="O66" s="18"/>
      <c r="P66" s="18">
        <f ca="1">(E66-G66)*'Large Use Predicted Monthly'!$Z$11</f>
        <v>-12092.798003258875</v>
      </c>
      <c r="Q66" s="18">
        <f ca="1">(F66-H66)*'Large Use Predicted Monthly'!$Z$12</f>
        <v>2862.8231142486652</v>
      </c>
      <c r="R66" s="18"/>
      <c r="S66" s="18"/>
      <c r="T66" s="18"/>
      <c r="U66" s="18"/>
      <c r="V66" s="18"/>
      <c r="W66" s="18">
        <f t="shared" ca="1" si="7"/>
        <v>1964051.7872323035</v>
      </c>
    </row>
    <row r="67" spans="1:23" x14ac:dyDescent="0.25">
      <c r="A67" s="3">
        <f>'Monthly Data'!A67</f>
        <v>43983</v>
      </c>
      <c r="B67" s="1">
        <f t="shared" si="9"/>
        <v>2020</v>
      </c>
      <c r="C67" s="1">
        <f t="shared" si="10"/>
        <v>6</v>
      </c>
      <c r="D67" s="259">
        <f>'Monthly Data'!X67</f>
        <v>2238034.5752989105</v>
      </c>
      <c r="E67" s="269">
        <f t="shared" ca="1" si="8"/>
        <v>0</v>
      </c>
      <c r="F67" s="269">
        <f t="shared" ca="1" si="8"/>
        <v>137.65451754405018</v>
      </c>
      <c r="G67" s="269">
        <f>'Monthly Data'!BL67</f>
        <v>0</v>
      </c>
      <c r="H67" s="269">
        <f>'Monthly Data'!BG67</f>
        <v>165.96956521739128</v>
      </c>
      <c r="I67" s="269">
        <f>'Monthly Data'!CC67</f>
        <v>66</v>
      </c>
      <c r="J67" s="269">
        <f>'Monthly Data'!CD67</f>
        <v>30</v>
      </c>
      <c r="K67" s="269">
        <f>'Monthly Data'!CG67</f>
        <v>0.5</v>
      </c>
      <c r="L67" s="269">
        <f>'Monthly Data'!CB67</f>
        <v>0</v>
      </c>
      <c r="M67" s="269">
        <f>'Monthly Data'!AX67</f>
        <v>-93587</v>
      </c>
      <c r="O67" s="18"/>
      <c r="P67" s="18">
        <f ca="1">(E67-G67)*'Large Use Predicted Monthly'!$Z$11</f>
        <v>0</v>
      </c>
      <c r="Q67" s="18">
        <f ca="1">(F67-H67)*'Large Use Predicted Monthly'!$Z$12</f>
        <v>-51083.273553654741</v>
      </c>
      <c r="R67" s="18"/>
      <c r="S67" s="18"/>
      <c r="T67" s="18"/>
      <c r="U67" s="18"/>
      <c r="V67" s="18"/>
      <c r="W67" s="18">
        <f t="shared" ca="1" si="7"/>
        <v>2186951.3017452559</v>
      </c>
    </row>
    <row r="68" spans="1:23" x14ac:dyDescent="0.25">
      <c r="A68" s="3">
        <f>'Monthly Data'!A68</f>
        <v>44013</v>
      </c>
      <c r="B68" s="1">
        <f t="shared" si="9"/>
        <v>2020</v>
      </c>
      <c r="C68" s="1">
        <f t="shared" si="10"/>
        <v>7</v>
      </c>
      <c r="D68" s="259">
        <f>'Monthly Data'!X68</f>
        <v>2794912.6777092903</v>
      </c>
      <c r="E68" s="269">
        <f t="shared" ca="1" si="8"/>
        <v>0</v>
      </c>
      <c r="F68" s="269">
        <f t="shared" ca="1" si="8"/>
        <v>235.94737858727848</v>
      </c>
      <c r="G68" s="269">
        <f>'Monthly Data'!BL68</f>
        <v>0</v>
      </c>
      <c r="H68" s="269">
        <f>'Monthly Data'!BG68</f>
        <v>308.88750000000005</v>
      </c>
      <c r="I68" s="269">
        <f>'Monthly Data'!CC68</f>
        <v>67</v>
      </c>
      <c r="J68" s="269">
        <f>'Monthly Data'!CD68</f>
        <v>31</v>
      </c>
      <c r="K68" s="269">
        <f>'Monthly Data'!CG68</f>
        <v>0.5</v>
      </c>
      <c r="L68" s="269">
        <f>'Monthly Data'!CB68</f>
        <v>0</v>
      </c>
      <c r="M68" s="269">
        <f>'Monthly Data'!AX68</f>
        <v>70686</v>
      </c>
      <c r="O68" s="18"/>
      <c r="P68" s="18">
        <f ca="1">(E68-G68)*'Large Use Predicted Monthly'!$Z$11</f>
        <v>0</v>
      </c>
      <c r="Q68" s="18">
        <f ca="1">(F68-H68)*'Large Use Predicted Monthly'!$Z$12</f>
        <v>-131591.52045754564</v>
      </c>
      <c r="R68" s="18"/>
      <c r="S68" s="18"/>
      <c r="T68" s="18"/>
      <c r="U68" s="18"/>
      <c r="V68" s="18"/>
      <c r="W68" s="18">
        <f t="shared" ca="1" si="7"/>
        <v>2663321.1572517445</v>
      </c>
    </row>
    <row r="69" spans="1:23" x14ac:dyDescent="0.25">
      <c r="A69" s="3">
        <f>'Monthly Data'!A69</f>
        <v>44044</v>
      </c>
      <c r="B69" s="1">
        <f t="shared" si="9"/>
        <v>2020</v>
      </c>
      <c r="C69" s="1">
        <f t="shared" si="10"/>
        <v>8</v>
      </c>
      <c r="D69" s="259">
        <f>'Monthly Data'!X69</f>
        <v>2846971.9201273769</v>
      </c>
      <c r="E69" s="269">
        <f t="shared" ca="1" si="8"/>
        <v>0</v>
      </c>
      <c r="F69" s="269">
        <f t="shared" ca="1" si="8"/>
        <v>210.96558794466404</v>
      </c>
      <c r="G69" s="269">
        <f>'Monthly Data'!BL69</f>
        <v>0</v>
      </c>
      <c r="H69" s="269">
        <f>'Monthly Data'!BG69</f>
        <v>216.93106060606064</v>
      </c>
      <c r="I69" s="269">
        <f>'Monthly Data'!CC69</f>
        <v>68</v>
      </c>
      <c r="J69" s="269">
        <f>'Monthly Data'!CD69</f>
        <v>31</v>
      </c>
      <c r="K69" s="269">
        <f>'Monthly Data'!CG69</f>
        <v>0.5</v>
      </c>
      <c r="L69" s="269">
        <f>'Monthly Data'!CB69</f>
        <v>0</v>
      </c>
      <c r="M69" s="269">
        <f>'Monthly Data'!AX69</f>
        <v>70686</v>
      </c>
      <c r="O69" s="18"/>
      <c r="P69" s="18">
        <f ca="1">(E69-G69)*'Large Use Predicted Monthly'!$Z$11</f>
        <v>0</v>
      </c>
      <c r="Q69" s="18">
        <f ca="1">(F69-H69)*'Large Use Predicted Monthly'!$Z$12</f>
        <v>-10762.329463632985</v>
      </c>
      <c r="R69" s="18"/>
      <c r="S69" s="18"/>
      <c r="T69" s="18"/>
      <c r="U69" s="18"/>
      <c r="V69" s="18"/>
      <c r="W69" s="18">
        <f t="shared" ca="1" si="7"/>
        <v>2836209.5906637441</v>
      </c>
    </row>
    <row r="70" spans="1:23" x14ac:dyDescent="0.25">
      <c r="A70" s="3">
        <f>'Monthly Data'!A70</f>
        <v>44075</v>
      </c>
      <c r="B70" s="1">
        <f t="shared" si="9"/>
        <v>2020</v>
      </c>
      <c r="C70" s="1">
        <f t="shared" si="10"/>
        <v>9</v>
      </c>
      <c r="D70" s="259">
        <f>'Monthly Data'!X70</f>
        <v>2796480.6781213125</v>
      </c>
      <c r="E70" s="269">
        <f t="shared" ca="1" si="8"/>
        <v>0</v>
      </c>
      <c r="F70" s="269">
        <f t="shared" ca="1" si="8"/>
        <v>106.4160119047619</v>
      </c>
      <c r="G70" s="269">
        <f>'Monthly Data'!BL70</f>
        <v>0</v>
      </c>
      <c r="H70" s="269">
        <f>'Monthly Data'!BG70</f>
        <v>75.812499999999972</v>
      </c>
      <c r="I70" s="269">
        <f>'Monthly Data'!CC70</f>
        <v>69</v>
      </c>
      <c r="J70" s="269">
        <f>'Monthly Data'!CD70</f>
        <v>30</v>
      </c>
      <c r="K70" s="269">
        <f>'Monthly Data'!CG70</f>
        <v>0.5</v>
      </c>
      <c r="L70" s="269">
        <f>'Monthly Data'!CB70</f>
        <v>1</v>
      </c>
      <c r="M70" s="269">
        <f>'Monthly Data'!AX70</f>
        <v>70686</v>
      </c>
      <c r="O70" s="18"/>
      <c r="P70" s="18">
        <f ca="1">(E70-G70)*'Large Use Predicted Monthly'!$Z$11</f>
        <v>0</v>
      </c>
      <c r="Q70" s="18">
        <f ca="1">(F70-H70)*'Large Use Predicted Monthly'!$Z$12</f>
        <v>55211.899636156071</v>
      </c>
      <c r="R70" s="18"/>
      <c r="S70" s="18"/>
      <c r="T70" s="18"/>
      <c r="U70" s="18"/>
      <c r="V70" s="18"/>
      <c r="W70" s="18">
        <f t="shared" ca="1" si="7"/>
        <v>2851692.5777574684</v>
      </c>
    </row>
    <row r="71" spans="1:23" x14ac:dyDescent="0.25">
      <c r="A71" s="3">
        <f>'Monthly Data'!A71</f>
        <v>44105</v>
      </c>
      <c r="B71" s="1">
        <f t="shared" si="9"/>
        <v>2020</v>
      </c>
      <c r="C71" s="1">
        <f t="shared" si="10"/>
        <v>10</v>
      </c>
      <c r="D71" s="259">
        <f>'Monthly Data'!X71</f>
        <v>2572644.9041530807</v>
      </c>
      <c r="E71" s="269">
        <f t="shared" ca="1" si="8"/>
        <v>24.76139492753623</v>
      </c>
      <c r="F71" s="269">
        <f t="shared" ca="1" si="8"/>
        <v>17.987083333333334</v>
      </c>
      <c r="G71" s="269">
        <f>'Monthly Data'!BL71</f>
        <v>38.454166666666666</v>
      </c>
      <c r="H71" s="269">
        <f>'Monthly Data'!BG71</f>
        <v>3.9291666666666654</v>
      </c>
      <c r="I71" s="269">
        <f>'Monthly Data'!CC71</f>
        <v>70</v>
      </c>
      <c r="J71" s="269">
        <f>'Monthly Data'!CD71</f>
        <v>31</v>
      </c>
      <c r="K71" s="269">
        <f>'Monthly Data'!CG71</f>
        <v>0.5</v>
      </c>
      <c r="L71" s="269">
        <f>'Monthly Data'!CB71</f>
        <v>1</v>
      </c>
      <c r="M71" s="269">
        <f>'Monthly Data'!AX71</f>
        <v>18654</v>
      </c>
      <c r="O71" s="18"/>
      <c r="P71" s="18">
        <f ca="1">(E71-G71)*'Large Use Predicted Monthly'!$Z$11</f>
        <v>-5646.8636088429312</v>
      </c>
      <c r="Q71" s="18">
        <f ca="1">(F71-H71)*'Large Use Predicted Monthly'!$Z$12</f>
        <v>25361.93514355044</v>
      </c>
      <c r="R71" s="18"/>
      <c r="S71" s="18"/>
      <c r="T71" s="18"/>
      <c r="U71" s="18"/>
      <c r="V71" s="18"/>
      <c r="W71" s="18">
        <f t="shared" ca="1" si="7"/>
        <v>2592359.9756877883</v>
      </c>
    </row>
    <row r="72" spans="1:23" x14ac:dyDescent="0.25">
      <c r="A72" s="3">
        <f>'Monthly Data'!A72</f>
        <v>44136</v>
      </c>
      <c r="B72" s="1">
        <f t="shared" si="9"/>
        <v>2020</v>
      </c>
      <c r="C72" s="1">
        <f t="shared" si="10"/>
        <v>11</v>
      </c>
      <c r="D72" s="259">
        <f>'Monthly Data'!X72</f>
        <v>2636145.3575018547</v>
      </c>
      <c r="E72" s="269">
        <f t="shared" ca="1" si="8"/>
        <v>140.02366389045739</v>
      </c>
      <c r="F72" s="269">
        <f t="shared" ca="1" si="8"/>
        <v>0.8083333333333329</v>
      </c>
      <c r="G72" s="269">
        <f>'Monthly Data'!BL72</f>
        <v>92.875724637681159</v>
      </c>
      <c r="H72" s="269">
        <f>'Monthly Data'!BG72</f>
        <v>0</v>
      </c>
      <c r="I72" s="269">
        <f>'Monthly Data'!CC72</f>
        <v>71</v>
      </c>
      <c r="J72" s="269">
        <f>'Monthly Data'!CD72</f>
        <v>30</v>
      </c>
      <c r="K72" s="269">
        <f>'Monthly Data'!CG72</f>
        <v>0.5</v>
      </c>
      <c r="L72" s="269">
        <f>'Monthly Data'!CB72</f>
        <v>1</v>
      </c>
      <c r="M72" s="269">
        <f>'Monthly Data'!AX72</f>
        <v>18654</v>
      </c>
      <c r="O72" s="18"/>
      <c r="P72" s="18">
        <f ca="1">(E72-G72)*'Large Use Predicted Monthly'!$Z$11</f>
        <v>19443.688061899058</v>
      </c>
      <c r="Q72" s="18">
        <f ca="1">(F72-H72)*'Large Use Predicted Monthly'!$Z$12</f>
        <v>1458.3169085772493</v>
      </c>
      <c r="R72" s="18"/>
      <c r="S72" s="18"/>
      <c r="T72" s="18"/>
      <c r="U72" s="18"/>
      <c r="V72" s="18"/>
      <c r="W72" s="18">
        <f t="shared" ca="1" si="7"/>
        <v>2657047.3624723312</v>
      </c>
    </row>
    <row r="73" spans="1:23" x14ac:dyDescent="0.25">
      <c r="A73" s="3">
        <f>'Monthly Data'!A73</f>
        <v>44166</v>
      </c>
      <c r="B73" s="1">
        <f t="shared" si="9"/>
        <v>2020</v>
      </c>
      <c r="C73" s="1">
        <f t="shared" si="10"/>
        <v>12</v>
      </c>
      <c r="D73" s="259">
        <f>'Monthly Data'!X73</f>
        <v>2725064.1006996538</v>
      </c>
      <c r="E73" s="269">
        <f t="shared" ca="1" si="8"/>
        <v>268.92048913043476</v>
      </c>
      <c r="F73" s="269">
        <f t="shared" ca="1" si="8"/>
        <v>0</v>
      </c>
      <c r="G73" s="269">
        <f>'Monthly Data'!BL73</f>
        <v>272.9041666666667</v>
      </c>
      <c r="H73" s="269">
        <f>'Monthly Data'!BG73</f>
        <v>0</v>
      </c>
      <c r="I73" s="269">
        <f>'Monthly Data'!CC73</f>
        <v>72</v>
      </c>
      <c r="J73" s="269">
        <f>'Monthly Data'!CD73</f>
        <v>31</v>
      </c>
      <c r="K73" s="269">
        <f>'Monthly Data'!CG73</f>
        <v>0.5</v>
      </c>
      <c r="L73" s="269">
        <f>'Monthly Data'!CB73</f>
        <v>0</v>
      </c>
      <c r="M73" s="269">
        <f>'Monthly Data'!AX73</f>
        <v>18654</v>
      </c>
      <c r="O73" s="18"/>
      <c r="P73" s="18">
        <f ca="1">(E73-G73)*'Large Use Predicted Monthly'!$Z$11</f>
        <v>-1642.8583005168657</v>
      </c>
      <c r="Q73" s="18">
        <f ca="1">(F73-H73)*'Large Use Predicted Monthly'!$Z$12</f>
        <v>0</v>
      </c>
      <c r="R73" s="18"/>
      <c r="S73" s="18"/>
      <c r="T73" s="18"/>
      <c r="U73" s="18"/>
      <c r="V73" s="18"/>
      <c r="W73" s="18">
        <f t="shared" ca="1" si="7"/>
        <v>2723421.242399137</v>
      </c>
    </row>
    <row r="74" spans="1:23" x14ac:dyDescent="0.25">
      <c r="A74" s="3">
        <f>'Monthly Data'!A74</f>
        <v>44197</v>
      </c>
      <c r="B74" s="1">
        <f t="shared" si="9"/>
        <v>2021</v>
      </c>
      <c r="C74" s="1">
        <f t="shared" si="10"/>
        <v>1</v>
      </c>
      <c r="D74" s="259">
        <f ca="1">'Monthly Data'!X74</f>
        <v>2863051.0296910401</v>
      </c>
      <c r="E74" s="269">
        <f t="shared" ref="E74:F93" ca="1" si="11">E62</f>
        <v>387.33418478260865</v>
      </c>
      <c r="F74" s="269">
        <f t="shared" ca="1" si="11"/>
        <v>0</v>
      </c>
      <c r="G74" s="269">
        <f>'Monthly Data'!BL74</f>
        <v>343.50416666666661</v>
      </c>
      <c r="H74" s="269">
        <f>'Monthly Data'!BG74</f>
        <v>0</v>
      </c>
      <c r="I74" s="269">
        <f>'Monthly Data'!CC74</f>
        <v>73</v>
      </c>
      <c r="J74" s="269">
        <f>'Monthly Data'!CD74</f>
        <v>31</v>
      </c>
      <c r="K74" s="269">
        <f>'Monthly Data'!CG74</f>
        <v>0.5</v>
      </c>
      <c r="L74" s="269">
        <f>'Monthly Data'!CB74</f>
        <v>0</v>
      </c>
      <c r="M74" s="269">
        <f>'Monthly Data'!AX74</f>
        <v>12705</v>
      </c>
      <c r="O74" s="18"/>
      <c r="P74" s="18">
        <f ca="1">(E74-G74)*'Large Use Predicted Monthly'!$Z$11</f>
        <v>18075.385976569069</v>
      </c>
      <c r="Q74" s="18">
        <f ca="1">(F74-H74)*'Large Use Predicted Monthly'!$Z$12</f>
        <v>0</v>
      </c>
      <c r="R74" s="18"/>
      <c r="S74" s="18"/>
      <c r="T74" s="18"/>
      <c r="U74" s="18"/>
      <c r="V74" s="18"/>
      <c r="W74" s="18">
        <f t="shared" ca="1" si="7"/>
        <v>2881126.4156676093</v>
      </c>
    </row>
    <row r="75" spans="1:23" x14ac:dyDescent="0.25">
      <c r="A75" s="3">
        <f>'Monthly Data'!A75</f>
        <v>44228</v>
      </c>
      <c r="B75" s="1">
        <f t="shared" si="9"/>
        <v>2021</v>
      </c>
      <c r="C75" s="1">
        <f t="shared" si="10"/>
        <v>2</v>
      </c>
      <c r="D75" s="259">
        <f ca="1">'Monthly Data'!X75</f>
        <v>2497146.4742054013</v>
      </c>
      <c r="E75" s="269">
        <f t="shared" ca="1" si="11"/>
        <v>341.39751811594203</v>
      </c>
      <c r="F75" s="269">
        <f t="shared" ca="1" si="11"/>
        <v>0</v>
      </c>
      <c r="G75" s="269">
        <f>'Monthly Data'!BL75</f>
        <v>373.45416666666665</v>
      </c>
      <c r="H75" s="269">
        <f>'Monthly Data'!BG75</f>
        <v>0</v>
      </c>
      <c r="I75" s="269">
        <f>'Monthly Data'!CC75</f>
        <v>74</v>
      </c>
      <c r="J75" s="269">
        <f>'Monthly Data'!CD75</f>
        <v>28</v>
      </c>
      <c r="K75" s="269">
        <f>'Monthly Data'!CG75</f>
        <v>0.5</v>
      </c>
      <c r="L75" s="269">
        <f>'Monthly Data'!CB75</f>
        <v>0</v>
      </c>
      <c r="M75" s="269">
        <f>'Monthly Data'!AX75</f>
        <v>12705</v>
      </c>
      <c r="O75" s="18"/>
      <c r="P75" s="18">
        <f ca="1">(E75-G75)*'Large Use Predicted Monthly'!$Z$11</f>
        <v>-13220.078854104235</v>
      </c>
      <c r="Q75" s="18">
        <f ca="1">(F75-H75)*'Large Use Predicted Monthly'!$Z$12</f>
        <v>0</v>
      </c>
      <c r="R75" s="18"/>
      <c r="S75" s="18"/>
      <c r="T75" s="18"/>
      <c r="U75" s="18"/>
      <c r="V75" s="18"/>
      <c r="W75" s="18">
        <f t="shared" ca="1" si="7"/>
        <v>2483926.3953512972</v>
      </c>
    </row>
    <row r="76" spans="1:23" x14ac:dyDescent="0.25">
      <c r="A76" s="3">
        <f>'Monthly Data'!A76</f>
        <v>44256</v>
      </c>
      <c r="B76" s="1">
        <f t="shared" si="9"/>
        <v>2021</v>
      </c>
      <c r="C76" s="1">
        <f t="shared" si="10"/>
        <v>3</v>
      </c>
      <c r="D76" s="259">
        <f ca="1">'Monthly Data'!X76</f>
        <v>3029704.918719762</v>
      </c>
      <c r="E76" s="269">
        <f t="shared" ca="1" si="11"/>
        <v>238.57840579710145</v>
      </c>
      <c r="F76" s="269">
        <f t="shared" ca="1" si="11"/>
        <v>0</v>
      </c>
      <c r="G76" s="269">
        <f>'Monthly Data'!BL76</f>
        <v>194.65054347826086</v>
      </c>
      <c r="H76" s="269">
        <f>'Monthly Data'!BG76</f>
        <v>0</v>
      </c>
      <c r="I76" s="269">
        <f>'Monthly Data'!CC76</f>
        <v>75</v>
      </c>
      <c r="J76" s="269">
        <f>'Monthly Data'!CD76</f>
        <v>31</v>
      </c>
      <c r="K76" s="269">
        <f>'Monthly Data'!CG76</f>
        <v>0.5</v>
      </c>
      <c r="L76" s="269">
        <f>'Monthly Data'!CB76</f>
        <v>1</v>
      </c>
      <c r="M76" s="269">
        <f>'Monthly Data'!AX76</f>
        <v>12705</v>
      </c>
      <c r="O76" s="18"/>
      <c r="P76" s="18">
        <f ca="1">(E76-G76)*'Large Use Predicted Monthly'!$Z$11</f>
        <v>18115.736672484429</v>
      </c>
      <c r="Q76" s="18">
        <f ca="1">(F76-H76)*'Large Use Predicted Monthly'!$Z$12</f>
        <v>0</v>
      </c>
      <c r="R76" s="18"/>
      <c r="S76" s="18"/>
      <c r="T76" s="18"/>
      <c r="U76" s="18"/>
      <c r="V76" s="18"/>
      <c r="W76" s="18">
        <f t="shared" ca="1" si="7"/>
        <v>3047820.6553922463</v>
      </c>
    </row>
    <row r="77" spans="1:23" x14ac:dyDescent="0.25">
      <c r="A77" s="3">
        <f>'Monthly Data'!A77</f>
        <v>44287</v>
      </c>
      <c r="B77" s="1">
        <f t="shared" si="9"/>
        <v>2021</v>
      </c>
      <c r="C77" s="1">
        <f t="shared" si="10"/>
        <v>4</v>
      </c>
      <c r="D77" s="259">
        <f ca="1">'Monthly Data'!X77</f>
        <v>2753401.3632341232</v>
      </c>
      <c r="E77" s="269">
        <f t="shared" ca="1" si="11"/>
        <v>79.984412878787879</v>
      </c>
      <c r="F77" s="269">
        <f t="shared" ca="1" si="11"/>
        <v>2.1908333333333347</v>
      </c>
      <c r="G77" s="269">
        <f>'Monthly Data'!BL77</f>
        <v>60.454166666666659</v>
      </c>
      <c r="H77" s="269">
        <f>'Monthly Data'!BG77</f>
        <v>3.7083333333333339</v>
      </c>
      <c r="I77" s="269">
        <f>'Monthly Data'!CC77</f>
        <v>76</v>
      </c>
      <c r="J77" s="269">
        <f>'Monthly Data'!CD77</f>
        <v>30</v>
      </c>
      <c r="K77" s="269">
        <f>'Monthly Data'!CG77</f>
        <v>0.5</v>
      </c>
      <c r="L77" s="269">
        <f>'Monthly Data'!CB77</f>
        <v>1</v>
      </c>
      <c r="M77" s="269">
        <f>'Monthly Data'!AX77</f>
        <v>-6066</v>
      </c>
      <c r="O77" s="18"/>
      <c r="P77" s="18">
        <f ca="1">(E77-G77)*'Large Use Predicted Monthly'!$Z$11</f>
        <v>8054.22296581521</v>
      </c>
      <c r="Q77" s="18">
        <f ca="1">(F77-H77)*'Large Use Predicted Monthly'!$Z$12</f>
        <v>-2737.7268974424442</v>
      </c>
      <c r="R77" s="18"/>
      <c r="S77" s="18"/>
      <c r="T77" s="18"/>
      <c r="U77" s="18"/>
      <c r="V77" s="18"/>
      <c r="W77" s="18">
        <f t="shared" ca="1" si="7"/>
        <v>2758717.8593024961</v>
      </c>
    </row>
    <row r="78" spans="1:23" x14ac:dyDescent="0.25">
      <c r="A78" s="3">
        <f>'Monthly Data'!A78</f>
        <v>44317</v>
      </c>
      <c r="B78" s="1">
        <f t="shared" si="9"/>
        <v>2021</v>
      </c>
      <c r="C78" s="1">
        <f t="shared" si="10"/>
        <v>5</v>
      </c>
      <c r="D78" s="259">
        <f ca="1">'Monthly Data'!X78</f>
        <v>2873180.807748484</v>
      </c>
      <c r="E78" s="269">
        <f t="shared" ca="1" si="11"/>
        <v>7.2018333333333331</v>
      </c>
      <c r="F78" s="269">
        <f t="shared" ca="1" si="11"/>
        <v>52.487435064935063</v>
      </c>
      <c r="G78" s="269">
        <f>'Monthly Data'!BL78</f>
        <v>8.125</v>
      </c>
      <c r="H78" s="269">
        <f>'Monthly Data'!BG78</f>
        <v>53.908333333333317</v>
      </c>
      <c r="I78" s="269">
        <f>'Monthly Data'!CC78</f>
        <v>77</v>
      </c>
      <c r="J78" s="269">
        <f>'Monthly Data'!CD78</f>
        <v>31</v>
      </c>
      <c r="K78" s="269">
        <f>'Monthly Data'!CG78</f>
        <v>0.5</v>
      </c>
      <c r="L78" s="269">
        <f>'Monthly Data'!CB78</f>
        <v>1</v>
      </c>
      <c r="M78" s="269">
        <f>'Monthly Data'!AX78</f>
        <v>-6066</v>
      </c>
      <c r="O78" s="18"/>
      <c r="P78" s="18">
        <f ca="1">(E78-G78)*'Large Use Predicted Monthly'!$Z$11</f>
        <v>-380.71154286457767</v>
      </c>
      <c r="Q78" s="18">
        <f ca="1">(F78-H78)*'Large Use Predicted Monthly'!$Z$12</f>
        <v>-2563.4473857814141</v>
      </c>
      <c r="R78" s="18"/>
      <c r="S78" s="18"/>
      <c r="T78" s="18"/>
      <c r="U78" s="18"/>
      <c r="V78" s="18"/>
      <c r="W78" s="18">
        <f t="shared" ca="1" si="7"/>
        <v>2870236.6488198377</v>
      </c>
    </row>
    <row r="79" spans="1:23" x14ac:dyDescent="0.25">
      <c r="A79" s="3">
        <f>'Monthly Data'!A79</f>
        <v>44348</v>
      </c>
      <c r="B79" s="1">
        <f t="shared" si="9"/>
        <v>2021</v>
      </c>
      <c r="C79" s="1">
        <f t="shared" si="10"/>
        <v>6</v>
      </c>
      <c r="D79" s="259">
        <f ca="1">'Monthly Data'!X79</f>
        <v>3095392.2522628447</v>
      </c>
      <c r="E79" s="269">
        <f t="shared" ca="1" si="11"/>
        <v>0</v>
      </c>
      <c r="F79" s="269">
        <f t="shared" ca="1" si="11"/>
        <v>137.65451754405018</v>
      </c>
      <c r="G79" s="269">
        <f>'Monthly Data'!BL79</f>
        <v>0</v>
      </c>
      <c r="H79" s="269">
        <f>'Monthly Data'!BG79</f>
        <v>181.67499999999995</v>
      </c>
      <c r="I79" s="269">
        <f>'Monthly Data'!CC79</f>
        <v>78</v>
      </c>
      <c r="J79" s="269">
        <f>'Monthly Data'!CD79</f>
        <v>30</v>
      </c>
      <c r="K79" s="269">
        <f>'Monthly Data'!CG79</f>
        <v>0.5</v>
      </c>
      <c r="L79" s="269">
        <f>'Monthly Data'!CB79</f>
        <v>0</v>
      </c>
      <c r="M79" s="269">
        <f>'Monthly Data'!AX79</f>
        <v>-6066</v>
      </c>
      <c r="O79" s="18"/>
      <c r="P79" s="18">
        <f ca="1">(E79-G79)*'Large Use Predicted Monthly'!$Z$11</f>
        <v>0</v>
      </c>
      <c r="Q79" s="18">
        <f ca="1">(F79-H79)*'Large Use Predicted Monthly'!$Z$12</f>
        <v>-79417.501718647109</v>
      </c>
      <c r="R79" s="18"/>
      <c r="S79" s="18"/>
      <c r="T79" s="18"/>
      <c r="U79" s="18"/>
      <c r="V79" s="18"/>
      <c r="W79" s="18">
        <f t="shared" ca="1" si="7"/>
        <v>3015974.7505441974</v>
      </c>
    </row>
    <row r="80" spans="1:23" x14ac:dyDescent="0.25">
      <c r="A80" s="3">
        <f>'Monthly Data'!A80</f>
        <v>44378</v>
      </c>
      <c r="B80" s="1">
        <f t="shared" si="9"/>
        <v>2021</v>
      </c>
      <c r="C80" s="1">
        <f t="shared" si="10"/>
        <v>7</v>
      </c>
      <c r="D80" s="259">
        <f ca="1"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Data'!BL80</f>
        <v>0</v>
      </c>
      <c r="H80" s="269">
        <f>'Monthly Data'!BG80</f>
        <v>192.87499999999994</v>
      </c>
      <c r="I80" s="269">
        <f>'Monthly Data'!CC80</f>
        <v>79</v>
      </c>
      <c r="J80" s="269">
        <f>'Monthly Data'!CD80</f>
        <v>31</v>
      </c>
      <c r="K80" s="269">
        <f>'Monthly Data'!CG80</f>
        <v>0.5</v>
      </c>
      <c r="L80" s="269">
        <f>'Monthly Data'!CB80</f>
        <v>0</v>
      </c>
      <c r="M80" s="269">
        <f>'Monthly Data'!AX80</f>
        <v>17046</v>
      </c>
      <c r="O80" s="18"/>
      <c r="P80" s="18">
        <f ca="1">(E80-G80)*'Large Use Predicted Monthly'!$Z$11</f>
        <v>0</v>
      </c>
      <c r="Q80" s="18">
        <f ca="1">(F80-H80)*'Large Use Predicted Monthly'!$Z$12</f>
        <v>77707.024313157497</v>
      </c>
      <c r="R80" s="18"/>
      <c r="S80" s="18"/>
      <c r="T80" s="18"/>
      <c r="U80" s="18"/>
      <c r="V80" s="18"/>
      <c r="W80" s="18">
        <f t="shared" ca="1" si="7"/>
        <v>3310564.7210903633</v>
      </c>
    </row>
    <row r="81" spans="1:23" x14ac:dyDescent="0.25">
      <c r="A81" s="3">
        <f>'Monthly Data'!A81</f>
        <v>44409</v>
      </c>
      <c r="B81" s="1">
        <f t="shared" si="9"/>
        <v>2021</v>
      </c>
      <c r="C81" s="1">
        <f t="shared" si="10"/>
        <v>8</v>
      </c>
      <c r="D81" s="259">
        <f ca="1"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Data'!BL81</f>
        <v>0</v>
      </c>
      <c r="H81" s="269">
        <f>'Monthly Data'!BG81</f>
        <v>266.0625</v>
      </c>
      <c r="I81" s="269">
        <f>'Monthly Data'!CC81</f>
        <v>80</v>
      </c>
      <c r="J81" s="269">
        <f>'Monthly Data'!CD81</f>
        <v>31</v>
      </c>
      <c r="K81" s="269">
        <f>'Monthly Data'!CG81</f>
        <v>0.5</v>
      </c>
      <c r="L81" s="269">
        <f>'Monthly Data'!CB81</f>
        <v>0</v>
      </c>
      <c r="M81" s="269">
        <f>'Monthly Data'!AX81</f>
        <v>17046</v>
      </c>
      <c r="O81" s="18"/>
      <c r="P81" s="18">
        <f ca="1">(E81-G81)*'Large Use Predicted Monthly'!$Z$11</f>
        <v>0</v>
      </c>
      <c r="Q81" s="18">
        <f ca="1">(F81-H81)*'Large Use Predicted Monthly'!$Z$12</f>
        <v>-99400.525930750722</v>
      </c>
      <c r="R81" s="18"/>
      <c r="S81" s="18"/>
      <c r="T81" s="18"/>
      <c r="U81" s="18"/>
      <c r="V81" s="18"/>
      <c r="W81" s="18">
        <f t="shared" ca="1" si="7"/>
        <v>3473101.615360816</v>
      </c>
    </row>
    <row r="82" spans="1:23" x14ac:dyDescent="0.25">
      <c r="A82" s="3">
        <f>'Monthly Data'!A82</f>
        <v>44440</v>
      </c>
      <c r="B82" s="1">
        <f t="shared" si="9"/>
        <v>2021</v>
      </c>
      <c r="C82" s="1">
        <f t="shared" si="10"/>
        <v>9</v>
      </c>
      <c r="D82" s="259">
        <f ca="1"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Data'!BL82</f>
        <v>0</v>
      </c>
      <c r="H82" s="269">
        <f>'Monthly Data'!BG82</f>
        <v>95.25833333333334</v>
      </c>
      <c r="I82" s="269">
        <f>'Monthly Data'!CC82</f>
        <v>81</v>
      </c>
      <c r="J82" s="269">
        <f>'Monthly Data'!CD82</f>
        <v>30</v>
      </c>
      <c r="K82" s="269">
        <f>'Monthly Data'!CG82</f>
        <v>0.5</v>
      </c>
      <c r="L82" s="269">
        <f>'Monthly Data'!CB82</f>
        <v>1</v>
      </c>
      <c r="M82" s="269">
        <f>'Monthly Data'!AX82</f>
        <v>17046</v>
      </c>
      <c r="O82" s="18"/>
      <c r="P82" s="18">
        <f ca="1">(E82-G82)*'Large Use Predicted Monthly'!$Z$11</f>
        <v>0</v>
      </c>
      <c r="Q82" s="18">
        <f ca="1">(F82-H82)*'Large Use Predicted Monthly'!$Z$12</f>
        <v>20129.605758166181</v>
      </c>
      <c r="R82" s="18"/>
      <c r="S82" s="18"/>
      <c r="T82" s="18"/>
      <c r="U82" s="18"/>
      <c r="V82" s="18"/>
      <c r="W82" s="18">
        <f t="shared" ca="1" si="7"/>
        <v>3279718.1915640943</v>
      </c>
    </row>
    <row r="83" spans="1:23" x14ac:dyDescent="0.25">
      <c r="A83" s="3">
        <f>'Monthly Data'!A83</f>
        <v>44470</v>
      </c>
      <c r="B83" s="1">
        <f t="shared" si="9"/>
        <v>2021</v>
      </c>
      <c r="C83" s="1">
        <f t="shared" si="10"/>
        <v>10</v>
      </c>
      <c r="D83" s="259">
        <f ca="1"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Data'!BL83</f>
        <v>6.6666666666666643</v>
      </c>
      <c r="H83" s="269">
        <f>'Monthly Data'!BG83</f>
        <v>44.562500000000028</v>
      </c>
      <c r="I83" s="269">
        <f>'Monthly Data'!CC83</f>
        <v>82</v>
      </c>
      <c r="J83" s="269">
        <f>'Monthly Data'!CD83</f>
        <v>31</v>
      </c>
      <c r="K83" s="269">
        <f>'Monthly Data'!CG83</f>
        <v>0.5</v>
      </c>
      <c r="L83" s="269">
        <f>'Monthly Data'!CB83</f>
        <v>1</v>
      </c>
      <c r="M83" s="269">
        <f>'Monthly Data'!AX83</f>
        <v>18833</v>
      </c>
      <c r="O83" s="18"/>
      <c r="P83" s="18">
        <f ca="1">(E83-G83)*'Large Use Predicted Monthly'!$Z$11</f>
        <v>7462.2190798818483</v>
      </c>
      <c r="Q83" s="18">
        <f ca="1">(F83-H83)*'Large Use Predicted Monthly'!$Z$12</f>
        <v>-47944.799353590555</v>
      </c>
      <c r="R83" s="18"/>
      <c r="S83" s="18"/>
      <c r="T83" s="18"/>
      <c r="U83" s="18"/>
      <c r="V83" s="18"/>
      <c r="W83" s="18">
        <f t="shared" ca="1" si="7"/>
        <v>3088048.4500465798</v>
      </c>
    </row>
    <row r="84" spans="1:23" x14ac:dyDescent="0.25">
      <c r="A84" s="3">
        <f>'Monthly Data'!A84</f>
        <v>44501</v>
      </c>
      <c r="B84" s="1">
        <f t="shared" si="9"/>
        <v>2021</v>
      </c>
      <c r="C84" s="1">
        <f t="shared" si="10"/>
        <v>11</v>
      </c>
      <c r="D84" s="259">
        <f ca="1"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Data'!BL84</f>
        <v>148.50427018633536</v>
      </c>
      <c r="H84" s="269">
        <f>'Monthly Data'!BG84</f>
        <v>0</v>
      </c>
      <c r="I84" s="269">
        <f>'Monthly Data'!CC84</f>
        <v>83</v>
      </c>
      <c r="J84" s="269">
        <f>'Monthly Data'!CD84</f>
        <v>30</v>
      </c>
      <c r="K84" s="269">
        <f>'Monthly Data'!CG84</f>
        <v>0.5</v>
      </c>
      <c r="L84" s="269">
        <f>'Monthly Data'!CB84</f>
        <v>1</v>
      </c>
      <c r="M84" s="269">
        <f>'Monthly Data'!AX84</f>
        <v>18833</v>
      </c>
      <c r="O84" s="18"/>
      <c r="P84" s="18">
        <f ca="1">(E84-G84)*'Large Use Predicted Monthly'!$Z$11</f>
        <v>-3497.3800765453198</v>
      </c>
      <c r="Q84" s="18">
        <f ca="1">(F84-H84)*'Large Use Predicted Monthly'!$Z$12</f>
        <v>1458.3169085772493</v>
      </c>
      <c r="R84" s="18"/>
      <c r="S84" s="18"/>
      <c r="T84" s="18"/>
      <c r="U84" s="18"/>
      <c r="V84" s="18"/>
      <c r="W84" s="18">
        <f t="shared" ca="1" si="7"/>
        <v>3068940.4116666815</v>
      </c>
    </row>
    <row r="85" spans="1:23" x14ac:dyDescent="0.25">
      <c r="A85" s="3">
        <f>'Monthly Data'!A85</f>
        <v>44531</v>
      </c>
      <c r="B85" s="1">
        <f t="shared" si="9"/>
        <v>2021</v>
      </c>
      <c r="C85" s="1">
        <f t="shared" si="10"/>
        <v>12</v>
      </c>
      <c r="D85" s="259">
        <f ca="1"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Data'!BL85</f>
        <v>225.45833333333331</v>
      </c>
      <c r="H85" s="269">
        <f>'Monthly Data'!BG85</f>
        <v>0</v>
      </c>
      <c r="I85" s="269">
        <f>'Monthly Data'!CC85</f>
        <v>84</v>
      </c>
      <c r="J85" s="269">
        <f>'Monthly Data'!CD85</f>
        <v>31</v>
      </c>
      <c r="K85" s="269">
        <f>'Monthly Data'!CG85</f>
        <v>0.5</v>
      </c>
      <c r="L85" s="269">
        <f>'Monthly Data'!CB85</f>
        <v>0</v>
      </c>
      <c r="M85" s="269">
        <f>'Monthly Data'!AX85</f>
        <v>18833</v>
      </c>
      <c r="O85" s="18"/>
      <c r="P85" s="18">
        <f ca="1">(E85-G85)*'Large Use Predicted Monthly'!$Z$11</f>
        <v>17923.680508830261</v>
      </c>
      <c r="Q85" s="18">
        <f ca="1">(F85-H85)*'Large Use Predicted Monthly'!$Z$12</f>
        <v>0</v>
      </c>
      <c r="R85" s="18"/>
      <c r="S85" s="18"/>
      <c r="T85" s="18"/>
      <c r="U85" s="18"/>
      <c r="V85" s="18"/>
      <c r="W85" s="18">
        <f t="shared" ca="1" si="7"/>
        <v>3111847.5998578407</v>
      </c>
    </row>
    <row r="86" spans="1:23" x14ac:dyDescent="0.25">
      <c r="A86" s="3">
        <f>'Monthly Data'!A86</f>
        <v>44562</v>
      </c>
      <c r="B86" s="1">
        <f t="shared" si="9"/>
        <v>2022</v>
      </c>
      <c r="C86" s="1">
        <f t="shared" si="10"/>
        <v>1</v>
      </c>
      <c r="D86" s="259">
        <f ca="1"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Data'!BL86</f>
        <v>515.49166666666679</v>
      </c>
      <c r="H86" s="269">
        <f>'Monthly Data'!BG86</f>
        <v>0</v>
      </c>
      <c r="I86" s="269">
        <f>'Monthly Data'!CC86</f>
        <v>85</v>
      </c>
      <c r="J86" s="269">
        <f>'Monthly Data'!CD86</f>
        <v>31</v>
      </c>
      <c r="K86" s="269">
        <f>'Monthly Data'!CG86</f>
        <v>0.25</v>
      </c>
      <c r="L86" s="269">
        <f>'Monthly Data'!CB86</f>
        <v>0</v>
      </c>
      <c r="M86" s="269">
        <f>'Monthly Data'!AX86</f>
        <v>6821</v>
      </c>
      <c r="O86" s="18"/>
      <c r="P86" s="18">
        <f ca="1">(E86-G86)*'Large Use Predicted Monthly'!$Z$11</f>
        <v>-52851.813675088197</v>
      </c>
      <c r="Q86" s="18">
        <f ca="1">(F86-H86)*'Large Use Predicted Monthly'!$Z$12</f>
        <v>0</v>
      </c>
      <c r="R86" s="18"/>
      <c r="S86" s="18"/>
      <c r="T86" s="18"/>
      <c r="U86" s="18"/>
      <c r="V86" s="18"/>
      <c r="W86" s="18">
        <f t="shared" ca="1" si="7"/>
        <v>2998054.7743317531</v>
      </c>
    </row>
    <row r="87" spans="1:23" x14ac:dyDescent="0.25">
      <c r="A87" s="3">
        <f>'Monthly Data'!A87</f>
        <v>44593</v>
      </c>
      <c r="B87" s="1">
        <f t="shared" si="9"/>
        <v>2022</v>
      </c>
      <c r="C87" s="1">
        <f t="shared" si="10"/>
        <v>2</v>
      </c>
      <c r="D87" s="259">
        <f ca="1"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Data'!BL87</f>
        <v>356.85</v>
      </c>
      <c r="H87" s="269">
        <f>'Monthly Data'!BG87</f>
        <v>0</v>
      </c>
      <c r="I87" s="269">
        <f>'Monthly Data'!CC87</f>
        <v>86</v>
      </c>
      <c r="J87" s="269">
        <f>'Monthly Data'!CD87</f>
        <v>28</v>
      </c>
      <c r="K87" s="269">
        <f>'Monthly Data'!CG87</f>
        <v>0.25</v>
      </c>
      <c r="L87" s="269">
        <f>'Monthly Data'!CB87</f>
        <v>0</v>
      </c>
      <c r="M87" s="269">
        <f>'Monthly Data'!AX87</f>
        <v>6821</v>
      </c>
      <c r="O87" s="18"/>
      <c r="P87" s="18">
        <f ca="1">(E87-G87)*'Large Use Predicted Monthly'!$Z$11</f>
        <v>-6372.5635159775957</v>
      </c>
      <c r="Q87" s="18">
        <f ca="1">(F87-H87)*'Large Use Predicted Monthly'!$Z$12</f>
        <v>0</v>
      </c>
      <c r="R87" s="18"/>
      <c r="S87" s="18"/>
      <c r="T87" s="18"/>
      <c r="U87" s="18"/>
      <c r="V87" s="18"/>
      <c r="W87" s="18">
        <f t="shared" ca="1" si="7"/>
        <v>2722667.106289106</v>
      </c>
    </row>
    <row r="88" spans="1:23" x14ac:dyDescent="0.25">
      <c r="A88" s="3">
        <f>'Monthly Data'!A88</f>
        <v>44621</v>
      </c>
      <c r="B88" s="1">
        <f t="shared" si="9"/>
        <v>2022</v>
      </c>
      <c r="C88" s="1">
        <f t="shared" si="10"/>
        <v>3</v>
      </c>
      <c r="D88" s="259">
        <f ca="1"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Data'!BL88</f>
        <v>236.04166666666666</v>
      </c>
      <c r="H88" s="269">
        <f>'Monthly Data'!BG88</f>
        <v>0</v>
      </c>
      <c r="I88" s="269">
        <f>'Monthly Data'!CC88</f>
        <v>87</v>
      </c>
      <c r="J88" s="269">
        <f>'Monthly Data'!CD88</f>
        <v>31</v>
      </c>
      <c r="K88" s="269">
        <f>'Monthly Data'!CG88</f>
        <v>0.25</v>
      </c>
      <c r="L88" s="269">
        <f>'Monthly Data'!CB88</f>
        <v>1</v>
      </c>
      <c r="M88" s="269">
        <f>'Monthly Data'!AX88</f>
        <v>6821</v>
      </c>
      <c r="O88" s="18"/>
      <c r="P88" s="18">
        <f ca="1">(E88-G88)*'Large Use Predicted Monthly'!$Z$11</f>
        <v>1046.1446487013302</v>
      </c>
      <c r="Q88" s="18">
        <f ca="1">(F88-H88)*'Large Use Predicted Monthly'!$Z$12</f>
        <v>0</v>
      </c>
      <c r="R88" s="18"/>
      <c r="S88" s="18"/>
      <c r="T88" s="18"/>
      <c r="U88" s="18"/>
      <c r="V88" s="18"/>
      <c r="W88" s="18">
        <f t="shared" ca="1" si="7"/>
        <v>3181514.8962520268</v>
      </c>
    </row>
    <row r="89" spans="1:23" x14ac:dyDescent="0.25">
      <c r="A89" s="3">
        <f>'Monthly Data'!A89</f>
        <v>44652</v>
      </c>
      <c r="B89" s="1">
        <f t="shared" si="9"/>
        <v>2022</v>
      </c>
      <c r="C89" s="1">
        <f t="shared" si="10"/>
        <v>4</v>
      </c>
      <c r="D89" s="259">
        <f ca="1"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Data'!BL89</f>
        <v>75.575000000000003</v>
      </c>
      <c r="H89" s="269">
        <f>'Monthly Data'!BG89</f>
        <v>0</v>
      </c>
      <c r="I89" s="269">
        <f>'Monthly Data'!CC89</f>
        <v>88</v>
      </c>
      <c r="J89" s="269">
        <f>'Monthly Data'!CD89</f>
        <v>30</v>
      </c>
      <c r="K89" s="269">
        <f>'Monthly Data'!CG89</f>
        <v>0.25</v>
      </c>
      <c r="L89" s="269">
        <f>'Monthly Data'!CB89</f>
        <v>1</v>
      </c>
      <c r="M89" s="269">
        <f>'Monthly Data'!AX89</f>
        <v>6403</v>
      </c>
      <c r="O89" s="18"/>
      <c r="P89" s="18">
        <f ca="1">(E89-G89)*'Large Use Predicted Monthly'!$Z$11</f>
        <v>1818.4304533781592</v>
      </c>
      <c r="Q89" s="18">
        <f ca="1">(F89-H89)*'Large Use Predicted Monthly'!$Z$12</f>
        <v>3952.4898480923639</v>
      </c>
      <c r="R89" s="18"/>
      <c r="S89" s="18"/>
      <c r="T89" s="18"/>
      <c r="U89" s="18"/>
      <c r="V89" s="18"/>
      <c r="W89" s="18">
        <f t="shared" ca="1" si="7"/>
        <v>3009819.7537030382</v>
      </c>
    </row>
    <row r="90" spans="1:23" x14ac:dyDescent="0.25">
      <c r="A90" s="3">
        <f>'Monthly Data'!A90</f>
        <v>44682</v>
      </c>
      <c r="B90" s="1">
        <f t="shared" si="9"/>
        <v>2022</v>
      </c>
      <c r="C90" s="1">
        <f t="shared" si="10"/>
        <v>5</v>
      </c>
      <c r="D90" s="259">
        <f ca="1"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Data'!BL90</f>
        <v>0</v>
      </c>
      <c r="H90" s="269">
        <f>'Monthly Data'!BG90</f>
        <v>72.362499999999997</v>
      </c>
      <c r="I90" s="269">
        <f>'Monthly Data'!CC90</f>
        <v>89</v>
      </c>
      <c r="J90" s="269">
        <f>'Monthly Data'!CD90</f>
        <v>31</v>
      </c>
      <c r="K90" s="269">
        <f>'Monthly Data'!CG90</f>
        <v>0.25</v>
      </c>
      <c r="L90" s="269">
        <f>'Monthly Data'!CB90</f>
        <v>1</v>
      </c>
      <c r="M90" s="269">
        <f>'Monthly Data'!AX90</f>
        <v>6403</v>
      </c>
      <c r="O90" s="18"/>
      <c r="P90" s="18">
        <f ca="1">(E90-G90)*'Large Use Predicted Monthly'!$Z$11</f>
        <v>2970.0174180756921</v>
      </c>
      <c r="Q90" s="18">
        <f ca="1">(F90-H90)*'Large Use Predicted Monthly'!$Z$12</f>
        <v>-35856.672066650717</v>
      </c>
      <c r="R90" s="18"/>
      <c r="S90" s="18"/>
      <c r="T90" s="18"/>
      <c r="U90" s="18"/>
      <c r="V90" s="18"/>
      <c r="W90" s="18">
        <f t="shared" ca="1" si="7"/>
        <v>3079720.2605512347</v>
      </c>
    </row>
    <row r="91" spans="1:23" x14ac:dyDescent="0.25">
      <c r="A91" s="3">
        <f>'Monthly Data'!A91</f>
        <v>44713</v>
      </c>
      <c r="B91" s="1">
        <f t="shared" si="9"/>
        <v>2022</v>
      </c>
      <c r="C91" s="1">
        <f t="shared" si="10"/>
        <v>6</v>
      </c>
      <c r="D91" s="259">
        <f ca="1"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Data'!BL91</f>
        <v>0</v>
      </c>
      <c r="H91" s="269">
        <f>'Monthly Data'!BG91</f>
        <v>120.92250416250417</v>
      </c>
      <c r="I91" s="269">
        <f>'Monthly Data'!CC91</f>
        <v>90</v>
      </c>
      <c r="J91" s="269">
        <f>'Monthly Data'!CD91</f>
        <v>30</v>
      </c>
      <c r="K91" s="269">
        <f>'Monthly Data'!CG91</f>
        <v>0.25</v>
      </c>
      <c r="L91" s="269">
        <f>'Monthly Data'!CB91</f>
        <v>0</v>
      </c>
      <c r="M91" s="269">
        <f>'Monthly Data'!AX91</f>
        <v>6403</v>
      </c>
      <c r="O91" s="18"/>
      <c r="P91" s="18">
        <f ca="1">(E91-G91)*'Large Use Predicted Monthly'!$Z$11</f>
        <v>0</v>
      </c>
      <c r="Q91" s="18">
        <f ca="1">(F91-H91)*'Large Use Predicted Monthly'!$Z$12</f>
        <v>30186.282097545598</v>
      </c>
      <c r="R91" s="18"/>
      <c r="S91" s="18"/>
      <c r="T91" s="18"/>
      <c r="U91" s="18"/>
      <c r="V91" s="18"/>
      <c r="W91" s="18">
        <f t="shared" ca="1" si="7"/>
        <v>3131412.2790955976</v>
      </c>
    </row>
    <row r="92" spans="1:23" x14ac:dyDescent="0.25">
      <c r="A92" s="3">
        <f>'Monthly Data'!A92</f>
        <v>44743</v>
      </c>
      <c r="B92" s="1">
        <f t="shared" si="9"/>
        <v>2022</v>
      </c>
      <c r="C92" s="1">
        <f t="shared" si="10"/>
        <v>7</v>
      </c>
      <c r="D92" s="259">
        <f ca="1"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Data'!BL92</f>
        <v>0</v>
      </c>
      <c r="H92" s="269">
        <f>'Monthly Data'!BG92</f>
        <v>221.8543382913806</v>
      </c>
      <c r="I92" s="269">
        <f>'Monthly Data'!CC92</f>
        <v>91</v>
      </c>
      <c r="J92" s="269">
        <f>'Monthly Data'!CD92</f>
        <v>31</v>
      </c>
      <c r="K92" s="269">
        <f>'Monthly Data'!CG92</f>
        <v>0.25</v>
      </c>
      <c r="L92" s="269">
        <f>'Monthly Data'!CB92</f>
        <v>0</v>
      </c>
      <c r="M92" s="269">
        <f>'Monthly Data'!AX92</f>
        <v>1358</v>
      </c>
      <c r="O92" s="18"/>
      <c r="P92" s="18">
        <f ca="1">(E92-G92)*'Large Use Predicted Monthly'!$Z$11</f>
        <v>0</v>
      </c>
      <c r="Q92" s="18">
        <f ca="1">(F92-H92)*'Large Use Predicted Monthly'!$Z$12</f>
        <v>25425.301802187721</v>
      </c>
      <c r="R92" s="18"/>
      <c r="S92" s="18"/>
      <c r="T92" s="18"/>
      <c r="U92" s="18"/>
      <c r="V92" s="18"/>
      <c r="W92" s="18">
        <f t="shared" ca="1" si="7"/>
        <v>2843441.3805984817</v>
      </c>
    </row>
    <row r="93" spans="1:23" x14ac:dyDescent="0.25">
      <c r="A93" s="3">
        <f>'Monthly Data'!A93</f>
        <v>44774</v>
      </c>
      <c r="B93" s="1">
        <f t="shared" si="9"/>
        <v>2022</v>
      </c>
      <c r="C93" s="1">
        <f t="shared" si="10"/>
        <v>8</v>
      </c>
      <c r="D93" s="259">
        <f ca="1"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Data'!BL93</f>
        <v>0</v>
      </c>
      <c r="H93" s="269">
        <f>'Monthly Data'!BG93</f>
        <v>228.28333333333333</v>
      </c>
      <c r="I93" s="269">
        <f>'Monthly Data'!CC93</f>
        <v>92</v>
      </c>
      <c r="J93" s="269">
        <f>'Monthly Data'!CD93</f>
        <v>31</v>
      </c>
      <c r="K93" s="269">
        <f>'Monthly Data'!CG93</f>
        <v>0.25</v>
      </c>
      <c r="L93" s="269">
        <f>'Monthly Data'!CB93</f>
        <v>0</v>
      </c>
      <c r="M93" s="269">
        <f>'Monthly Data'!AX93</f>
        <v>1358</v>
      </c>
      <c r="O93" s="18"/>
      <c r="P93" s="18">
        <f ca="1">(E93-G93)*'Large Use Predicted Monthly'!$Z$11</f>
        <v>0</v>
      </c>
      <c r="Q93" s="18">
        <f ca="1">(F93-H93)*'Large Use Predicted Monthly'!$Z$12</f>
        <v>-31243.003198431506</v>
      </c>
      <c r="R93" s="18"/>
      <c r="S93" s="18"/>
      <c r="T93" s="18"/>
      <c r="U93" s="18"/>
      <c r="V93" s="18"/>
      <c r="W93" s="18">
        <f t="shared" ca="1" si="7"/>
        <v>2725143.1573961047</v>
      </c>
    </row>
    <row r="94" spans="1:23" x14ac:dyDescent="0.25">
      <c r="A94" s="3">
        <f>'Monthly Data'!A94</f>
        <v>44805</v>
      </c>
      <c r="B94" s="1">
        <f t="shared" si="9"/>
        <v>2022</v>
      </c>
      <c r="C94" s="1">
        <f t="shared" si="10"/>
        <v>9</v>
      </c>
      <c r="D94" s="259">
        <f ca="1">'Monthly Data'!X94</f>
        <v>2775798.2423927784</v>
      </c>
      <c r="E94" s="269">
        <f t="shared" ref="E94:F113" ca="1" si="12">E82</f>
        <v>0</v>
      </c>
      <c r="F94" s="269">
        <f t="shared" ca="1" si="12"/>
        <v>106.4160119047619</v>
      </c>
      <c r="G94" s="269">
        <f>'Monthly Data'!BL94</f>
        <v>0</v>
      </c>
      <c r="H94" s="269">
        <f>'Monthly Data'!BG94</f>
        <v>94.054166666666674</v>
      </c>
      <c r="I94" s="269">
        <f>'Monthly Data'!CC94</f>
        <v>93</v>
      </c>
      <c r="J94" s="269">
        <f>'Monthly Data'!CD94</f>
        <v>30</v>
      </c>
      <c r="K94" s="269">
        <f>'Monthly Data'!CG94</f>
        <v>0.25</v>
      </c>
      <c r="L94" s="269">
        <f>'Monthly Data'!CB94</f>
        <v>1</v>
      </c>
      <c r="M94" s="269">
        <f>'Monthly Data'!AX94</f>
        <v>1358</v>
      </c>
      <c r="O94" s="18"/>
      <c r="P94" s="18">
        <f ca="1">(E94-G94)*'Large Use Predicted Monthly'!$Z$11</f>
        <v>0</v>
      </c>
      <c r="Q94" s="18">
        <f ca="1">(F94-H94)*'Large Use Predicted Monthly'!$Z$12</f>
        <v>22302.046926098268</v>
      </c>
      <c r="R94" s="18"/>
      <c r="S94" s="18"/>
      <c r="T94" s="18"/>
      <c r="U94" s="18"/>
      <c r="V94" s="18"/>
      <c r="W94" s="18">
        <f t="shared" ca="1" si="7"/>
        <v>2798100.2893188768</v>
      </c>
    </row>
    <row r="95" spans="1:23" x14ac:dyDescent="0.25">
      <c r="A95" s="3">
        <f>'Monthly Data'!A95</f>
        <v>44835</v>
      </c>
      <c r="B95" s="1">
        <f t="shared" si="9"/>
        <v>2022</v>
      </c>
      <c r="C95" s="1">
        <f t="shared" si="10"/>
        <v>10</v>
      </c>
      <c r="D95" s="259">
        <f ca="1">'Monthly Data'!X95</f>
        <v>2678660.3241910203</v>
      </c>
      <c r="E95" s="269">
        <f t="shared" ca="1" si="12"/>
        <v>24.76139492753623</v>
      </c>
      <c r="F95" s="269">
        <f t="shared" ca="1" si="12"/>
        <v>17.987083333333334</v>
      </c>
      <c r="G95" s="269">
        <f>'Monthly Data'!BL95</f>
        <v>23.659782608695654</v>
      </c>
      <c r="H95" s="269">
        <f>'Monthly Data'!BG95</f>
        <v>2.4208333333333307</v>
      </c>
      <c r="I95" s="269">
        <f>'Monthly Data'!CC95</f>
        <v>94</v>
      </c>
      <c r="J95" s="269">
        <f>'Monthly Data'!CD95</f>
        <v>31</v>
      </c>
      <c r="K95" s="269">
        <f>'Monthly Data'!CG95</f>
        <v>0.25</v>
      </c>
      <c r="L95" s="269">
        <f>'Monthly Data'!CB95</f>
        <v>1</v>
      </c>
      <c r="M95" s="269">
        <f>'Monthly Data'!AX95</f>
        <v>-950</v>
      </c>
      <c r="O95" s="18"/>
      <c r="P95" s="18">
        <f ca="1">(E95-G95)*'Large Use Predicted Monthly'!$Z$11</f>
        <v>454.30206774986902</v>
      </c>
      <c r="Q95" s="18">
        <f ca="1">(F95-H95)*'Large Use Predicted Monthly'!$Z$12</f>
        <v>28083.124426565722</v>
      </c>
      <c r="R95" s="18"/>
      <c r="S95" s="18"/>
      <c r="T95" s="18"/>
      <c r="U95" s="18"/>
      <c r="V95" s="18"/>
      <c r="W95" s="18">
        <f t="shared" ca="1" si="7"/>
        <v>2707197.7506853356</v>
      </c>
    </row>
    <row r="96" spans="1:23" x14ac:dyDescent="0.25">
      <c r="A96" s="3">
        <f>'Monthly Data'!A96</f>
        <v>44866</v>
      </c>
      <c r="B96" s="1">
        <f t="shared" si="9"/>
        <v>2022</v>
      </c>
      <c r="C96" s="1">
        <f t="shared" si="10"/>
        <v>11</v>
      </c>
      <c r="D96" s="259">
        <f ca="1"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Data'!BL96</f>
        <v>138.80000000000001</v>
      </c>
      <c r="H96" s="269">
        <f>'Monthly Data'!BG96</f>
        <v>2.3083333333333318</v>
      </c>
      <c r="I96" s="269">
        <f>'Monthly Data'!CC96</f>
        <v>95</v>
      </c>
      <c r="J96" s="269">
        <f>'Monthly Data'!CD96</f>
        <v>30</v>
      </c>
      <c r="K96" s="269">
        <f>'Monthly Data'!CG96</f>
        <v>0.25</v>
      </c>
      <c r="L96" s="269">
        <f>'Monthly Data'!CB96</f>
        <v>1</v>
      </c>
      <c r="M96" s="269">
        <f>'Monthly Data'!AX96</f>
        <v>-950</v>
      </c>
      <c r="O96" s="18"/>
      <c r="P96" s="18">
        <f ca="1">(E96-G96)*'Large Use Predicted Monthly'!$Z$11</f>
        <v>504.63581984152177</v>
      </c>
      <c r="Q96" s="18">
        <f ca="1">(F96-H96)*'Large Use Predicted Monthly'!$Z$12</f>
        <v>-2706.155088081493</v>
      </c>
      <c r="R96" s="18"/>
      <c r="S96" s="18"/>
      <c r="T96" s="18"/>
      <c r="U96" s="18"/>
      <c r="V96" s="18"/>
      <c r="W96" s="18">
        <f t="shared" ca="1" si="7"/>
        <v>2619107.8867210229</v>
      </c>
    </row>
    <row r="97" spans="1:26" x14ac:dyDescent="0.25">
      <c r="A97" s="3">
        <f>'Monthly Data'!A97</f>
        <v>44896</v>
      </c>
      <c r="B97" s="1">
        <f t="shared" si="9"/>
        <v>2022</v>
      </c>
      <c r="C97" s="1">
        <f t="shared" si="10"/>
        <v>12</v>
      </c>
      <c r="D97" s="259">
        <f ca="1"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Data'!BL97</f>
        <v>275.12083333333322</v>
      </c>
      <c r="H97" s="269">
        <f>'Monthly Data'!BG97</f>
        <v>0</v>
      </c>
      <c r="I97" s="269">
        <f>'Monthly Data'!CC97</f>
        <v>96</v>
      </c>
      <c r="J97" s="269">
        <f>'Monthly Data'!CD97</f>
        <v>31</v>
      </c>
      <c r="K97" s="269">
        <f>'Monthly Data'!CG97</f>
        <v>0.25</v>
      </c>
      <c r="L97" s="269">
        <f>'Monthly Data'!CB97</f>
        <v>0</v>
      </c>
      <c r="M97" s="269">
        <f>'Monthly Data'!AX97</f>
        <v>-950</v>
      </c>
      <c r="O97" s="18"/>
      <c r="P97" s="18">
        <f ca="1">(E97-G97)*'Large Use Predicted Monthly'!$Z$11</f>
        <v>-2557.0058939630762</v>
      </c>
      <c r="Q97" s="18">
        <f ca="1">(F97-H97)*'Large Use Predicted Monthly'!$Z$12</f>
        <v>0</v>
      </c>
      <c r="R97" s="18"/>
      <c r="S97" s="18"/>
      <c r="T97" s="18"/>
      <c r="U97" s="18"/>
      <c r="V97" s="18"/>
      <c r="W97" s="18">
        <f t="shared" ca="1" si="7"/>
        <v>2433880.4818935418</v>
      </c>
    </row>
    <row r="98" spans="1:26" x14ac:dyDescent="0.25">
      <c r="A98" s="3">
        <f>'Monthly Data'!A98</f>
        <v>44927</v>
      </c>
      <c r="B98" s="1">
        <f t="shared" si="9"/>
        <v>2023</v>
      </c>
      <c r="C98" s="1">
        <f t="shared" si="10"/>
        <v>1</v>
      </c>
      <c r="D98" s="259">
        <f ca="1"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Data'!BL98</f>
        <v>294.07083333333327</v>
      </c>
      <c r="H98" s="269">
        <f>'Monthly Data'!BG98</f>
        <v>0</v>
      </c>
      <c r="I98" s="269">
        <f>'Monthly Data'!CC98</f>
        <v>97</v>
      </c>
      <c r="J98" s="269">
        <f>'Monthly Data'!CD98</f>
        <v>31</v>
      </c>
      <c r="K98" s="269">
        <f>'Monthly Data'!CG98</f>
        <v>0</v>
      </c>
      <c r="L98" s="269">
        <f>'Monthly Data'!CB98</f>
        <v>0</v>
      </c>
      <c r="M98" s="269">
        <f>'Monthly Data'!AX98</f>
        <v>8629</v>
      </c>
      <c r="O98" s="18"/>
      <c r="P98" s="18">
        <f ca="1">(E98-G98)*'Large Use Predicted Monthly'!$Z$11</f>
        <v>38461.564639438489</v>
      </c>
      <c r="Q98" s="18">
        <f ca="1">(F98-H98)*'Large Use Predicted Monthly'!$Z$12</f>
        <v>0</v>
      </c>
      <c r="R98" s="18"/>
      <c r="S98" s="18"/>
      <c r="T98" s="18"/>
      <c r="U98" s="18"/>
      <c r="V98" s="18"/>
      <c r="W98" s="18">
        <f t="shared" ca="1" si="7"/>
        <v>2796921.0269811302</v>
      </c>
    </row>
    <row r="99" spans="1:26" x14ac:dyDescent="0.25">
      <c r="A99" s="3">
        <f>'Monthly Data'!A99</f>
        <v>44958</v>
      </c>
      <c r="B99" s="1">
        <f t="shared" si="9"/>
        <v>2023</v>
      </c>
      <c r="C99" s="1">
        <f t="shared" si="10"/>
        <v>2</v>
      </c>
      <c r="D99" s="259">
        <f ca="1"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Data'!BL99</f>
        <v>293.51666666666665</v>
      </c>
      <c r="H99" s="269">
        <f>'Monthly Data'!BG99</f>
        <v>0</v>
      </c>
      <c r="I99" s="269">
        <f>'Monthly Data'!CC99</f>
        <v>98</v>
      </c>
      <c r="J99" s="269">
        <f>'Monthly Data'!CD99</f>
        <v>28</v>
      </c>
      <c r="K99" s="269">
        <f>'Monthly Data'!CG99</f>
        <v>0</v>
      </c>
      <c r="L99" s="269">
        <f>'Monthly Data'!CB99</f>
        <v>0</v>
      </c>
      <c r="M99" s="269">
        <f>'Monthly Data'!AX99</f>
        <v>8629</v>
      </c>
      <c r="O99" s="18"/>
      <c r="P99" s="18">
        <f ca="1">(E99-G99)*'Large Use Predicted Monthly'!$Z$11</f>
        <v>19745.939153915806</v>
      </c>
      <c r="Q99" s="18">
        <f ca="1">(F99-H99)*'Large Use Predicted Monthly'!$Z$12</f>
        <v>0</v>
      </c>
      <c r="R99" s="18"/>
      <c r="S99" s="18"/>
      <c r="T99" s="18"/>
      <c r="U99" s="18"/>
      <c r="V99" s="18"/>
      <c r="W99" s="18">
        <f t="shared" ca="1" si="7"/>
        <v>2635976.3487402578</v>
      </c>
    </row>
    <row r="100" spans="1:26" x14ac:dyDescent="0.25">
      <c r="A100" s="3">
        <f>'Monthly Data'!A100</f>
        <v>44986</v>
      </c>
      <c r="B100" s="1">
        <f t="shared" si="9"/>
        <v>2023</v>
      </c>
      <c r="C100" s="1">
        <f t="shared" si="10"/>
        <v>3</v>
      </c>
      <c r="D100" s="259">
        <f ca="1"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Data'!BL100</f>
        <v>241.03333333333333</v>
      </c>
      <c r="H100" s="269">
        <f>'Monthly Data'!BG100</f>
        <v>0</v>
      </c>
      <c r="I100" s="269">
        <f>'Monthly Data'!CC100</f>
        <v>99</v>
      </c>
      <c r="J100" s="269">
        <f>'Monthly Data'!CD100</f>
        <v>31</v>
      </c>
      <c r="K100" s="269">
        <f>'Monthly Data'!CG100</f>
        <v>0</v>
      </c>
      <c r="L100" s="269">
        <f>'Monthly Data'!CB100</f>
        <v>1</v>
      </c>
      <c r="M100" s="269">
        <f>'Monthly Data'!AX100</f>
        <v>8629</v>
      </c>
      <c r="O100" s="18"/>
      <c r="P100" s="18">
        <f ca="1">(E100-G100)*'Large Use Predicted Monthly'!$Z$11</f>
        <v>-1012.405759096849</v>
      </c>
      <c r="Q100" s="18">
        <f ca="1">(F100-H100)*'Large Use Predicted Monthly'!$Z$12</f>
        <v>0</v>
      </c>
      <c r="R100" s="18"/>
      <c r="S100" s="18"/>
      <c r="T100" s="18"/>
      <c r="U100" s="18"/>
      <c r="V100" s="18"/>
      <c r="W100" s="18">
        <f t="shared" ca="1" si="7"/>
        <v>2779578.0785485068</v>
      </c>
      <c r="Y100" s="18"/>
      <c r="Z100" s="276"/>
    </row>
    <row r="101" spans="1:26" x14ac:dyDescent="0.25">
      <c r="A101" s="3">
        <f>'Monthly Data'!A101</f>
        <v>45017</v>
      </c>
      <c r="B101" s="1">
        <f t="shared" si="9"/>
        <v>2023</v>
      </c>
      <c r="C101" s="1">
        <f t="shared" si="10"/>
        <v>4</v>
      </c>
      <c r="D101" s="259">
        <f ca="1"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Data'!BL101</f>
        <v>58.116666666666674</v>
      </c>
      <c r="H101" s="269">
        <f>'Monthly Data'!BG101</f>
        <v>11.71666666666667</v>
      </c>
      <c r="I101" s="269">
        <f>'Monthly Data'!CC101</f>
        <v>100</v>
      </c>
      <c r="J101" s="269">
        <f>'Monthly Data'!CD101</f>
        <v>30</v>
      </c>
      <c r="K101" s="269">
        <f>'Monthly Data'!CG101</f>
        <v>0</v>
      </c>
      <c r="L101" s="269">
        <f>'Monthly Data'!CB101</f>
        <v>1</v>
      </c>
      <c r="M101" s="269">
        <f>'Monthly Data'!AX101</f>
        <v>4845</v>
      </c>
      <c r="O101" s="18"/>
      <c r="P101" s="18">
        <f ca="1">(E101-G101)*'Large Use Predicted Monthly'!$Z$11</f>
        <v>9018.2019130395583</v>
      </c>
      <c r="Q101" s="18">
        <f ca="1">(F101-H101)*'Large Use Predicted Monthly'!$Z$12</f>
        <v>-17185.588228810873</v>
      </c>
      <c r="R101" s="18"/>
      <c r="S101" s="18"/>
      <c r="T101" s="18"/>
      <c r="U101" s="18"/>
      <c r="V101" s="18"/>
      <c r="W101" s="18">
        <f t="shared" ca="1" si="7"/>
        <v>2550759.9761241223</v>
      </c>
      <c r="Y101" s="18"/>
      <c r="Z101" s="276"/>
    </row>
    <row r="102" spans="1:26" x14ac:dyDescent="0.25">
      <c r="A102" s="3">
        <f>'Monthly Data'!A102</f>
        <v>45047</v>
      </c>
      <c r="B102" s="1">
        <f t="shared" si="9"/>
        <v>2023</v>
      </c>
      <c r="C102" s="1">
        <f t="shared" si="10"/>
        <v>5</v>
      </c>
      <c r="D102" s="259">
        <f ca="1"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Data'!BL102</f>
        <v>7.2058333333333309</v>
      </c>
      <c r="H102" s="269">
        <f>'Monthly Data'!BG102</f>
        <v>37.345833333333331</v>
      </c>
      <c r="I102" s="269">
        <f>'Monthly Data'!CC102</f>
        <v>101</v>
      </c>
      <c r="J102" s="269">
        <f>'Monthly Data'!CD102</f>
        <v>31</v>
      </c>
      <c r="K102" s="269">
        <f>'Monthly Data'!CG102</f>
        <v>0</v>
      </c>
      <c r="L102" s="269">
        <f>'Monthly Data'!CB102</f>
        <v>1</v>
      </c>
      <c r="M102" s="269">
        <f>'Monthly Data'!AX102</f>
        <v>4845</v>
      </c>
      <c r="O102" s="18"/>
      <c r="P102" s="18">
        <f ca="1">(E102-G102)*'Large Use Predicted Monthly'!$Z$11</f>
        <v>-1.6495896423081418</v>
      </c>
      <c r="Q102" s="18">
        <f ca="1">(F102-H102)*'Large Use Predicted Monthly'!$Z$12</f>
        <v>27317.015045118402</v>
      </c>
      <c r="R102" s="18"/>
      <c r="S102" s="18"/>
      <c r="T102" s="18"/>
      <c r="U102" s="18"/>
      <c r="V102" s="18"/>
      <c r="W102" s="18">
        <f t="shared" ca="1" si="7"/>
        <v>2682308.7086200812</v>
      </c>
      <c r="Y102" s="18"/>
      <c r="Z102" s="276"/>
    </row>
    <row r="103" spans="1:26" x14ac:dyDescent="0.25">
      <c r="A103" s="3">
        <f>'Monthly Data'!A103</f>
        <v>45078</v>
      </c>
      <c r="B103" s="1">
        <f t="shared" si="9"/>
        <v>2023</v>
      </c>
      <c r="C103" s="1">
        <f t="shared" si="10"/>
        <v>6</v>
      </c>
      <c r="D103" s="259">
        <f ca="1"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Data'!BL103</f>
        <v>0</v>
      </c>
      <c r="H103" s="269">
        <f>'Monthly Data'!BG103</f>
        <v>145.54166666666666</v>
      </c>
      <c r="I103" s="269">
        <f>'Monthly Data'!CC103</f>
        <v>102</v>
      </c>
      <c r="J103" s="269">
        <f>'Monthly Data'!CD103</f>
        <v>30</v>
      </c>
      <c r="K103" s="269">
        <f>'Monthly Data'!CG103</f>
        <v>0</v>
      </c>
      <c r="L103" s="269">
        <f>'Monthly Data'!CB103</f>
        <v>0</v>
      </c>
      <c r="M103" s="269">
        <f>'Monthly Data'!AX103</f>
        <v>4845</v>
      </c>
      <c r="O103" s="18"/>
      <c r="P103" s="18">
        <f ca="1">(E103-G103)*'Large Use Predicted Monthly'!$Z$11</f>
        <v>0</v>
      </c>
      <c r="Q103" s="18">
        <f ca="1">(F103-H103)*'Large Use Predicted Monthly'!$Z$12</f>
        <v>-14229.232485750721</v>
      </c>
      <c r="R103" s="18"/>
      <c r="S103" s="18"/>
      <c r="T103" s="18"/>
      <c r="U103" s="18"/>
      <c r="V103" s="18"/>
      <c r="W103" s="18">
        <f t="shared" ca="1" si="7"/>
        <v>2580980.0973109575</v>
      </c>
      <c r="Y103" s="18"/>
      <c r="Z103" s="276"/>
    </row>
    <row r="104" spans="1:26" x14ac:dyDescent="0.25">
      <c r="A104" s="3">
        <f>'Monthly Data'!A104</f>
        <v>45108</v>
      </c>
      <c r="B104" s="1">
        <f t="shared" si="9"/>
        <v>2023</v>
      </c>
      <c r="C104" s="1">
        <f t="shared" si="10"/>
        <v>7</v>
      </c>
      <c r="D104" s="259">
        <f ca="1"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Data'!BL104</f>
        <v>0</v>
      </c>
      <c r="H104" s="269">
        <f>'Monthly Data'!BG104</f>
        <v>223.78333333333336</v>
      </c>
      <c r="I104" s="269">
        <f>'Monthly Data'!CC104</f>
        <v>103</v>
      </c>
      <c r="J104" s="269">
        <f>'Monthly Data'!CD104</f>
        <v>31</v>
      </c>
      <c r="K104" s="269">
        <f>'Monthly Data'!CG104</f>
        <v>0</v>
      </c>
      <c r="L104" s="269">
        <f>'Monthly Data'!CB104</f>
        <v>0</v>
      </c>
      <c r="M104" s="269">
        <f>'Monthly Data'!AX104</f>
        <v>2198</v>
      </c>
      <c r="O104" s="18"/>
      <c r="P104" s="18">
        <f ca="1">(E104-G104)*'Large Use Predicted Monthly'!$Z$11</f>
        <v>0</v>
      </c>
      <c r="Q104" s="18">
        <f ca="1">(F104-H104)*'Large Use Predicted Monthly'!$Z$12</f>
        <v>21945.195303744764</v>
      </c>
      <c r="R104" s="18"/>
      <c r="S104" s="18"/>
      <c r="T104" s="18"/>
      <c r="U104" s="18"/>
      <c r="V104" s="18"/>
      <c r="W104" s="18">
        <f t="shared" ca="1" si="7"/>
        <v>2737365.6588820638</v>
      </c>
      <c r="Y104" s="18"/>
      <c r="Z104" s="276"/>
    </row>
    <row r="105" spans="1:26" x14ac:dyDescent="0.25">
      <c r="A105" s="3">
        <f>'Monthly Data'!A105</f>
        <v>45139</v>
      </c>
      <c r="B105" s="1">
        <f t="shared" si="9"/>
        <v>2023</v>
      </c>
      <c r="C105" s="1">
        <f t="shared" si="10"/>
        <v>8</v>
      </c>
      <c r="D105" s="259">
        <f ca="1"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Data'!BL105</f>
        <v>0</v>
      </c>
      <c r="H105" s="269">
        <f>'Monthly Data'!BG105</f>
        <v>165.80489130434788</v>
      </c>
      <c r="I105" s="269">
        <f>'Monthly Data'!CC105</f>
        <v>104</v>
      </c>
      <c r="J105" s="269">
        <f>'Monthly Data'!CD105</f>
        <v>31</v>
      </c>
      <c r="K105" s="269">
        <f>'Monthly Data'!CG105</f>
        <v>0</v>
      </c>
      <c r="L105" s="269">
        <f>'Monthly Data'!CB105</f>
        <v>0</v>
      </c>
      <c r="M105" s="269">
        <f>'Monthly Data'!AX105</f>
        <v>2198</v>
      </c>
      <c r="O105" s="18"/>
      <c r="P105" s="18">
        <f ca="1">(E105-G105)*'Large Use Predicted Monthly'!$Z$11</f>
        <v>0</v>
      </c>
      <c r="Q105" s="18">
        <f ca="1">(F105-H105)*'Large Use Predicted Monthly'!$Z$12</f>
        <v>81474.565996330974</v>
      </c>
      <c r="R105" s="18"/>
      <c r="S105" s="18"/>
      <c r="T105" s="18"/>
      <c r="U105" s="18"/>
      <c r="V105" s="18"/>
      <c r="W105" s="18">
        <f t="shared" ca="1" si="7"/>
        <v>3063340.1145315147</v>
      </c>
      <c r="Y105" s="18"/>
      <c r="Z105" s="276"/>
    </row>
    <row r="106" spans="1:26" x14ac:dyDescent="0.25">
      <c r="A106" s="3">
        <f>'Monthly Data'!A106</f>
        <v>45170</v>
      </c>
      <c r="B106" s="1">
        <f t="shared" si="9"/>
        <v>2023</v>
      </c>
      <c r="C106" s="1">
        <f t="shared" si="10"/>
        <v>9</v>
      </c>
      <c r="D106" s="259">
        <f ca="1"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Data'!BL106</f>
        <v>0</v>
      </c>
      <c r="H106" s="269">
        <f>'Monthly Data'!BG106</f>
        <v>105.35</v>
      </c>
      <c r="I106" s="269">
        <f>'Monthly Data'!CC106</f>
        <v>105</v>
      </c>
      <c r="J106" s="269">
        <f>'Monthly Data'!CD106</f>
        <v>30</v>
      </c>
      <c r="K106" s="269">
        <f>'Monthly Data'!CG106</f>
        <v>0</v>
      </c>
      <c r="L106" s="269">
        <f>'Monthly Data'!CB106</f>
        <v>1</v>
      </c>
      <c r="M106" s="269">
        <f>'Monthly Data'!AX106</f>
        <v>2198</v>
      </c>
      <c r="O106" s="18"/>
      <c r="P106" s="18">
        <f ca="1">(E106-G106)*'Large Use Predicted Monthly'!$Z$11</f>
        <v>0</v>
      </c>
      <c r="Q106" s="18">
        <f ca="1">(F106-H106)*'Large Use Predicted Monthly'!$Z$12</f>
        <v>1923.1956933512549</v>
      </c>
      <c r="R106" s="18"/>
      <c r="S106" s="18"/>
      <c r="T106" s="18"/>
      <c r="U106" s="18"/>
      <c r="V106" s="18"/>
      <c r="W106" s="18">
        <f t="shared" ca="1" si="7"/>
        <v>2991930.9084757185</v>
      </c>
      <c r="Y106" s="18"/>
      <c r="Z106" s="276"/>
    </row>
    <row r="107" spans="1:26" x14ac:dyDescent="0.25">
      <c r="A107" s="3">
        <f>'Monthly Data'!A107</f>
        <v>45200</v>
      </c>
      <c r="B107" s="1">
        <f t="shared" si="9"/>
        <v>2023</v>
      </c>
      <c r="C107" s="1">
        <f t="shared" si="10"/>
        <v>10</v>
      </c>
      <c r="D107" s="259">
        <f ca="1"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Data'!BL107</f>
        <v>17.783333333333335</v>
      </c>
      <c r="H107" s="269">
        <f>'Monthly Data'!BG107</f>
        <v>35.333333333333343</v>
      </c>
      <c r="I107" s="269">
        <f>'Monthly Data'!CC107</f>
        <v>106</v>
      </c>
      <c r="J107" s="269">
        <f>'Monthly Data'!CD107</f>
        <v>31</v>
      </c>
      <c r="K107" s="269">
        <f>'Monthly Data'!CG107</f>
        <v>0</v>
      </c>
      <c r="L107" s="269">
        <f>'Monthly Data'!CB107</f>
        <v>1</v>
      </c>
      <c r="M107" s="269">
        <f>'Monthly Data'!AX107</f>
        <v>1875</v>
      </c>
      <c r="O107" s="18"/>
      <c r="P107" s="18">
        <f ca="1">(E107-G107)*'Large Use Predicted Monthly'!$Z$11</f>
        <v>2877.7345322979286</v>
      </c>
      <c r="Q107" s="18">
        <f ca="1">(F107-H107)*'Large Use Predicted Monthly'!$Z$12</f>
        <v>-31294.428464422435</v>
      </c>
      <c r="R107" s="18"/>
      <c r="S107" s="18"/>
      <c r="T107" s="18"/>
      <c r="U107" s="18"/>
      <c r="V107" s="18"/>
      <c r="W107" s="18">
        <f t="shared" ca="1" si="7"/>
        <v>2965615.3891677731</v>
      </c>
      <c r="Y107" s="18"/>
      <c r="Z107" s="276"/>
    </row>
    <row r="108" spans="1:26" x14ac:dyDescent="0.25">
      <c r="A108" s="3">
        <f>'Monthly Data'!A108</f>
        <v>45231</v>
      </c>
      <c r="B108" s="1">
        <f t="shared" si="9"/>
        <v>2023</v>
      </c>
      <c r="C108" s="1">
        <f t="shared" si="10"/>
        <v>11</v>
      </c>
      <c r="D108" s="259">
        <f ca="1"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Data'!BL108</f>
        <v>153.42644927536227</v>
      </c>
      <c r="H108" s="269">
        <f>'Monthly Data'!BG108</f>
        <v>0</v>
      </c>
      <c r="I108" s="269">
        <f>'Monthly Data'!CC108</f>
        <v>107</v>
      </c>
      <c r="J108" s="269">
        <f>'Monthly Data'!CD108</f>
        <v>30</v>
      </c>
      <c r="K108" s="269">
        <f>'Monthly Data'!CG108</f>
        <v>0</v>
      </c>
      <c r="L108" s="269">
        <f>'Monthly Data'!CB108</f>
        <v>1</v>
      </c>
      <c r="M108" s="269">
        <f>'Monthly Data'!AX108</f>
        <v>1875</v>
      </c>
      <c r="O108" s="18"/>
      <c r="P108" s="18">
        <f ca="1">(E108-G108)*'Large Use Predicted Monthly'!$Z$11</f>
        <v>-5527.2739872575748</v>
      </c>
      <c r="Q108" s="18">
        <f ca="1">(F108-H108)*'Large Use Predicted Monthly'!$Z$12</f>
        <v>1458.3169085772493</v>
      </c>
      <c r="R108" s="18"/>
      <c r="S108" s="18"/>
      <c r="T108" s="18"/>
      <c r="U108" s="18"/>
      <c r="V108" s="18"/>
      <c r="W108" s="18">
        <f t="shared" ca="1" si="7"/>
        <v>3407851.4071867918</v>
      </c>
      <c r="Y108" s="18"/>
      <c r="Z108" s="276"/>
    </row>
    <row r="109" spans="1:26" x14ac:dyDescent="0.25">
      <c r="A109" s="3">
        <f>'Monthly Data'!A109</f>
        <v>45261</v>
      </c>
      <c r="B109" s="1">
        <f t="shared" si="9"/>
        <v>2023</v>
      </c>
      <c r="C109" s="1">
        <f t="shared" si="10"/>
        <v>12</v>
      </c>
      <c r="D109" s="259">
        <f ca="1"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Data'!BL109</f>
        <v>180.36666666666662</v>
      </c>
      <c r="H109" s="269">
        <f>'Monthly Data'!BG109</f>
        <v>0</v>
      </c>
      <c r="I109" s="269">
        <f>'Monthly Data'!CC109</f>
        <v>108</v>
      </c>
      <c r="J109" s="269">
        <f>'Monthly Data'!CD109</f>
        <v>31</v>
      </c>
      <c r="K109" s="269">
        <f>'Monthly Data'!CG109</f>
        <v>0</v>
      </c>
      <c r="L109" s="269">
        <f>'Monthly Data'!CB109</f>
        <v>0</v>
      </c>
      <c r="M109" s="269">
        <f>'Monthly Data'!AX109</f>
        <v>1875</v>
      </c>
      <c r="O109" s="18"/>
      <c r="P109" s="18">
        <f ca="1">(E109-G109)*'Large Use Predicted Monthly'!$Z$11</f>
        <v>36519.367080776734</v>
      </c>
      <c r="Q109" s="18">
        <f ca="1">(F109-H109)*'Large Use Predicted Monthly'!$Z$12</f>
        <v>0</v>
      </c>
      <c r="R109" s="18"/>
      <c r="S109" s="18"/>
      <c r="T109" s="18"/>
      <c r="U109" s="18"/>
      <c r="V109" s="18"/>
      <c r="W109" s="18">
        <f t="shared" ca="1" si="7"/>
        <v>3346221.3288665526</v>
      </c>
      <c r="X109" s="259"/>
      <c r="Y109" s="18"/>
      <c r="Z109" s="276"/>
    </row>
    <row r="110" spans="1:26" x14ac:dyDescent="0.25">
      <c r="A110" s="3">
        <f>'Monthly Data'!A110</f>
        <v>45292</v>
      </c>
      <c r="B110" s="1">
        <f t="shared" si="9"/>
        <v>2024</v>
      </c>
      <c r="C110" s="1">
        <f t="shared" si="10"/>
        <v>1</v>
      </c>
      <c r="D110" s="259">
        <f ca="1"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Data'!BL110</f>
        <v>326.99583333333317</v>
      </c>
      <c r="H110" s="269">
        <f>'Monthly Data'!BG110</f>
        <v>0</v>
      </c>
      <c r="I110" s="269">
        <f>'Monthly Data'!CC110</f>
        <v>109</v>
      </c>
      <c r="J110" s="269">
        <f>'Monthly Data'!CD110</f>
        <v>31</v>
      </c>
      <c r="K110" s="269">
        <f>'Monthly Data'!CG110</f>
        <v>0</v>
      </c>
      <c r="L110" s="269">
        <f>'Monthly Data'!CB110</f>
        <v>0</v>
      </c>
      <c r="M110" s="269">
        <f>'Monthly Data'!AX110</f>
        <v>4826</v>
      </c>
      <c r="O110" s="18"/>
      <c r="P110" s="18">
        <f ca="1">(E110-G110)*'Large Use Predicted Monthly'!$Z$11</f>
        <v>24883.379896182112</v>
      </c>
      <c r="Q110" s="18">
        <f ca="1">(F110-H110)*'Large Use Predicted Monthly'!$Z$12</f>
        <v>0</v>
      </c>
      <c r="R110" s="18"/>
      <c r="S110" s="18"/>
      <c r="T110" s="18"/>
      <c r="U110" s="18"/>
      <c r="V110" s="18"/>
      <c r="W110" s="18">
        <f t="shared" ca="1" si="7"/>
        <v>3565831.0657733334</v>
      </c>
      <c r="X110" s="259"/>
      <c r="Y110" s="18"/>
      <c r="Z110" s="276"/>
    </row>
    <row r="111" spans="1:26" x14ac:dyDescent="0.25">
      <c r="A111" s="3">
        <f>'Monthly Data'!A111</f>
        <v>45323</v>
      </c>
      <c r="B111" s="1">
        <f t="shared" si="9"/>
        <v>2024</v>
      </c>
      <c r="C111" s="1">
        <f t="shared" si="10"/>
        <v>2</v>
      </c>
      <c r="D111" s="259">
        <f ca="1">'Monthly Data'!X111</f>
        <v>3374301.142980007</v>
      </c>
      <c r="E111" s="269">
        <f t="shared" ca="1" si="12"/>
        <v>341.39751811594203</v>
      </c>
      <c r="F111" s="269">
        <f t="shared" ca="1" si="12"/>
        <v>0</v>
      </c>
      <c r="G111" s="269">
        <f>'Monthly Data'!BL111</f>
        <v>252.9666666666667</v>
      </c>
      <c r="H111" s="269">
        <f>'Monthly Data'!BG111</f>
        <v>0</v>
      </c>
      <c r="I111" s="269">
        <f>'Monthly Data'!CC111</f>
        <v>110</v>
      </c>
      <c r="J111" s="269">
        <f>'Monthly Data'!CD111</f>
        <v>29</v>
      </c>
      <c r="K111" s="269">
        <f>'Monthly Data'!CG111</f>
        <v>0</v>
      </c>
      <c r="L111" s="269">
        <f>'Monthly Data'!CB111</f>
        <v>0</v>
      </c>
      <c r="M111" s="269">
        <f>'Monthly Data'!AX111</f>
        <v>4826</v>
      </c>
      <c r="O111" s="18"/>
      <c r="P111" s="18">
        <f ca="1">(E111-G111)*'Large Use Predicted Monthly'!$Z$11</f>
        <v>36468.654152823845</v>
      </c>
      <c r="Q111" s="18">
        <f ca="1">(F111-H111)*'Large Use Predicted Monthly'!$Z$12</f>
        <v>0</v>
      </c>
      <c r="R111" s="18"/>
      <c r="S111" s="18"/>
      <c r="T111" s="18"/>
      <c r="U111" s="18"/>
      <c r="V111" s="18"/>
      <c r="W111" s="18">
        <f t="shared" ca="1" si="7"/>
        <v>3410769.7971328311</v>
      </c>
      <c r="X111" s="259"/>
      <c r="Y111" s="18"/>
      <c r="Z111" s="276"/>
    </row>
    <row r="112" spans="1:26" x14ac:dyDescent="0.25">
      <c r="A112" s="3">
        <f>'Monthly Data'!A112</f>
        <v>45352</v>
      </c>
      <c r="B112" s="1">
        <f t="shared" si="9"/>
        <v>2024</v>
      </c>
      <c r="C112" s="1">
        <f t="shared" si="10"/>
        <v>3</v>
      </c>
      <c r="D112" s="259">
        <f ca="1">'Monthly Data'!X112</f>
        <v>3519478.5922319503</v>
      </c>
      <c r="E112" s="269">
        <f t="shared" ca="1" si="12"/>
        <v>238.57840579710145</v>
      </c>
      <c r="F112" s="269">
        <f t="shared" ca="1" si="12"/>
        <v>0</v>
      </c>
      <c r="G112" s="269">
        <f>'Monthly Data'!BL112</f>
        <v>154.69166666666669</v>
      </c>
      <c r="H112" s="269">
        <f>'Monthly Data'!BG112</f>
        <v>0</v>
      </c>
      <c r="I112" s="269">
        <f>'Monthly Data'!CC112</f>
        <v>111</v>
      </c>
      <c r="J112" s="269">
        <f>'Monthly Data'!CD112</f>
        <v>31</v>
      </c>
      <c r="K112" s="269">
        <f>'Monthly Data'!CG112</f>
        <v>0</v>
      </c>
      <c r="L112" s="269">
        <f>'Monthly Data'!CB112</f>
        <v>1</v>
      </c>
      <c r="M112" s="269">
        <f>'Monthly Data'!AX112</f>
        <v>4826</v>
      </c>
      <c r="O112" s="18"/>
      <c r="P112" s="18">
        <f ca="1">(E112-G112)*'Large Use Predicted Monthly'!$Z$11</f>
        <v>34594.673999161743</v>
      </c>
      <c r="Q112" s="18">
        <f ca="1">(F112-H112)*'Large Use Predicted Monthly'!$Z$12</f>
        <v>0</v>
      </c>
      <c r="R112" s="18"/>
      <c r="S112" s="18"/>
      <c r="T112" s="18"/>
      <c r="U112" s="18"/>
      <c r="V112" s="18"/>
      <c r="W112" s="18">
        <f t="shared" ref="W112:W121" ca="1" si="13">SUM(D112,O112:V112)</f>
        <v>3554073.2662311122</v>
      </c>
      <c r="X112" s="259"/>
    </row>
    <row r="113" spans="1:25" x14ac:dyDescent="0.25">
      <c r="A113" s="3">
        <f>'Monthly Data'!A113</f>
        <v>45383</v>
      </c>
      <c r="B113" s="1">
        <f t="shared" si="9"/>
        <v>2024</v>
      </c>
      <c r="C113" s="1">
        <f t="shared" si="10"/>
        <v>4</v>
      </c>
      <c r="D113" s="259">
        <f ca="1">'Monthly Data'!X113</f>
        <v>3243940.0520764217</v>
      </c>
      <c r="E113" s="269">
        <f t="shared" ca="1" si="12"/>
        <v>79.984412878787879</v>
      </c>
      <c r="F113" s="269">
        <f t="shared" ca="1" si="12"/>
        <v>2.1908333333333347</v>
      </c>
      <c r="G113" s="269">
        <f>'Monthly Data'!BL113</f>
        <v>41.093749999999993</v>
      </c>
      <c r="H113" s="269">
        <f>'Monthly Data'!BG113</f>
        <v>0</v>
      </c>
      <c r="I113" s="269">
        <f>'Monthly Data'!CC113</f>
        <v>112</v>
      </c>
      <c r="J113" s="269">
        <f>'Monthly Data'!CD113</f>
        <v>30</v>
      </c>
      <c r="K113" s="269">
        <f>'Monthly Data'!CG113</f>
        <v>0</v>
      </c>
      <c r="L113" s="269">
        <f>'Monthly Data'!CB113</f>
        <v>1</v>
      </c>
      <c r="M113" s="269">
        <f>'Monthly Data'!AX113</f>
        <v>2733</v>
      </c>
      <c r="O113" s="18"/>
      <c r="P113" s="18">
        <f ca="1">(E113-G113)*'Large Use Predicted Monthly'!$Z$11</f>
        <v>16038.408666845447</v>
      </c>
      <c r="Q113" s="18">
        <f ca="1">(F113-H113)*'Large Use Predicted Monthly'!$Z$12</f>
        <v>3952.4898480923639</v>
      </c>
      <c r="R113" s="18"/>
      <c r="S113" s="18"/>
      <c r="T113" s="18"/>
      <c r="U113" s="18"/>
      <c r="V113" s="18"/>
      <c r="W113" s="18">
        <f t="shared" ca="1" si="13"/>
        <v>3263930.9505913593</v>
      </c>
      <c r="X113" s="259"/>
      <c r="Y113" s="18"/>
    </row>
    <row r="114" spans="1:25" x14ac:dyDescent="0.25">
      <c r="A114" s="3">
        <f>'Monthly Data'!A114</f>
        <v>45413</v>
      </c>
      <c r="B114" s="1">
        <f t="shared" si="9"/>
        <v>2024</v>
      </c>
      <c r="C114" s="1">
        <f t="shared" si="10"/>
        <v>5</v>
      </c>
      <c r="D114" s="259">
        <f ca="1">'Monthly Data'!X114</f>
        <v>3420919.5005276739</v>
      </c>
      <c r="E114" s="269">
        <f t="shared" ref="E114:F133" ca="1" si="14">E102</f>
        <v>7.2018333333333331</v>
      </c>
      <c r="F114" s="269">
        <f t="shared" ca="1" si="14"/>
        <v>52.487435064935063</v>
      </c>
      <c r="G114" s="269">
        <f>'Monthly Data'!BL114</f>
        <v>0</v>
      </c>
      <c r="H114" s="269">
        <f>'Monthly Data'!BG114</f>
        <v>60.691666666666663</v>
      </c>
      <c r="I114" s="269">
        <f>'Monthly Data'!CC114</f>
        <v>113</v>
      </c>
      <c r="J114" s="269">
        <f>'Monthly Data'!CD114</f>
        <v>31</v>
      </c>
      <c r="K114" s="269">
        <f>'Monthly Data'!CG114</f>
        <v>0</v>
      </c>
      <c r="L114" s="269">
        <f>'Monthly Data'!CB114</f>
        <v>1</v>
      </c>
      <c r="M114" s="269">
        <f>'Monthly Data'!AX114</f>
        <v>2733</v>
      </c>
      <c r="O114" s="18"/>
      <c r="P114" s="18">
        <f ca="1">(E114-G114)*'Large Use Predicted Monthly'!$Z$11</f>
        <v>2970.0174180756921</v>
      </c>
      <c r="Q114" s="18">
        <f ca="1">(F114-H114)*'Large Use Predicted Monthly'!$Z$12</f>
        <v>-14801.282061883308</v>
      </c>
      <c r="R114" s="18"/>
      <c r="S114" s="18"/>
      <c r="T114" s="18"/>
      <c r="U114" s="18"/>
      <c r="V114" s="18"/>
      <c r="W114" s="18">
        <f t="shared" ca="1" si="13"/>
        <v>3409088.2358838664</v>
      </c>
      <c r="X114" s="259"/>
      <c r="Y114" s="18"/>
    </row>
    <row r="115" spans="1:25" x14ac:dyDescent="0.25">
      <c r="A115" s="3">
        <f>'Monthly Data'!A115</f>
        <v>45444</v>
      </c>
      <c r="B115" s="1">
        <f t="shared" si="9"/>
        <v>2024</v>
      </c>
      <c r="C115" s="1">
        <f t="shared" si="10"/>
        <v>6</v>
      </c>
      <c r="D115" s="259">
        <f ca="1">'Monthly Data'!X115</f>
        <v>3329855.9557275474</v>
      </c>
      <c r="E115" s="269">
        <f t="shared" ca="1" si="14"/>
        <v>0</v>
      </c>
      <c r="F115" s="269">
        <f t="shared" ca="1" si="14"/>
        <v>137.65451754405018</v>
      </c>
      <c r="G115" s="269">
        <f>'Monthly Data'!BL115</f>
        <v>0</v>
      </c>
      <c r="H115" s="269">
        <f>'Monthly Data'!BG115</f>
        <v>146.61250000000007</v>
      </c>
      <c r="I115" s="269">
        <f>'Monthly Data'!CC115</f>
        <v>114</v>
      </c>
      <c r="J115" s="269">
        <f>'Monthly Data'!CD115</f>
        <v>30</v>
      </c>
      <c r="K115" s="269">
        <f>'Monthly Data'!CG115</f>
        <v>0</v>
      </c>
      <c r="L115" s="269">
        <f>'Monthly Data'!CB115</f>
        <v>0</v>
      </c>
      <c r="M115" s="269">
        <f>'Monthly Data'!AX115</f>
        <v>2733</v>
      </c>
      <c r="O115" s="18"/>
      <c r="P115" s="18">
        <f ca="1">(E115-G115)*'Large Use Predicted Monthly'!$Z$11</f>
        <v>0</v>
      </c>
      <c r="Q115" s="18">
        <f ca="1">(F115-H115)*'Large Use Predicted Monthly'!$Z$12</f>
        <v>-16161.126534742372</v>
      </c>
      <c r="R115" s="18"/>
      <c r="S115" s="18"/>
      <c r="T115" s="18"/>
      <c r="U115" s="18"/>
      <c r="V115" s="18"/>
      <c r="W115" s="18">
        <f t="shared" ca="1" si="13"/>
        <v>3313694.8291928051</v>
      </c>
      <c r="X115" s="259"/>
      <c r="Y115" s="18"/>
    </row>
    <row r="116" spans="1:25" x14ac:dyDescent="0.25">
      <c r="A116" s="3">
        <v>45474</v>
      </c>
      <c r="B116" s="1">
        <f t="shared" si="9"/>
        <v>2024</v>
      </c>
      <c r="C116" s="1">
        <f t="shared" si="10"/>
        <v>7</v>
      </c>
      <c r="D116" s="259">
        <f ca="1">'Monthly Data'!X116</f>
        <v>3408998.4066420794</v>
      </c>
      <c r="E116" s="269">
        <f t="shared" ca="1" si="14"/>
        <v>0</v>
      </c>
      <c r="F116" s="269">
        <f t="shared" ca="1" si="14"/>
        <v>235.94737858727848</v>
      </c>
      <c r="G116" s="269">
        <f>'Monthly Data'!BL116</f>
        <v>0</v>
      </c>
      <c r="H116" s="269">
        <f>'Monthly Data'!BG116</f>
        <v>241.14166666666668</v>
      </c>
      <c r="I116" s="269">
        <f>'Monthly Data'!CC116</f>
        <v>115</v>
      </c>
      <c r="J116" s="269">
        <f>'Monthly Data'!CD116</f>
        <v>31</v>
      </c>
      <c r="K116" s="269">
        <f>'Monthly Data'!CG116</f>
        <v>0</v>
      </c>
      <c r="L116" s="269">
        <f>'Monthly Data'!CB116</f>
        <v>0</v>
      </c>
      <c r="M116" s="269">
        <f>'Monthly Data'!AX116</f>
        <v>730</v>
      </c>
      <c r="O116" s="18"/>
      <c r="P116" s="18">
        <f ca="1">(E116-G116)*'Large Use Predicted Monthly'!$Z$11</f>
        <v>0</v>
      </c>
      <c r="Q116" s="18">
        <f ca="1">(F116-H116)*'Large Use Predicted Monthly'!$Z$12</f>
        <v>-9371.0327433316252</v>
      </c>
      <c r="R116" s="18"/>
      <c r="S116" s="18"/>
      <c r="T116" s="18"/>
      <c r="U116" s="18"/>
      <c r="V116" s="18"/>
      <c r="W116" s="18">
        <f t="shared" ca="1" si="13"/>
        <v>3399627.3738987478</v>
      </c>
      <c r="X116" s="259"/>
      <c r="Y116" s="18"/>
    </row>
    <row r="117" spans="1:25" x14ac:dyDescent="0.25">
      <c r="A117" s="3">
        <v>45505</v>
      </c>
      <c r="B117" s="1">
        <f t="shared" si="9"/>
        <v>2024</v>
      </c>
      <c r="C117" s="1">
        <f t="shared" si="10"/>
        <v>8</v>
      </c>
      <c r="D117" s="259">
        <f ca="1">'Monthly Data'!X117</f>
        <v>3372525.8604674945</v>
      </c>
      <c r="E117" s="269">
        <f t="shared" ca="1" si="14"/>
        <v>0</v>
      </c>
      <c r="F117" s="269">
        <f t="shared" ca="1" si="14"/>
        <v>210.96558794466404</v>
      </c>
      <c r="G117" s="269">
        <f>'Monthly Data'!BL117</f>
        <v>0</v>
      </c>
      <c r="H117" s="269">
        <f>'Monthly Data'!BG117</f>
        <v>200.86666666666665</v>
      </c>
      <c r="I117" s="269">
        <f>'Monthly Data'!CC117</f>
        <v>116</v>
      </c>
      <c r="J117" s="269">
        <f>'Monthly Data'!CD117</f>
        <v>31</v>
      </c>
      <c r="K117" s="269">
        <f>'Monthly Data'!CG117</f>
        <v>0</v>
      </c>
      <c r="L117" s="269">
        <f>'Monthly Data'!CB117</f>
        <v>0</v>
      </c>
      <c r="M117" s="269">
        <f>'Monthly Data'!AX117</f>
        <v>730</v>
      </c>
      <c r="O117" s="18"/>
      <c r="P117" s="18">
        <f ca="1">(E117-G117)*'Large Use Predicted Monthly'!$Z$11</f>
        <v>0</v>
      </c>
      <c r="Q117" s="18">
        <f ca="1">(F117-H117)*'Large Use Predicted Monthly'!$Z$12</f>
        <v>18219.498133724745</v>
      </c>
      <c r="R117" s="18"/>
      <c r="S117" s="18"/>
      <c r="T117" s="18"/>
      <c r="U117" s="18"/>
      <c r="V117" s="18"/>
      <c r="W117" s="18">
        <f t="shared" ca="1" si="13"/>
        <v>3390745.358601219</v>
      </c>
      <c r="Y117" s="18"/>
    </row>
    <row r="118" spans="1:25" x14ac:dyDescent="0.25">
      <c r="A118" s="3">
        <v>45536</v>
      </c>
      <c r="B118" s="1">
        <f t="shared" si="9"/>
        <v>2024</v>
      </c>
      <c r="C118" s="1">
        <f t="shared" si="10"/>
        <v>9</v>
      </c>
      <c r="D118" s="259">
        <f ca="1">'Monthly Data'!X118</f>
        <v>3370311.3134303829</v>
      </c>
      <c r="E118" s="269">
        <f t="shared" ca="1" si="14"/>
        <v>0</v>
      </c>
      <c r="F118" s="269">
        <f t="shared" ca="1" si="14"/>
        <v>106.4160119047619</v>
      </c>
      <c r="G118" s="269">
        <f>'Monthly Data'!BL118</f>
        <v>0</v>
      </c>
      <c r="H118" s="269">
        <f>'Monthly Data'!BG118</f>
        <v>113.86250000000001</v>
      </c>
      <c r="I118" s="269">
        <f>'Monthly Data'!CC118</f>
        <v>117</v>
      </c>
      <c r="J118" s="269">
        <f>'Monthly Data'!CD118</f>
        <v>30</v>
      </c>
      <c r="K118" s="269">
        <f>'Monthly Data'!CG118</f>
        <v>0</v>
      </c>
      <c r="L118" s="269">
        <f>'Monthly Data'!CB118</f>
        <v>1</v>
      </c>
      <c r="M118" s="269">
        <f>'Monthly Data'!AX118</f>
        <v>730</v>
      </c>
      <c r="O118" s="18"/>
      <c r="P118" s="18">
        <f ca="1">(E118-G118)*'Large Use Predicted Monthly'!$Z$11</f>
        <v>0</v>
      </c>
      <c r="Q118" s="18">
        <f ca="1">(F118-H118)*'Large Use Predicted Monthly'!$Z$12</f>
        <v>-13434.23443151126</v>
      </c>
      <c r="R118" s="18"/>
      <c r="S118" s="18"/>
      <c r="T118" s="18"/>
      <c r="U118" s="18"/>
      <c r="V118" s="18"/>
      <c r="W118" s="18">
        <f t="shared" ca="1" si="13"/>
        <v>3356877.0789988716</v>
      </c>
      <c r="Y118" s="18"/>
    </row>
    <row r="119" spans="1:25" x14ac:dyDescent="0.25">
      <c r="A119" s="3">
        <v>45566</v>
      </c>
      <c r="B119" s="1">
        <f t="shared" si="9"/>
        <v>2024</v>
      </c>
      <c r="C119" s="1">
        <f t="shared" si="10"/>
        <v>10</v>
      </c>
      <c r="D119" s="259">
        <f ca="1">'Monthly Data'!X119</f>
        <v>3337425.7671654867</v>
      </c>
      <c r="E119" s="269">
        <f t="shared" ca="1" si="14"/>
        <v>24.76139492753623</v>
      </c>
      <c r="F119" s="269">
        <f t="shared" ca="1" si="14"/>
        <v>17.987083333333334</v>
      </c>
      <c r="G119" s="269">
        <f>'Monthly Data'!BL119</f>
        <v>18.616666666666671</v>
      </c>
      <c r="H119" s="269">
        <f>'Monthly Data'!BG119</f>
        <v>12.120833333333337</v>
      </c>
      <c r="I119" s="269">
        <f>'Monthly Data'!CC119</f>
        <v>118</v>
      </c>
      <c r="J119" s="269">
        <f>'Monthly Data'!CD119</f>
        <v>31</v>
      </c>
      <c r="K119" s="269">
        <f>'Monthly Data'!CG119</f>
        <v>0</v>
      </c>
      <c r="L119" s="269">
        <f>'Monthly Data'!CB119</f>
        <v>1</v>
      </c>
      <c r="M119" s="269">
        <f>'Monthly Data'!AX119</f>
        <v>4319.8519999999553</v>
      </c>
      <c r="O119" s="18"/>
      <c r="P119" s="18">
        <f ca="1">(E119-G119)*'Large Use Predicted Monthly'!$Z$11</f>
        <v>2534.0700234835413</v>
      </c>
      <c r="Q119" s="18">
        <f ca="1">(F119-H119)*'Large Use Predicted Monthly'!$Z$12</f>
        <v>10583.321523638708</v>
      </c>
      <c r="R119" s="18"/>
      <c r="S119" s="18"/>
      <c r="T119" s="18"/>
      <c r="U119" s="18"/>
      <c r="V119" s="18"/>
      <c r="W119" s="18">
        <f t="shared" ca="1" si="13"/>
        <v>3350543.1587126092</v>
      </c>
      <c r="Y119" s="18"/>
    </row>
    <row r="120" spans="1:25" x14ac:dyDescent="0.25">
      <c r="A120" s="3">
        <v>45597</v>
      </c>
      <c r="B120" s="1">
        <f t="shared" si="9"/>
        <v>2024</v>
      </c>
      <c r="C120" s="1">
        <f t="shared" si="10"/>
        <v>11</v>
      </c>
      <c r="D120" s="259">
        <f ca="1">'Monthly Data'!X120</f>
        <v>3267889.2218233664</v>
      </c>
      <c r="E120" s="269">
        <f t="shared" ca="1" si="14"/>
        <v>140.02366389045739</v>
      </c>
      <c r="F120" s="269">
        <f t="shared" ca="1" si="14"/>
        <v>0.8083333333333329</v>
      </c>
      <c r="G120" s="269">
        <f>'Monthly Data'!BL120</f>
        <v>93.433333333333351</v>
      </c>
      <c r="H120" s="269">
        <f>'Monthly Data'!BG120</f>
        <v>5.5041666666666629</v>
      </c>
      <c r="I120" s="269">
        <f>'Monthly Data'!CC120</f>
        <v>119</v>
      </c>
      <c r="J120" s="269">
        <f>'Monthly Data'!CD120</f>
        <v>30</v>
      </c>
      <c r="K120" s="269">
        <f>'Monthly Data'!CG120</f>
        <v>0</v>
      </c>
      <c r="L120" s="269">
        <f>'Monthly Data'!CB120</f>
        <v>1</v>
      </c>
      <c r="M120" s="269">
        <f>'Monthly Data'!AX120</f>
        <v>4319.8519999999553</v>
      </c>
      <c r="O120" s="18"/>
      <c r="P120" s="18">
        <f ca="1">(E120-G120)*'Large Use Predicted Monthly'!$Z$11</f>
        <v>19213.731679696728</v>
      </c>
      <c r="Q120" s="18">
        <f ca="1">(F120-H120)*'Large Use Predicted Monthly'!$Z$12</f>
        <v>-8471.7688451884533</v>
      </c>
      <c r="R120" s="18"/>
      <c r="S120" s="18"/>
      <c r="T120" s="18"/>
      <c r="U120" s="18"/>
      <c r="V120" s="18"/>
      <c r="W120" s="18">
        <f t="shared" ca="1" si="13"/>
        <v>3278631.1846578745</v>
      </c>
      <c r="Y120" s="18"/>
    </row>
    <row r="121" spans="1:25" x14ac:dyDescent="0.25">
      <c r="A121" s="3">
        <v>45627</v>
      </c>
      <c r="B121" s="1">
        <f t="shared" si="9"/>
        <v>2024</v>
      </c>
      <c r="C121" s="1">
        <f t="shared" si="10"/>
        <v>12</v>
      </c>
      <c r="D121" s="259">
        <f ca="1">'Monthly Data'!X121</f>
        <v>3193160.6766119674</v>
      </c>
      <c r="E121" s="269">
        <f t="shared" ca="1" si="14"/>
        <v>268.92048913043476</v>
      </c>
      <c r="F121" s="269">
        <f t="shared" ca="1" si="14"/>
        <v>0</v>
      </c>
      <c r="G121" s="269">
        <f>'Monthly Data'!BL121</f>
        <v>288.57499999999993</v>
      </c>
      <c r="H121" s="269">
        <f>'Monthly Data'!BG121</f>
        <v>0</v>
      </c>
      <c r="I121" s="269">
        <f>'Monthly Data'!CC121</f>
        <v>120</v>
      </c>
      <c r="J121" s="269">
        <f>'Monthly Data'!CD121</f>
        <v>31</v>
      </c>
      <c r="K121" s="269">
        <f>'Monthly Data'!CG121</f>
        <v>0</v>
      </c>
      <c r="L121" s="269">
        <f>'Monthly Data'!CB121</f>
        <v>0</v>
      </c>
      <c r="M121" s="269">
        <f>'Monthly Data'!AX121</f>
        <v>4319.8519999999553</v>
      </c>
      <c r="O121" s="18"/>
      <c r="P121" s="18">
        <f ca="1">(E121-G121)*'Large Use Predicted Monthly'!$Z$11</f>
        <v>-8105.4693887713665</v>
      </c>
      <c r="Q121" s="18">
        <f ca="1">(F121-H121)*'Large Use Predicted Monthly'!$Z$12</f>
        <v>0</v>
      </c>
      <c r="R121" s="18"/>
      <c r="S121" s="18"/>
      <c r="T121" s="18"/>
      <c r="U121" s="18"/>
      <c r="V121" s="18"/>
      <c r="W121" s="18">
        <f t="shared" ca="1" si="13"/>
        <v>3185055.207223196</v>
      </c>
      <c r="Y121" s="18"/>
    </row>
    <row r="122" spans="1:25" x14ac:dyDescent="0.25">
      <c r="A122" s="3">
        <v>45658</v>
      </c>
      <c r="B122" s="1">
        <f t="shared" si="9"/>
        <v>2025</v>
      </c>
      <c r="C122" s="1">
        <f t="shared" si="10"/>
        <v>1</v>
      </c>
      <c r="D122" s="259"/>
      <c r="E122" s="269">
        <f t="shared" ca="1" si="14"/>
        <v>387.33418478260865</v>
      </c>
      <c r="F122" s="269">
        <f t="shared" ca="1" si="14"/>
        <v>0</v>
      </c>
      <c r="G122" s="269"/>
      <c r="H122" s="269"/>
      <c r="I122" s="269">
        <f>I121+1</f>
        <v>121</v>
      </c>
      <c r="J122" s="269">
        <f>J74</f>
        <v>31</v>
      </c>
      <c r="K122" s="269"/>
      <c r="L122" s="269">
        <f>L110</f>
        <v>0</v>
      </c>
      <c r="M122" s="269">
        <f>Economic!S121</f>
        <v>4319.8519999999553</v>
      </c>
      <c r="O122" s="18">
        <f>'Large Use Predicted Monthly'!$Z$10</f>
        <v>1050929.47761405</v>
      </c>
      <c r="P122" s="18">
        <f ca="1">E122*'Large Use Predicted Monthly'!$Z$11</f>
        <v>159735.61483240328</v>
      </c>
      <c r="Q122" s="18">
        <f ca="1">F122*'Large Use Predicted Monthly'!$Z$12</f>
        <v>0</v>
      </c>
      <c r="R122" s="18">
        <f>I122*'Large Use Predicted Monthly'!$Z$13</f>
        <v>-350432.89234890894</v>
      </c>
      <c r="S122" s="18">
        <f>J122*'Large Use Predicted Monthly'!$Z$14</f>
        <v>2172165.2722322186</v>
      </c>
      <c r="T122" s="18">
        <f>K122*'Large Use Predicted Monthly'!$Z$15</f>
        <v>0</v>
      </c>
      <c r="U122" s="18">
        <f>L122*'Large Use Predicted Monthly'!$Z$16</f>
        <v>0</v>
      </c>
      <c r="V122" s="18">
        <f>M122*'Large Use Predicted Monthly'!$Z$17</f>
        <v>9071.0505877606029</v>
      </c>
      <c r="W122" s="18">
        <f t="shared" ref="W122:W130" ca="1" si="15">SUM(O122:V122)</f>
        <v>3041468.522917524</v>
      </c>
      <c r="Y122" s="18"/>
    </row>
    <row r="123" spans="1:25" x14ac:dyDescent="0.25">
      <c r="A123" s="3">
        <v>45689</v>
      </c>
      <c r="B123" s="1">
        <f t="shared" si="9"/>
        <v>2025</v>
      </c>
      <c r="C123" s="1">
        <f t="shared" si="10"/>
        <v>2</v>
      </c>
      <c r="D123" s="259"/>
      <c r="E123" s="269">
        <f t="shared" ca="1" si="14"/>
        <v>341.39751811594203</v>
      </c>
      <c r="F123" s="269">
        <f t="shared" ca="1" si="14"/>
        <v>0</v>
      </c>
      <c r="G123" s="269"/>
      <c r="H123" s="269"/>
      <c r="I123" s="269">
        <f t="shared" ref="I123:I145" si="16">I122+1</f>
        <v>122</v>
      </c>
      <c r="J123" s="269">
        <f t="shared" ref="J123:J145" si="17">J75</f>
        <v>28</v>
      </c>
      <c r="K123" s="269"/>
      <c r="L123" s="269">
        <f t="shared" ref="L123:L145" si="18">L111</f>
        <v>0</v>
      </c>
      <c r="M123" s="269">
        <f>Economic!S122</f>
        <v>4319.8519999999553</v>
      </c>
      <c r="O123" s="18">
        <f>'Large Use Predicted Monthly'!$Z$10</f>
        <v>1050929.47761405</v>
      </c>
      <c r="P123" s="18">
        <f ca="1">E123*'Large Use Predicted Monthly'!$Z$11</f>
        <v>140791.45244851906</v>
      </c>
      <c r="Q123" s="18">
        <f ca="1">F123*'Large Use Predicted Monthly'!$Z$12</f>
        <v>0</v>
      </c>
      <c r="R123" s="18">
        <f>I123*'Large Use Predicted Monthly'!$Z$13</f>
        <v>-353329.03195509827</v>
      </c>
      <c r="S123" s="18">
        <f>J123*'Large Use Predicted Monthly'!$Z$14</f>
        <v>1961955.7297581332</v>
      </c>
      <c r="T123" s="18">
        <f>K123*'Large Use Predicted Monthly'!$Z$15</f>
        <v>0</v>
      </c>
      <c r="U123" s="18">
        <f>L123*'Large Use Predicted Monthly'!$Z$16</f>
        <v>0</v>
      </c>
      <c r="V123" s="18">
        <f>M123*'Large Use Predicted Monthly'!$Z$17</f>
        <v>9071.0505877606029</v>
      </c>
      <c r="W123" s="18">
        <f t="shared" ca="1" si="15"/>
        <v>2809418.6784533649</v>
      </c>
      <c r="Y123" s="18"/>
    </row>
    <row r="124" spans="1:25" x14ac:dyDescent="0.25">
      <c r="A124" s="3">
        <v>45717</v>
      </c>
      <c r="B124" s="1">
        <f t="shared" si="9"/>
        <v>2025</v>
      </c>
      <c r="C124" s="1">
        <f t="shared" si="10"/>
        <v>3</v>
      </c>
      <c r="D124" s="259"/>
      <c r="E124" s="269">
        <f t="shared" ca="1" si="14"/>
        <v>238.57840579710145</v>
      </c>
      <c r="F124" s="269">
        <f t="shared" ca="1" si="14"/>
        <v>0</v>
      </c>
      <c r="G124" s="269"/>
      <c r="H124" s="269"/>
      <c r="I124" s="269">
        <f t="shared" si="16"/>
        <v>123</v>
      </c>
      <c r="J124" s="269">
        <f t="shared" si="17"/>
        <v>31</v>
      </c>
      <c r="K124" s="269"/>
      <c r="L124" s="269">
        <f t="shared" si="18"/>
        <v>1</v>
      </c>
      <c r="M124" s="269">
        <f>Economic!S123</f>
        <v>4319.8519999999553</v>
      </c>
      <c r="O124" s="18">
        <f>'Large Use Predicted Monthly'!$Z$10</f>
        <v>1050929.47761405</v>
      </c>
      <c r="P124" s="18">
        <f ca="1">E124*'Large Use Predicted Monthly'!$Z$11</f>
        <v>98389.116770376349</v>
      </c>
      <c r="Q124" s="18">
        <f ca="1">F124*'Large Use Predicted Monthly'!$Z$12</f>
        <v>0</v>
      </c>
      <c r="R124" s="18">
        <f>I124*'Large Use Predicted Monthly'!$Z$13</f>
        <v>-356225.1715612876</v>
      </c>
      <c r="S124" s="18">
        <f>J124*'Large Use Predicted Monthly'!$Z$14</f>
        <v>2172165.2722322186</v>
      </c>
      <c r="T124" s="18">
        <f>K124*'Large Use Predicted Monthly'!$Z$15</f>
        <v>0</v>
      </c>
      <c r="U124" s="18">
        <f>L124*'Large Use Predicted Monthly'!$Z$16</f>
        <v>177044.57271687401</v>
      </c>
      <c r="V124" s="18">
        <f>M124*'Large Use Predicted Monthly'!$Z$17</f>
        <v>9071.0505877606029</v>
      </c>
      <c r="W124" s="18">
        <f t="shared" ca="1" si="15"/>
        <v>3151374.3183599925</v>
      </c>
      <c r="Y124" s="18"/>
    </row>
    <row r="125" spans="1:25" x14ac:dyDescent="0.25">
      <c r="A125" s="3">
        <v>45748</v>
      </c>
      <c r="B125" s="1">
        <f t="shared" si="9"/>
        <v>2025</v>
      </c>
      <c r="C125" s="1">
        <f t="shared" si="10"/>
        <v>4</v>
      </c>
      <c r="D125" s="259"/>
      <c r="E125" s="269">
        <f t="shared" ca="1" si="14"/>
        <v>79.984412878787879</v>
      </c>
      <c r="F125" s="269">
        <f t="shared" ca="1" si="14"/>
        <v>2.1908333333333347</v>
      </c>
      <c r="G125" s="269"/>
      <c r="H125" s="269"/>
      <c r="I125" s="269">
        <f t="shared" si="16"/>
        <v>124</v>
      </c>
      <c r="J125" s="269">
        <f t="shared" si="17"/>
        <v>30</v>
      </c>
      <c r="K125" s="269"/>
      <c r="L125" s="269">
        <f t="shared" si="18"/>
        <v>1</v>
      </c>
      <c r="M125" s="269">
        <f>Economic!S124</f>
        <v>86.765999999945052</v>
      </c>
      <c r="O125" s="18">
        <f>'Large Use Predicted Monthly'!$Z$10</f>
        <v>1050929.47761405</v>
      </c>
      <c r="P125" s="18">
        <f ca="1">E125*'Large Use Predicted Monthly'!$Z$11</f>
        <v>32985.364757754884</v>
      </c>
      <c r="Q125" s="18">
        <f ca="1">F125*'Large Use Predicted Monthly'!$Z$12</f>
        <v>3952.4898480923639</v>
      </c>
      <c r="R125" s="18">
        <f>I125*'Large Use Predicted Monthly'!$Z$13</f>
        <v>-359121.31116747693</v>
      </c>
      <c r="S125" s="18">
        <f>J125*'Large Use Predicted Monthly'!$Z$14</f>
        <v>2102095.424740857</v>
      </c>
      <c r="T125" s="18">
        <f>K125*'Large Use Predicted Monthly'!$Z$15</f>
        <v>0</v>
      </c>
      <c r="U125" s="18">
        <f>L125*'Large Use Predicted Monthly'!$Z$16</f>
        <v>177044.57271687401</v>
      </c>
      <c r="V125" s="18">
        <f>M125*'Large Use Predicted Monthly'!$Z$17</f>
        <v>182.19577321101423</v>
      </c>
      <c r="W125" s="18">
        <f t="shared" ca="1" si="15"/>
        <v>3008068.2142833625</v>
      </c>
    </row>
    <row r="126" spans="1:25" x14ac:dyDescent="0.25">
      <c r="A126" s="3">
        <v>45778</v>
      </c>
      <c r="B126" s="1">
        <f t="shared" si="9"/>
        <v>2025</v>
      </c>
      <c r="C126" s="1">
        <f t="shared" si="10"/>
        <v>5</v>
      </c>
      <c r="D126" s="259"/>
      <c r="E126" s="269">
        <f t="shared" ca="1" si="14"/>
        <v>7.2018333333333331</v>
      </c>
      <c r="F126" s="269">
        <f t="shared" ca="1" si="14"/>
        <v>52.487435064935063</v>
      </c>
      <c r="G126" s="269"/>
      <c r="H126" s="269"/>
      <c r="I126" s="269">
        <f t="shared" si="16"/>
        <v>125</v>
      </c>
      <c r="J126" s="269">
        <f t="shared" si="17"/>
        <v>31</v>
      </c>
      <c r="K126" s="269"/>
      <c r="L126" s="269">
        <f t="shared" si="18"/>
        <v>1</v>
      </c>
      <c r="M126" s="269">
        <f>Economic!S125</f>
        <v>86.765999999945052</v>
      </c>
      <c r="O126" s="18">
        <f>'Large Use Predicted Monthly'!$Z$10</f>
        <v>1050929.47761405</v>
      </c>
      <c r="P126" s="18">
        <f ca="1">E126*'Large Use Predicted Monthly'!$Z$11</f>
        <v>2970.0174180756921</v>
      </c>
      <c r="Q126" s="18">
        <f ca="1">F126*'Large Use Predicted Monthly'!$Z$12</f>
        <v>94692.759640880729</v>
      </c>
      <c r="R126" s="18">
        <f>I126*'Large Use Predicted Monthly'!$Z$13</f>
        <v>-362017.45077366626</v>
      </c>
      <c r="S126" s="18">
        <f>J126*'Large Use Predicted Monthly'!$Z$14</f>
        <v>2172165.2722322186</v>
      </c>
      <c r="T126" s="18">
        <f>K126*'Large Use Predicted Monthly'!$Z$15</f>
        <v>0</v>
      </c>
      <c r="U126" s="18">
        <f>L126*'Large Use Predicted Monthly'!$Z$16</f>
        <v>177044.57271687401</v>
      </c>
      <c r="V126" s="18">
        <f>M126*'Large Use Predicted Monthly'!$Z$17</f>
        <v>182.19577321101423</v>
      </c>
      <c r="W126" s="18">
        <f t="shared" ca="1" si="15"/>
        <v>3135966.8446216434</v>
      </c>
    </row>
    <row r="127" spans="1:25" x14ac:dyDescent="0.25">
      <c r="A127" s="3">
        <v>45809</v>
      </c>
      <c r="B127" s="1">
        <f t="shared" si="9"/>
        <v>2025</v>
      </c>
      <c r="C127" s="1">
        <f t="shared" si="10"/>
        <v>6</v>
      </c>
      <c r="D127" s="259"/>
      <c r="E127" s="269">
        <f t="shared" ca="1" si="14"/>
        <v>0</v>
      </c>
      <c r="F127" s="269">
        <f t="shared" ca="1" si="14"/>
        <v>137.65451754405018</v>
      </c>
      <c r="G127" s="269"/>
      <c r="H127" s="269"/>
      <c r="I127" s="269">
        <f t="shared" si="16"/>
        <v>126</v>
      </c>
      <c r="J127" s="269">
        <f t="shared" si="17"/>
        <v>30</v>
      </c>
      <c r="K127" s="269"/>
      <c r="L127" s="269">
        <f t="shared" si="18"/>
        <v>0</v>
      </c>
      <c r="M127" s="269">
        <f>Economic!S126</f>
        <v>86.765999999945052</v>
      </c>
      <c r="O127" s="18">
        <f>'Large Use Predicted Monthly'!$Z$10</f>
        <v>1050929.47761405</v>
      </c>
      <c r="P127" s="18">
        <f ca="1">E127*'Large Use Predicted Monthly'!$Z$11</f>
        <v>0</v>
      </c>
      <c r="Q127" s="18">
        <f ca="1">F127*'Large Use Predicted Monthly'!$Z$12</f>
        <v>248342.9820328232</v>
      </c>
      <c r="R127" s="18">
        <f>I127*'Large Use Predicted Monthly'!$Z$13</f>
        <v>-364913.5903798556</v>
      </c>
      <c r="S127" s="18">
        <f>J127*'Large Use Predicted Monthly'!$Z$14</f>
        <v>2102095.424740857</v>
      </c>
      <c r="T127" s="18">
        <f>K127*'Large Use Predicted Monthly'!$Z$15</f>
        <v>0</v>
      </c>
      <c r="U127" s="18">
        <f>L127*'Large Use Predicted Monthly'!$Z$16</f>
        <v>0</v>
      </c>
      <c r="V127" s="18">
        <f>M127*'Large Use Predicted Monthly'!$Z$17</f>
        <v>182.19577321101423</v>
      </c>
      <c r="W127" s="18">
        <f t="shared" ca="1" si="15"/>
        <v>3036636.4897810854</v>
      </c>
    </row>
    <row r="128" spans="1:25" x14ac:dyDescent="0.25">
      <c r="A128" s="3">
        <v>45839</v>
      </c>
      <c r="B128" s="1">
        <f t="shared" si="9"/>
        <v>2025</v>
      </c>
      <c r="C128" s="1">
        <f t="shared" si="10"/>
        <v>7</v>
      </c>
      <c r="D128" s="259"/>
      <c r="E128" s="269">
        <f t="shared" ca="1" si="14"/>
        <v>0</v>
      </c>
      <c r="F128" s="269">
        <f t="shared" ca="1" si="14"/>
        <v>235.94737858727848</v>
      </c>
      <c r="G128" s="269"/>
      <c r="H128" s="269"/>
      <c r="I128" s="269">
        <f t="shared" si="16"/>
        <v>127</v>
      </c>
      <c r="J128" s="269">
        <f t="shared" si="17"/>
        <v>31</v>
      </c>
      <c r="K128" s="269"/>
      <c r="L128" s="269">
        <f t="shared" si="18"/>
        <v>0</v>
      </c>
      <c r="M128" s="269">
        <f>Economic!S127</f>
        <v>2757.5970000000671</v>
      </c>
      <c r="O128" s="18">
        <f>'Large Use Predicted Monthly'!$Z$10</f>
        <v>1050929.47761405</v>
      </c>
      <c r="P128" s="18">
        <f ca="1">E128*'Large Use Predicted Monthly'!$Z$11</f>
        <v>0</v>
      </c>
      <c r="Q128" s="18">
        <f ca="1">F128*'Large Use Predicted Monthly'!$Z$12</f>
        <v>425673.46605563629</v>
      </c>
      <c r="R128" s="18">
        <f>I128*'Large Use Predicted Monthly'!$Z$13</f>
        <v>-367809.72998604493</v>
      </c>
      <c r="S128" s="18">
        <f>J128*'Large Use Predicted Monthly'!$Z$14</f>
        <v>2172165.2722322186</v>
      </c>
      <c r="T128" s="18">
        <f>K128*'Large Use Predicted Monthly'!$Z$15</f>
        <v>0</v>
      </c>
      <c r="U128" s="18">
        <f>L128*'Large Use Predicted Monthly'!$Z$16</f>
        <v>0</v>
      </c>
      <c r="V128" s="18">
        <f>M128*'Large Use Predicted Monthly'!$Z$17</f>
        <v>5790.5460389980362</v>
      </c>
      <c r="W128" s="18">
        <f t="shared" ca="1" si="15"/>
        <v>3286749.031954858</v>
      </c>
    </row>
    <row r="129" spans="1:23" x14ac:dyDescent="0.25">
      <c r="A129" s="3">
        <v>45870</v>
      </c>
      <c r="B129" s="1">
        <f t="shared" si="9"/>
        <v>2025</v>
      </c>
      <c r="C129" s="1">
        <f t="shared" si="10"/>
        <v>8</v>
      </c>
      <c r="D129" s="259"/>
      <c r="E129" s="269">
        <f t="shared" ca="1" si="14"/>
        <v>0</v>
      </c>
      <c r="F129" s="269">
        <f t="shared" ca="1" si="14"/>
        <v>210.96558794466404</v>
      </c>
      <c r="G129" s="269"/>
      <c r="H129" s="269"/>
      <c r="I129" s="269">
        <f t="shared" si="16"/>
        <v>128</v>
      </c>
      <c r="J129" s="269">
        <f t="shared" si="17"/>
        <v>31</v>
      </c>
      <c r="K129" s="269"/>
      <c r="L129" s="269">
        <f t="shared" si="18"/>
        <v>0</v>
      </c>
      <c r="M129" s="269">
        <f>Economic!S128</f>
        <v>2757.5970000000671</v>
      </c>
      <c r="O129" s="18">
        <f>'Large Use Predicted Monthly'!$Z$10</f>
        <v>1050929.47761405</v>
      </c>
      <c r="P129" s="18">
        <f ca="1">E129*'Large Use Predicted Monthly'!$Z$11</f>
        <v>0</v>
      </c>
      <c r="Q129" s="18">
        <f ca="1">F129*'Large Use Predicted Monthly'!$Z$12</f>
        <v>380603.73281770444</v>
      </c>
      <c r="R129" s="18">
        <f>I129*'Large Use Predicted Monthly'!$Z$13</f>
        <v>-370705.86959223426</v>
      </c>
      <c r="S129" s="18">
        <f>J129*'Large Use Predicted Monthly'!$Z$14</f>
        <v>2172165.2722322186</v>
      </c>
      <c r="T129" s="18">
        <f>K129*'Large Use Predicted Monthly'!$Z$15</f>
        <v>0</v>
      </c>
      <c r="U129" s="18">
        <f>L129*'Large Use Predicted Monthly'!$Z$16</f>
        <v>0</v>
      </c>
      <c r="V129" s="18">
        <f>M129*'Large Use Predicted Monthly'!$Z$17</f>
        <v>5790.5460389980362</v>
      </c>
      <c r="W129" s="18">
        <f t="shared" ca="1" si="15"/>
        <v>3238783.1591107366</v>
      </c>
    </row>
    <row r="130" spans="1:23" x14ac:dyDescent="0.25">
      <c r="A130" s="3">
        <v>45901</v>
      </c>
      <c r="B130" s="1">
        <f t="shared" ref="B130:B145" si="19">YEAR(A130)</f>
        <v>2025</v>
      </c>
      <c r="C130" s="1">
        <f t="shared" ref="C130:C145" si="20">MONTH(A130)</f>
        <v>9</v>
      </c>
      <c r="D130" s="259"/>
      <c r="E130" s="269">
        <f t="shared" ca="1" si="14"/>
        <v>0</v>
      </c>
      <c r="F130" s="269">
        <f t="shared" ca="1" si="14"/>
        <v>106.4160119047619</v>
      </c>
      <c r="G130" s="269"/>
      <c r="H130" s="269"/>
      <c r="I130" s="269">
        <f t="shared" si="16"/>
        <v>129</v>
      </c>
      <c r="J130" s="269">
        <f t="shared" si="17"/>
        <v>30</v>
      </c>
      <c r="K130" s="269"/>
      <c r="L130" s="269">
        <f t="shared" si="18"/>
        <v>1</v>
      </c>
      <c r="M130" s="269">
        <f>Economic!S129</f>
        <v>2757.5970000000671</v>
      </c>
      <c r="O130" s="18">
        <f>'Large Use Predicted Monthly'!$Z$10</f>
        <v>1050929.47761405</v>
      </c>
      <c r="P130" s="18">
        <f ca="1">E130*'Large Use Predicted Monthly'!$Z$11</f>
        <v>0</v>
      </c>
      <c r="Q130" s="18">
        <f ca="1">F130*'Large Use Predicted Monthly'!$Z$12</f>
        <v>191985.4880462749</v>
      </c>
      <c r="R130" s="18">
        <f>I130*'Large Use Predicted Monthly'!$Z$13</f>
        <v>-373602.00919842359</v>
      </c>
      <c r="S130" s="18">
        <f>J130*'Large Use Predicted Monthly'!$Z$14</f>
        <v>2102095.424740857</v>
      </c>
      <c r="T130" s="18">
        <f>K130*'Large Use Predicted Monthly'!$Z$15</f>
        <v>0</v>
      </c>
      <c r="U130" s="18">
        <f>L130*'Large Use Predicted Monthly'!$Z$16</f>
        <v>177044.57271687401</v>
      </c>
      <c r="V130" s="18">
        <f>M130*'Large Use Predicted Monthly'!$Z$17</f>
        <v>5790.5460389980362</v>
      </c>
      <c r="W130" s="18">
        <f t="shared" ca="1" si="15"/>
        <v>3154243.4999586302</v>
      </c>
    </row>
    <row r="131" spans="1:23" x14ac:dyDescent="0.25">
      <c r="A131" s="3">
        <v>45931</v>
      </c>
      <c r="B131" s="1">
        <f t="shared" si="19"/>
        <v>2025</v>
      </c>
      <c r="C131" s="1">
        <f t="shared" si="20"/>
        <v>10</v>
      </c>
      <c r="D131" s="259"/>
      <c r="E131" s="269">
        <f t="shared" ca="1" si="14"/>
        <v>24.76139492753623</v>
      </c>
      <c r="F131" s="269">
        <f t="shared" ca="1" si="14"/>
        <v>17.987083333333334</v>
      </c>
      <c r="G131" s="269"/>
      <c r="H131" s="269"/>
      <c r="I131" s="269">
        <f t="shared" si="16"/>
        <v>130</v>
      </c>
      <c r="J131" s="269">
        <f t="shared" si="17"/>
        <v>31</v>
      </c>
      <c r="K131" s="269"/>
      <c r="L131" s="269">
        <f t="shared" si="18"/>
        <v>1</v>
      </c>
      <c r="M131" s="269">
        <f>Economic!S130</f>
        <v>736.56999999994878</v>
      </c>
      <c r="O131" s="18">
        <f>'Large Use Predicted Monthly'!$Z$10</f>
        <v>1050929.47761405</v>
      </c>
      <c r="P131" s="18">
        <f ca="1">E131*'Large Use Predicted Monthly'!$Z$11</f>
        <v>10211.535150396941</v>
      </c>
      <c r="Q131" s="18">
        <f ca="1">F131*'Large Use Predicted Monthly'!$Z$12</f>
        <v>32450.558054830573</v>
      </c>
      <c r="R131" s="18">
        <f>I131*'Large Use Predicted Monthly'!$Z$13</f>
        <v>-376498.14880461292</v>
      </c>
      <c r="S131" s="18">
        <f>J131*'Large Use Predicted Monthly'!$Z$14</f>
        <v>2172165.2722322186</v>
      </c>
      <c r="T131" s="18">
        <f>K131*'Large Use Predicted Monthly'!$Z$15</f>
        <v>0</v>
      </c>
      <c r="U131" s="18">
        <f>L131*'Large Use Predicted Monthly'!$Z$16</f>
        <v>177044.57271687401</v>
      </c>
      <c r="V131" s="18">
        <f>M131*'Large Use Predicted Monthly'!$Z$17</f>
        <v>1546.6881114043797</v>
      </c>
      <c r="W131" s="18">
        <f t="shared" ref="W131:W145" ca="1" si="21">SUM(O131:V131)</f>
        <v>3067849.955075162</v>
      </c>
    </row>
    <row r="132" spans="1:23" x14ac:dyDescent="0.25">
      <c r="A132" s="3">
        <v>45962</v>
      </c>
      <c r="B132" s="1">
        <f t="shared" si="19"/>
        <v>2025</v>
      </c>
      <c r="C132" s="1">
        <f t="shared" si="20"/>
        <v>11</v>
      </c>
      <c r="D132" s="259"/>
      <c r="E132" s="269">
        <f t="shared" ca="1" si="14"/>
        <v>140.02366389045739</v>
      </c>
      <c r="F132" s="269">
        <f t="shared" ca="1" si="14"/>
        <v>0.8083333333333329</v>
      </c>
      <c r="G132" s="269"/>
      <c r="H132" s="269"/>
      <c r="I132" s="269">
        <f t="shared" si="16"/>
        <v>131</v>
      </c>
      <c r="J132" s="269">
        <f t="shared" si="17"/>
        <v>30</v>
      </c>
      <c r="K132" s="269"/>
      <c r="L132" s="269">
        <f t="shared" si="18"/>
        <v>1</v>
      </c>
      <c r="M132" s="269">
        <f>Economic!S131</f>
        <v>736.56999999994878</v>
      </c>
      <c r="O132" s="18">
        <f>'Large Use Predicted Monthly'!$Z$10</f>
        <v>1050929.47761405</v>
      </c>
      <c r="P132" s="18">
        <f ca="1">E132*'Large Use Predicted Monthly'!$Z$11</f>
        <v>57745.396407965767</v>
      </c>
      <c r="Q132" s="18">
        <f ca="1">F132*'Large Use Predicted Monthly'!$Z$12</f>
        <v>1458.3169085772493</v>
      </c>
      <c r="R132" s="18">
        <f>I132*'Large Use Predicted Monthly'!$Z$13</f>
        <v>-379394.28841080226</v>
      </c>
      <c r="S132" s="18">
        <f>J132*'Large Use Predicted Monthly'!$Z$14</f>
        <v>2102095.424740857</v>
      </c>
      <c r="T132" s="18">
        <f>K132*'Large Use Predicted Monthly'!$Z$15</f>
        <v>0</v>
      </c>
      <c r="U132" s="18">
        <f>L132*'Large Use Predicted Monthly'!$Z$16</f>
        <v>177044.57271687401</v>
      </c>
      <c r="V132" s="18">
        <f>M132*'Large Use Predicted Monthly'!$Z$17</f>
        <v>1546.6881114043797</v>
      </c>
      <c r="W132" s="18">
        <f t="shared" ca="1" si="21"/>
        <v>3011425.5880889264</v>
      </c>
    </row>
    <row r="133" spans="1:23" x14ac:dyDescent="0.25">
      <c r="A133" s="3">
        <v>45992</v>
      </c>
      <c r="B133" s="1">
        <f t="shared" si="19"/>
        <v>2025</v>
      </c>
      <c r="C133" s="1">
        <f t="shared" si="20"/>
        <v>12</v>
      </c>
      <c r="D133" s="259"/>
      <c r="E133" s="269">
        <f t="shared" ca="1" si="14"/>
        <v>268.92048913043476</v>
      </c>
      <c r="F133" s="269">
        <f t="shared" ca="1" si="14"/>
        <v>0</v>
      </c>
      <c r="G133" s="269"/>
      <c r="H133" s="269"/>
      <c r="I133" s="269">
        <f t="shared" si="16"/>
        <v>132</v>
      </c>
      <c r="J133" s="269">
        <f t="shared" si="17"/>
        <v>31</v>
      </c>
      <c r="K133" s="269"/>
      <c r="L133" s="269">
        <f t="shared" si="18"/>
        <v>0</v>
      </c>
      <c r="M133" s="269">
        <f>Economic!S132</f>
        <v>736.56999999994878</v>
      </c>
      <c r="O133" s="18">
        <f>'Large Use Predicted Monthly'!$Z$10</f>
        <v>1050929.47761405</v>
      </c>
      <c r="P133" s="18">
        <f ca="1">E133*'Large Use Predicted Monthly'!$Z$11</f>
        <v>110902.11336856257</v>
      </c>
      <c r="Q133" s="18">
        <f ca="1">F133*'Large Use Predicted Monthly'!$Z$12</f>
        <v>0</v>
      </c>
      <c r="R133" s="18">
        <f>I133*'Large Use Predicted Monthly'!$Z$13</f>
        <v>-382290.42801699159</v>
      </c>
      <c r="S133" s="18">
        <f>J133*'Large Use Predicted Monthly'!$Z$14</f>
        <v>2172165.2722322186</v>
      </c>
      <c r="T133" s="18">
        <f>K133*'Large Use Predicted Monthly'!$Z$15</f>
        <v>0</v>
      </c>
      <c r="U133" s="18">
        <f>L133*'Large Use Predicted Monthly'!$Z$16</f>
        <v>0</v>
      </c>
      <c r="V133" s="18">
        <f>M133*'Large Use Predicted Monthly'!$Z$17</f>
        <v>1546.6881114043797</v>
      </c>
      <c r="W133" s="18">
        <f t="shared" ca="1" si="21"/>
        <v>2953253.1233092439</v>
      </c>
    </row>
    <row r="134" spans="1:23" x14ac:dyDescent="0.25">
      <c r="A134" s="3">
        <v>46023</v>
      </c>
      <c r="B134" s="1">
        <f t="shared" si="19"/>
        <v>2026</v>
      </c>
      <c r="C134" s="1">
        <f t="shared" si="20"/>
        <v>1</v>
      </c>
      <c r="D134" s="259"/>
      <c r="E134" s="269">
        <f t="shared" ref="E134:F145" ca="1" si="22">E122</f>
        <v>387.33418478260865</v>
      </c>
      <c r="F134" s="269">
        <f t="shared" ca="1" si="22"/>
        <v>0</v>
      </c>
      <c r="G134" s="269"/>
      <c r="H134" s="269"/>
      <c r="I134" s="269">
        <f t="shared" si="16"/>
        <v>133</v>
      </c>
      <c r="J134" s="269">
        <f t="shared" si="17"/>
        <v>31</v>
      </c>
      <c r="K134" s="269"/>
      <c r="L134" s="269">
        <f t="shared" si="18"/>
        <v>0</v>
      </c>
      <c r="M134" s="269">
        <f>Economic!S133</f>
        <v>4358.7306679999456</v>
      </c>
      <c r="O134" s="18">
        <f>'Large Use Predicted Monthly'!$Z$10</f>
        <v>1050929.47761405</v>
      </c>
      <c r="P134" s="18">
        <f ca="1">E134*'Large Use Predicted Monthly'!$Z$11</f>
        <v>159735.61483240328</v>
      </c>
      <c r="Q134" s="18">
        <f ca="1">F134*'Large Use Predicted Monthly'!$Z$12</f>
        <v>0</v>
      </c>
      <c r="R134" s="18">
        <f>I134*'Large Use Predicted Monthly'!$Z$13</f>
        <v>-385186.56762318092</v>
      </c>
      <c r="S134" s="18">
        <f>J134*'Large Use Predicted Monthly'!$Z$14</f>
        <v>2172165.2722322186</v>
      </c>
      <c r="T134" s="18">
        <f>K134*'Large Use Predicted Monthly'!$Z$15</f>
        <v>0</v>
      </c>
      <c r="U134" s="18">
        <f>L134*'Large Use Predicted Monthly'!$Z$16</f>
        <v>0</v>
      </c>
      <c r="V134" s="18">
        <f>M134*'Large Use Predicted Monthly'!$Z$17</f>
        <v>9152.6900430504284</v>
      </c>
      <c r="W134" s="18">
        <f t="shared" ca="1" si="21"/>
        <v>3006796.4870985416</v>
      </c>
    </row>
    <row r="135" spans="1:23" x14ac:dyDescent="0.25">
      <c r="A135" s="3">
        <v>46054</v>
      </c>
      <c r="B135" s="1">
        <f t="shared" si="19"/>
        <v>2026</v>
      </c>
      <c r="C135" s="1">
        <f t="shared" si="20"/>
        <v>2</v>
      </c>
      <c r="D135" s="259"/>
      <c r="E135" s="269">
        <f t="shared" ca="1" si="22"/>
        <v>341.39751811594203</v>
      </c>
      <c r="F135" s="269">
        <f t="shared" ca="1" si="22"/>
        <v>0</v>
      </c>
      <c r="G135" s="269"/>
      <c r="H135" s="269"/>
      <c r="I135" s="269">
        <f t="shared" si="16"/>
        <v>134</v>
      </c>
      <c r="J135" s="269">
        <f t="shared" si="17"/>
        <v>28</v>
      </c>
      <c r="K135" s="269"/>
      <c r="L135" s="269">
        <f t="shared" si="18"/>
        <v>0</v>
      </c>
      <c r="M135" s="269">
        <f>Economic!S134</f>
        <v>4358.7306679999456</v>
      </c>
      <c r="O135" s="18">
        <f>'Large Use Predicted Monthly'!$Z$10</f>
        <v>1050929.47761405</v>
      </c>
      <c r="P135" s="18">
        <f ca="1">E135*'Large Use Predicted Monthly'!$Z$11</f>
        <v>140791.45244851906</v>
      </c>
      <c r="Q135" s="18">
        <f ca="1">F135*'Large Use Predicted Monthly'!$Z$12</f>
        <v>0</v>
      </c>
      <c r="R135" s="18">
        <f>I135*'Large Use Predicted Monthly'!$Z$13</f>
        <v>-388082.70722937025</v>
      </c>
      <c r="S135" s="18">
        <f>J135*'Large Use Predicted Monthly'!$Z$14</f>
        <v>1961955.7297581332</v>
      </c>
      <c r="T135" s="18">
        <f>K135*'Large Use Predicted Monthly'!$Z$15</f>
        <v>0</v>
      </c>
      <c r="U135" s="18">
        <f>L135*'Large Use Predicted Monthly'!$Z$16</f>
        <v>0</v>
      </c>
      <c r="V135" s="18">
        <f>M135*'Large Use Predicted Monthly'!$Z$17</f>
        <v>9152.6900430504284</v>
      </c>
      <c r="W135" s="18">
        <f t="shared" ca="1" si="21"/>
        <v>2774746.6426343825</v>
      </c>
    </row>
    <row r="136" spans="1:23" x14ac:dyDescent="0.25">
      <c r="A136" s="3">
        <v>46082</v>
      </c>
      <c r="B136" s="1">
        <f t="shared" si="19"/>
        <v>2026</v>
      </c>
      <c r="C136" s="1">
        <f t="shared" si="20"/>
        <v>3</v>
      </c>
      <c r="D136" s="259"/>
      <c r="E136" s="269">
        <f t="shared" ca="1" si="22"/>
        <v>238.57840579710145</v>
      </c>
      <c r="F136" s="269">
        <f t="shared" ca="1" si="22"/>
        <v>0</v>
      </c>
      <c r="G136" s="269"/>
      <c r="H136" s="269"/>
      <c r="I136" s="269">
        <f t="shared" si="16"/>
        <v>135</v>
      </c>
      <c r="J136" s="269">
        <f t="shared" si="17"/>
        <v>31</v>
      </c>
      <c r="K136" s="269"/>
      <c r="L136" s="269">
        <f t="shared" si="18"/>
        <v>1</v>
      </c>
      <c r="M136" s="269">
        <f>Economic!S135</f>
        <v>4358.7306679999456</v>
      </c>
      <c r="O136" s="18">
        <f>'Large Use Predicted Monthly'!$Z$10</f>
        <v>1050929.47761405</v>
      </c>
      <c r="P136" s="18">
        <f ca="1">E136*'Large Use Predicted Monthly'!$Z$11</f>
        <v>98389.116770376349</v>
      </c>
      <c r="Q136" s="18">
        <f ca="1">F136*'Large Use Predicted Monthly'!$Z$12</f>
        <v>0</v>
      </c>
      <c r="R136" s="18">
        <f>I136*'Large Use Predicted Monthly'!$Z$13</f>
        <v>-390978.84683555958</v>
      </c>
      <c r="S136" s="18">
        <f>J136*'Large Use Predicted Monthly'!$Z$14</f>
        <v>2172165.2722322186</v>
      </c>
      <c r="T136" s="18">
        <f>K136*'Large Use Predicted Monthly'!$Z$15</f>
        <v>0</v>
      </c>
      <c r="U136" s="18">
        <f>L136*'Large Use Predicted Monthly'!$Z$16</f>
        <v>177044.57271687401</v>
      </c>
      <c r="V136" s="18">
        <f>M136*'Large Use Predicted Monthly'!$Z$17</f>
        <v>9152.6900430504284</v>
      </c>
      <c r="W136" s="18">
        <f t="shared" ca="1" si="21"/>
        <v>3116702.2825410101</v>
      </c>
    </row>
    <row r="137" spans="1:23" x14ac:dyDescent="0.25">
      <c r="A137" s="3">
        <v>46113</v>
      </c>
      <c r="B137" s="1">
        <f t="shared" si="19"/>
        <v>2026</v>
      </c>
      <c r="C137" s="1">
        <f t="shared" si="20"/>
        <v>4</v>
      </c>
      <c r="D137" s="259"/>
      <c r="E137" s="269">
        <f t="shared" ca="1" si="22"/>
        <v>79.984412878787879</v>
      </c>
      <c r="F137" s="269">
        <f t="shared" ca="1" si="22"/>
        <v>2.1908333333333347</v>
      </c>
      <c r="G137" s="269"/>
      <c r="H137" s="269"/>
      <c r="I137" s="269">
        <f t="shared" si="16"/>
        <v>136</v>
      </c>
      <c r="J137" s="269">
        <f t="shared" si="17"/>
        <v>30</v>
      </c>
      <c r="K137" s="269"/>
      <c r="L137" s="269">
        <f t="shared" si="18"/>
        <v>1</v>
      </c>
      <c r="M137" s="269">
        <f>Economic!S136</f>
        <v>87.546893999911845</v>
      </c>
      <c r="O137" s="18">
        <f>'Large Use Predicted Monthly'!$Z$10</f>
        <v>1050929.47761405</v>
      </c>
      <c r="P137" s="18">
        <f ca="1">E137*'Large Use Predicted Monthly'!$Z$11</f>
        <v>32985.364757754884</v>
      </c>
      <c r="Q137" s="18">
        <f ca="1">F137*'Large Use Predicted Monthly'!$Z$12</f>
        <v>3952.4898480923639</v>
      </c>
      <c r="R137" s="18">
        <f>I137*'Large Use Predicted Monthly'!$Z$13</f>
        <v>-393874.98644174892</v>
      </c>
      <c r="S137" s="18">
        <f>J137*'Large Use Predicted Monthly'!$Z$14</f>
        <v>2102095.424740857</v>
      </c>
      <c r="T137" s="18">
        <f>K137*'Large Use Predicted Monthly'!$Z$15</f>
        <v>0</v>
      </c>
      <c r="U137" s="18">
        <f>L137*'Large Use Predicted Monthly'!$Z$16</f>
        <v>177044.57271687401</v>
      </c>
      <c r="V137" s="18">
        <f>M137*'Large Use Predicted Monthly'!$Z$17</f>
        <v>183.83553516984466</v>
      </c>
      <c r="W137" s="18">
        <f t="shared" ca="1" si="21"/>
        <v>2973316.1787710492</v>
      </c>
    </row>
    <row r="138" spans="1:23" x14ac:dyDescent="0.25">
      <c r="A138" s="3">
        <v>46143</v>
      </c>
      <c r="B138" s="1">
        <f t="shared" si="19"/>
        <v>2026</v>
      </c>
      <c r="C138" s="1">
        <f t="shared" si="20"/>
        <v>5</v>
      </c>
      <c r="D138" s="259"/>
      <c r="E138" s="269">
        <f t="shared" ca="1" si="22"/>
        <v>7.2018333333333331</v>
      </c>
      <c r="F138" s="269">
        <f t="shared" ca="1" si="22"/>
        <v>52.487435064935063</v>
      </c>
      <c r="G138" s="269"/>
      <c r="H138" s="269"/>
      <c r="I138" s="269">
        <f t="shared" si="16"/>
        <v>137</v>
      </c>
      <c r="J138" s="269">
        <f t="shared" si="17"/>
        <v>31</v>
      </c>
      <c r="K138" s="269"/>
      <c r="L138" s="269">
        <f t="shared" si="18"/>
        <v>1</v>
      </c>
      <c r="M138" s="269">
        <f>Economic!S137</f>
        <v>87.546893999911845</v>
      </c>
      <c r="O138" s="18">
        <f>'Large Use Predicted Monthly'!$Z$10</f>
        <v>1050929.47761405</v>
      </c>
      <c r="P138" s="18">
        <f ca="1">E138*'Large Use Predicted Monthly'!$Z$11</f>
        <v>2970.0174180756921</v>
      </c>
      <c r="Q138" s="18">
        <f ca="1">F138*'Large Use Predicted Monthly'!$Z$12</f>
        <v>94692.759640880729</v>
      </c>
      <c r="R138" s="18">
        <f>I138*'Large Use Predicted Monthly'!$Z$13</f>
        <v>-396771.12604793825</v>
      </c>
      <c r="S138" s="18">
        <f>J138*'Large Use Predicted Monthly'!$Z$14</f>
        <v>2172165.2722322186</v>
      </c>
      <c r="T138" s="18">
        <f>K138*'Large Use Predicted Monthly'!$Z$15</f>
        <v>0</v>
      </c>
      <c r="U138" s="18">
        <f>L138*'Large Use Predicted Monthly'!$Z$16</f>
        <v>177044.57271687401</v>
      </c>
      <c r="V138" s="18">
        <f>M138*'Large Use Predicted Monthly'!$Z$17</f>
        <v>183.83553516984466</v>
      </c>
      <c r="W138" s="18">
        <f t="shared" ca="1" si="21"/>
        <v>3101214.8091093306</v>
      </c>
    </row>
    <row r="139" spans="1:23" x14ac:dyDescent="0.25">
      <c r="A139" s="3">
        <v>46174</v>
      </c>
      <c r="B139" s="1">
        <f t="shared" si="19"/>
        <v>2026</v>
      </c>
      <c r="C139" s="1">
        <f t="shared" si="20"/>
        <v>6</v>
      </c>
      <c r="D139" s="259"/>
      <c r="E139" s="269">
        <f t="shared" ca="1" si="22"/>
        <v>0</v>
      </c>
      <c r="F139" s="269">
        <f t="shared" ca="1" si="22"/>
        <v>137.65451754405018</v>
      </c>
      <c r="G139" s="269"/>
      <c r="H139" s="269"/>
      <c r="I139" s="269">
        <f t="shared" si="16"/>
        <v>138</v>
      </c>
      <c r="J139" s="269">
        <f t="shared" si="17"/>
        <v>30</v>
      </c>
      <c r="K139" s="269"/>
      <c r="L139" s="269">
        <f t="shared" si="18"/>
        <v>0</v>
      </c>
      <c r="M139" s="269">
        <f>Economic!S138</f>
        <v>87.546893999911845</v>
      </c>
      <c r="O139" s="18">
        <f>'Large Use Predicted Monthly'!$Z$10</f>
        <v>1050929.47761405</v>
      </c>
      <c r="P139" s="18">
        <f ca="1">E139*'Large Use Predicted Monthly'!$Z$11</f>
        <v>0</v>
      </c>
      <c r="Q139" s="18">
        <f ca="1">F139*'Large Use Predicted Monthly'!$Z$12</f>
        <v>248342.9820328232</v>
      </c>
      <c r="R139" s="18">
        <f>I139*'Large Use Predicted Monthly'!$Z$13</f>
        <v>-399667.26565412758</v>
      </c>
      <c r="S139" s="18">
        <f>J139*'Large Use Predicted Monthly'!$Z$14</f>
        <v>2102095.424740857</v>
      </c>
      <c r="T139" s="18">
        <f>K139*'Large Use Predicted Monthly'!$Z$15</f>
        <v>0</v>
      </c>
      <c r="U139" s="18">
        <f>L139*'Large Use Predicted Monthly'!$Z$16</f>
        <v>0</v>
      </c>
      <c r="V139" s="18">
        <f>M139*'Large Use Predicted Monthly'!$Z$17</f>
        <v>183.83553516984466</v>
      </c>
      <c r="W139" s="18">
        <f t="shared" ca="1" si="21"/>
        <v>3001884.4542687726</v>
      </c>
    </row>
    <row r="140" spans="1:23" x14ac:dyDescent="0.25">
      <c r="A140" s="3">
        <v>46204</v>
      </c>
      <c r="B140" s="1">
        <f t="shared" si="19"/>
        <v>2026</v>
      </c>
      <c r="C140" s="1">
        <f t="shared" si="20"/>
        <v>7</v>
      </c>
      <c r="D140" s="259"/>
      <c r="E140" s="269">
        <f t="shared" ca="1" si="22"/>
        <v>0</v>
      </c>
      <c r="F140" s="269">
        <f t="shared" ca="1" si="22"/>
        <v>235.94737858727848</v>
      </c>
      <c r="G140" s="269"/>
      <c r="H140" s="269"/>
      <c r="I140" s="269">
        <f t="shared" si="16"/>
        <v>139</v>
      </c>
      <c r="J140" s="269">
        <f t="shared" si="17"/>
        <v>31</v>
      </c>
      <c r="K140" s="269"/>
      <c r="L140" s="269">
        <f t="shared" si="18"/>
        <v>0</v>
      </c>
      <c r="M140" s="269">
        <f>Economic!S139</f>
        <v>2782.4153730000835</v>
      </c>
      <c r="O140" s="18">
        <f>'Large Use Predicted Monthly'!$Z$10</f>
        <v>1050929.47761405</v>
      </c>
      <c r="P140" s="18">
        <f ca="1">E140*'Large Use Predicted Monthly'!$Z$11</f>
        <v>0</v>
      </c>
      <c r="Q140" s="18">
        <f ca="1">F140*'Large Use Predicted Monthly'!$Z$12</f>
        <v>425673.46605563629</v>
      </c>
      <c r="R140" s="18">
        <f>I140*'Large Use Predicted Monthly'!$Z$13</f>
        <v>-402563.40526031691</v>
      </c>
      <c r="S140" s="18">
        <f>J140*'Large Use Predicted Monthly'!$Z$14</f>
        <v>2172165.2722322186</v>
      </c>
      <c r="T140" s="18">
        <f>K140*'Large Use Predicted Monthly'!$Z$15</f>
        <v>0</v>
      </c>
      <c r="U140" s="18">
        <f>L140*'Large Use Predicted Monthly'!$Z$16</f>
        <v>0</v>
      </c>
      <c r="V140" s="18">
        <f>M140*'Large Use Predicted Monthly'!$Z$17</f>
        <v>5842.6609533490519</v>
      </c>
      <c r="W140" s="18">
        <f t="shared" ca="1" si="21"/>
        <v>3252047.4715949371</v>
      </c>
    </row>
    <row r="141" spans="1:23" x14ac:dyDescent="0.25">
      <c r="A141" s="3">
        <v>46235</v>
      </c>
      <c r="B141" s="1">
        <f t="shared" si="19"/>
        <v>2026</v>
      </c>
      <c r="C141" s="1">
        <f t="shared" si="20"/>
        <v>8</v>
      </c>
      <c r="D141" s="259"/>
      <c r="E141" s="269">
        <f t="shared" ca="1" si="22"/>
        <v>0</v>
      </c>
      <c r="F141" s="269">
        <f t="shared" ca="1" si="22"/>
        <v>210.96558794466404</v>
      </c>
      <c r="G141" s="269"/>
      <c r="H141" s="269"/>
      <c r="I141" s="269">
        <f t="shared" si="16"/>
        <v>140</v>
      </c>
      <c r="J141" s="269">
        <f t="shared" si="17"/>
        <v>31</v>
      </c>
      <c r="K141" s="269"/>
      <c r="L141" s="269">
        <f t="shared" si="18"/>
        <v>0</v>
      </c>
      <c r="M141" s="269">
        <f>Economic!S140</f>
        <v>2782.4153730000835</v>
      </c>
      <c r="O141" s="18">
        <f>'Large Use Predicted Monthly'!$Z$10</f>
        <v>1050929.47761405</v>
      </c>
      <c r="P141" s="18">
        <f ca="1">E141*'Large Use Predicted Monthly'!$Z$11</f>
        <v>0</v>
      </c>
      <c r="Q141" s="18">
        <f ca="1">F141*'Large Use Predicted Monthly'!$Z$12</f>
        <v>380603.73281770444</v>
      </c>
      <c r="R141" s="18">
        <f>I141*'Large Use Predicted Monthly'!$Z$13</f>
        <v>-405459.54486650624</v>
      </c>
      <c r="S141" s="18">
        <f>J141*'Large Use Predicted Monthly'!$Z$14</f>
        <v>2172165.2722322186</v>
      </c>
      <c r="T141" s="18">
        <f>K141*'Large Use Predicted Monthly'!$Z$15</f>
        <v>0</v>
      </c>
      <c r="U141" s="18">
        <f>L141*'Large Use Predicted Monthly'!$Z$16</f>
        <v>0</v>
      </c>
      <c r="V141" s="18">
        <f>M141*'Large Use Predicted Monthly'!$Z$17</f>
        <v>5842.6609533490519</v>
      </c>
      <c r="W141" s="18">
        <f t="shared" ca="1" si="21"/>
        <v>3204081.5987508162</v>
      </c>
    </row>
    <row r="142" spans="1:23" x14ac:dyDescent="0.25">
      <c r="A142" s="3">
        <v>46266</v>
      </c>
      <c r="B142" s="1">
        <f t="shared" si="19"/>
        <v>2026</v>
      </c>
      <c r="C142" s="1">
        <f t="shared" si="20"/>
        <v>9</v>
      </c>
      <c r="D142" s="259"/>
      <c r="E142" s="269">
        <f t="shared" ca="1" si="22"/>
        <v>0</v>
      </c>
      <c r="F142" s="269">
        <f t="shared" ca="1" si="22"/>
        <v>106.4160119047619</v>
      </c>
      <c r="G142" s="269"/>
      <c r="H142" s="269"/>
      <c r="I142" s="269">
        <f t="shared" si="16"/>
        <v>141</v>
      </c>
      <c r="J142" s="269">
        <f t="shared" si="17"/>
        <v>30</v>
      </c>
      <c r="K142" s="269"/>
      <c r="L142" s="269">
        <f t="shared" si="18"/>
        <v>1</v>
      </c>
      <c r="M142" s="269">
        <f>Economic!S141</f>
        <v>2782.4153730000835</v>
      </c>
      <c r="O142" s="18">
        <f>'Large Use Predicted Monthly'!$Z$10</f>
        <v>1050929.47761405</v>
      </c>
      <c r="P142" s="18">
        <f ca="1">E142*'Large Use Predicted Monthly'!$Z$11</f>
        <v>0</v>
      </c>
      <c r="Q142" s="18">
        <f ca="1">F142*'Large Use Predicted Monthly'!$Z$12</f>
        <v>191985.4880462749</v>
      </c>
      <c r="R142" s="18">
        <f>I142*'Large Use Predicted Monthly'!$Z$13</f>
        <v>-408355.68447269558</v>
      </c>
      <c r="S142" s="18">
        <f>J142*'Large Use Predicted Monthly'!$Z$14</f>
        <v>2102095.424740857</v>
      </c>
      <c r="T142" s="18">
        <f>K142*'Large Use Predicted Monthly'!$Z$15</f>
        <v>0</v>
      </c>
      <c r="U142" s="18">
        <f>L142*'Large Use Predicted Monthly'!$Z$16</f>
        <v>177044.57271687401</v>
      </c>
      <c r="V142" s="18">
        <f>M142*'Large Use Predicted Monthly'!$Z$17</f>
        <v>5842.6609533490519</v>
      </c>
      <c r="W142" s="18">
        <f t="shared" ca="1" si="21"/>
        <v>3119541.9395987093</v>
      </c>
    </row>
    <row r="143" spans="1:23" x14ac:dyDescent="0.25">
      <c r="A143" s="3">
        <v>46296</v>
      </c>
      <c r="B143" s="1">
        <f t="shared" si="19"/>
        <v>2026</v>
      </c>
      <c r="C143" s="1">
        <f t="shared" si="20"/>
        <v>10</v>
      </c>
      <c r="D143" s="259"/>
      <c r="E143" s="269">
        <f t="shared" ca="1" si="22"/>
        <v>24.76139492753623</v>
      </c>
      <c r="F143" s="269">
        <f t="shared" ca="1" si="22"/>
        <v>17.987083333333334</v>
      </c>
      <c r="G143" s="269"/>
      <c r="H143" s="269"/>
      <c r="I143" s="269">
        <f t="shared" si="16"/>
        <v>142</v>
      </c>
      <c r="J143" s="269">
        <f t="shared" si="17"/>
        <v>31</v>
      </c>
      <c r="K143" s="269"/>
      <c r="L143" s="269">
        <f t="shared" si="18"/>
        <v>1</v>
      </c>
      <c r="M143" s="269">
        <f>Economic!S142</f>
        <v>743.1991299999645</v>
      </c>
      <c r="O143" s="18">
        <f>'Large Use Predicted Monthly'!$Z$10</f>
        <v>1050929.47761405</v>
      </c>
      <c r="P143" s="18">
        <f ca="1">E143*'Large Use Predicted Monthly'!$Z$11</f>
        <v>10211.535150396941</v>
      </c>
      <c r="Q143" s="18">
        <f ca="1">F143*'Large Use Predicted Monthly'!$Z$12</f>
        <v>32450.558054830573</v>
      </c>
      <c r="R143" s="18">
        <f>I143*'Large Use Predicted Monthly'!$Z$13</f>
        <v>-411251.82407888491</v>
      </c>
      <c r="S143" s="18">
        <f>J143*'Large Use Predicted Monthly'!$Z$14</f>
        <v>2172165.2722322186</v>
      </c>
      <c r="T143" s="18">
        <f>K143*'Large Use Predicted Monthly'!$Z$15</f>
        <v>0</v>
      </c>
      <c r="U143" s="18">
        <f>L143*'Large Use Predicted Monthly'!$Z$16</f>
        <v>177044.57271687401</v>
      </c>
      <c r="V143" s="18">
        <f>M143*'Large Use Predicted Monthly'!$Z$17</f>
        <v>1560.6083044070531</v>
      </c>
      <c r="W143" s="18">
        <f t="shared" ca="1" si="21"/>
        <v>3033110.1999938921</v>
      </c>
    </row>
    <row r="144" spans="1:23" x14ac:dyDescent="0.25">
      <c r="A144" s="3">
        <v>46327</v>
      </c>
      <c r="B144" s="1">
        <f t="shared" si="19"/>
        <v>2026</v>
      </c>
      <c r="C144" s="1">
        <f t="shared" si="20"/>
        <v>11</v>
      </c>
      <c r="D144" s="259"/>
      <c r="E144" s="269">
        <f t="shared" ca="1" si="22"/>
        <v>140.02366389045739</v>
      </c>
      <c r="F144" s="269">
        <f t="shared" ca="1" si="22"/>
        <v>0.8083333333333329</v>
      </c>
      <c r="G144" s="269"/>
      <c r="H144" s="269"/>
      <c r="I144" s="269">
        <f t="shared" si="16"/>
        <v>143</v>
      </c>
      <c r="J144" s="269">
        <f t="shared" si="17"/>
        <v>30</v>
      </c>
      <c r="K144" s="269"/>
      <c r="L144" s="269">
        <f t="shared" si="18"/>
        <v>1</v>
      </c>
      <c r="M144" s="269">
        <f>Economic!S143</f>
        <v>743.1991299999645</v>
      </c>
      <c r="O144" s="18">
        <f>'Large Use Predicted Monthly'!$Z$10</f>
        <v>1050929.47761405</v>
      </c>
      <c r="P144" s="18">
        <f ca="1">E144*'Large Use Predicted Monthly'!$Z$11</f>
        <v>57745.396407965767</v>
      </c>
      <c r="Q144" s="18">
        <f ca="1">F144*'Large Use Predicted Monthly'!$Z$12</f>
        <v>1458.3169085772493</v>
      </c>
      <c r="R144" s="18">
        <f>I144*'Large Use Predicted Monthly'!$Z$13</f>
        <v>-414147.96368507424</v>
      </c>
      <c r="S144" s="18">
        <f>J144*'Large Use Predicted Monthly'!$Z$14</f>
        <v>2102095.424740857</v>
      </c>
      <c r="T144" s="18">
        <f>K144*'Large Use Predicted Monthly'!$Z$15</f>
        <v>0</v>
      </c>
      <c r="U144" s="18">
        <f>L144*'Large Use Predicted Monthly'!$Z$16</f>
        <v>177044.57271687401</v>
      </c>
      <c r="V144" s="18">
        <f>M144*'Large Use Predicted Monthly'!$Z$17</f>
        <v>1560.6083044070531</v>
      </c>
      <c r="W144" s="18">
        <f t="shared" ca="1" si="21"/>
        <v>2976685.833007657</v>
      </c>
    </row>
    <row r="145" spans="1:23" x14ac:dyDescent="0.25">
      <c r="A145" s="3">
        <v>46357</v>
      </c>
      <c r="B145" s="1">
        <f t="shared" si="19"/>
        <v>2026</v>
      </c>
      <c r="C145" s="1">
        <f t="shared" si="20"/>
        <v>12</v>
      </c>
      <c r="D145" s="259"/>
      <c r="E145" s="269">
        <f t="shared" ca="1" si="22"/>
        <v>268.92048913043476</v>
      </c>
      <c r="F145" s="269">
        <f t="shared" ca="1" si="22"/>
        <v>0</v>
      </c>
      <c r="G145" s="269"/>
      <c r="H145" s="269"/>
      <c r="I145" s="269">
        <f t="shared" si="16"/>
        <v>144</v>
      </c>
      <c r="J145" s="269">
        <f t="shared" si="17"/>
        <v>31</v>
      </c>
      <c r="K145" s="269"/>
      <c r="L145" s="269">
        <f t="shared" si="18"/>
        <v>0</v>
      </c>
      <c r="M145" s="269">
        <f>Economic!S144</f>
        <v>743.1991299999645</v>
      </c>
      <c r="O145" s="18">
        <f>'Large Use Predicted Monthly'!$Z$10</f>
        <v>1050929.47761405</v>
      </c>
      <c r="P145" s="18">
        <f ca="1">E145*'Large Use Predicted Monthly'!$Z$11</f>
        <v>110902.11336856257</v>
      </c>
      <c r="Q145" s="18">
        <f ca="1">F145*'Large Use Predicted Monthly'!$Z$12</f>
        <v>0</v>
      </c>
      <c r="R145" s="18">
        <f>I145*'Large Use Predicted Monthly'!$Z$13</f>
        <v>-417044.10329126357</v>
      </c>
      <c r="S145" s="18">
        <f>J145*'Large Use Predicted Monthly'!$Z$14</f>
        <v>2172165.2722322186</v>
      </c>
      <c r="T145" s="18">
        <f>K145*'Large Use Predicted Monthly'!$Z$15</f>
        <v>0</v>
      </c>
      <c r="U145" s="18">
        <f>L145*'Large Use Predicted Monthly'!$Z$16</f>
        <v>0</v>
      </c>
      <c r="V145" s="18">
        <f>M145*'Large Use Predicted Monthly'!$Z$17</f>
        <v>1560.6083044070531</v>
      </c>
      <c r="W145" s="18">
        <f t="shared" ca="1" si="21"/>
        <v>2918513.368227975</v>
      </c>
    </row>
    <row r="195" spans="9:26" x14ac:dyDescent="0.25">
      <c r="I195" s="18"/>
      <c r="J195" s="18"/>
      <c r="K195" s="18"/>
      <c r="L195" s="18"/>
      <c r="M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9:26" x14ac:dyDescent="0.25">
      <c r="I196" s="18"/>
      <c r="J196" s="18"/>
      <c r="K196" s="18"/>
      <c r="L196" s="18"/>
      <c r="M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9:26" x14ac:dyDescent="0.25">
      <c r="I197" s="18"/>
      <c r="J197" s="18"/>
      <c r="K197" s="18"/>
      <c r="L197" s="18"/>
      <c r="M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9:26" x14ac:dyDescent="0.25">
      <c r="I198" s="18"/>
      <c r="J198" s="18"/>
      <c r="K198" s="18"/>
      <c r="L198" s="18"/>
      <c r="M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9:26" x14ac:dyDescent="0.25">
      <c r="I199" s="18"/>
      <c r="J199" s="18"/>
      <c r="K199" s="18"/>
      <c r="L199" s="18"/>
      <c r="M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9:26" x14ac:dyDescent="0.25">
      <c r="I200" s="18"/>
      <c r="J200" s="18"/>
      <c r="K200" s="18"/>
      <c r="L200" s="18"/>
      <c r="M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9:26" x14ac:dyDescent="0.25">
      <c r="I201" s="18"/>
      <c r="J201" s="18"/>
      <c r="K201" s="18"/>
      <c r="L201" s="18"/>
      <c r="M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9:26" x14ac:dyDescent="0.25">
      <c r="I202" s="18"/>
      <c r="J202" s="18"/>
      <c r="K202" s="18"/>
      <c r="L202" s="18"/>
      <c r="M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4" spans="9:26" x14ac:dyDescent="0.25"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>
    <tabColor rgb="FF0070C0"/>
  </sheetPr>
  <dimension ref="B1:P66"/>
  <sheetViews>
    <sheetView topLeftCell="A42" workbookViewId="0">
      <selection activeCell="E68" sqref="E68"/>
    </sheetView>
  </sheetViews>
  <sheetFormatPr defaultColWidth="9.109375" defaultRowHeight="13.2" x14ac:dyDescent="0.25"/>
  <cols>
    <col min="1" max="1" width="3" style="258" customWidth="1"/>
    <col min="2" max="2" width="25.44140625" style="258" bestFit="1" customWidth="1"/>
    <col min="3" max="3" width="16.77734375" style="258" bestFit="1" customWidth="1"/>
    <col min="4" max="6" width="13.77734375" style="258" bestFit="1" customWidth="1"/>
    <col min="7" max="7" width="16.109375" style="258" bestFit="1" customWidth="1"/>
    <col min="8" max="8" width="14.33203125" style="258" bestFit="1" customWidth="1"/>
    <col min="9" max="9" width="13.77734375" style="258" bestFit="1" customWidth="1"/>
    <col min="10" max="10" width="14.33203125" style="258" bestFit="1" customWidth="1"/>
    <col min="11" max="11" width="14.33203125" style="258" customWidth="1"/>
    <col min="12" max="12" width="14.44140625" style="258" customWidth="1"/>
    <col min="13" max="13" width="15.6640625" style="258" customWidth="1"/>
    <col min="14" max="14" width="14.33203125" style="258" bestFit="1" customWidth="1"/>
    <col min="15" max="15" width="15.77734375" style="258" customWidth="1"/>
    <col min="16" max="16" width="10.77734375" style="258" bestFit="1" customWidth="1"/>
    <col min="17" max="17" width="9.109375" style="258"/>
    <col min="18" max="18" width="17.33203125" style="258" customWidth="1"/>
    <col min="19" max="19" width="17" style="258" customWidth="1"/>
    <col min="20" max="20" width="21" style="258" bestFit="1" customWidth="1"/>
    <col min="21" max="21" width="17.6640625" style="258" customWidth="1"/>
    <col min="22" max="16384" width="9.109375" style="258"/>
  </cols>
  <sheetData>
    <row r="1" spans="2:16" ht="16.2" thickBot="1" x14ac:dyDescent="0.35">
      <c r="B1" s="19" t="s">
        <v>425</v>
      </c>
    </row>
    <row r="2" spans="2:16" x14ac:dyDescent="0.25">
      <c r="B2" s="138" t="s">
        <v>396</v>
      </c>
      <c r="C2" s="139" t="s">
        <v>529</v>
      </c>
      <c r="D2" s="139" t="s">
        <v>530</v>
      </c>
      <c r="E2" s="139" t="s">
        <v>531</v>
      </c>
      <c r="F2" s="139" t="s">
        <v>532</v>
      </c>
      <c r="G2" s="139" t="s">
        <v>533</v>
      </c>
      <c r="H2" s="139" t="s">
        <v>534</v>
      </c>
      <c r="I2" s="139" t="s">
        <v>535</v>
      </c>
      <c r="J2" s="139" t="s">
        <v>536</v>
      </c>
      <c r="K2" s="139" t="s">
        <v>537</v>
      </c>
      <c r="L2" s="139" t="s">
        <v>521</v>
      </c>
      <c r="M2" s="139" t="s">
        <v>501</v>
      </c>
      <c r="N2" s="142" t="s">
        <v>502</v>
      </c>
    </row>
    <row r="3" spans="2:16" x14ac:dyDescent="0.25">
      <c r="B3" s="20" t="str">
        <f>'Summary Tables'!B3</f>
        <v>Residential</v>
      </c>
      <c r="C3" s="260">
        <f ca="1">OFFSET('Normalized Annual Summary'!$I$47,COLUMN(C3)-COLUMN($C3),0)</f>
        <v>476184724.40813684</v>
      </c>
      <c r="D3" s="260">
        <f ca="1">OFFSET('Normalized Annual Summary'!$I$47,COLUMN(D3)-COLUMN($C3),0)</f>
        <v>471845901.09613615</v>
      </c>
      <c r="E3" s="260">
        <f ca="1">OFFSET('Normalized Annual Summary'!$I$47,COLUMN(E3)-COLUMN($C3),0)</f>
        <v>471974638.00293279</v>
      </c>
      <c r="F3" s="260">
        <f ca="1">OFFSET('Normalized Annual Summary'!$I$47,COLUMN(F3)-COLUMN($C3),0)</f>
        <v>468825906.15283895</v>
      </c>
      <c r="G3" s="260">
        <f ca="1">OFFSET('Normalized Annual Summary'!$I$47,COLUMN(G3)-COLUMN($C3),0)</f>
        <v>479395532.79848683</v>
      </c>
      <c r="H3" s="260">
        <f ca="1">OFFSET('Normalized Annual Summary'!$I$47,COLUMN(H3)-COLUMN($C3),0)</f>
        <v>517528979.81643105</v>
      </c>
      <c r="I3" s="260">
        <f ca="1">OFFSET('Normalized Annual Summary'!$I$47,COLUMN(I3)-COLUMN($C3),0)</f>
        <v>512541823.71111047</v>
      </c>
      <c r="J3" s="260">
        <f ca="1">OFFSET('Normalized Annual Summary'!$I$47,COLUMN(J3)-COLUMN($C3),0)</f>
        <v>504695805.78301507</v>
      </c>
      <c r="K3" s="260">
        <f ca="1">OFFSET('Normalized Annual Summary'!$I$47,COLUMN(K3)-COLUMN($C3),0)</f>
        <v>525607946.06935352</v>
      </c>
      <c r="L3" s="260">
        <f ca="1">OFFSET('Normalized Annual Summary'!$I$47,COLUMN(L3)-COLUMN($C3),0)</f>
        <v>531821496.92480129</v>
      </c>
      <c r="M3" s="260">
        <f ca="1">OFFSET('Normalized Annual Summary'!$K$14,COLUMN(M3)-COLUMN($L3),0)</f>
        <v>543766043.23787534</v>
      </c>
      <c r="N3" s="159">
        <f ca="1">OFFSET('Normalized Annual Summary'!$K$14,COLUMN(N3)-COLUMN($L3),0)</f>
        <v>556872807.6816709</v>
      </c>
      <c r="O3" s="260"/>
      <c r="P3" s="260"/>
    </row>
    <row r="4" spans="2:16" x14ac:dyDescent="0.25">
      <c r="B4" s="21" t="str">
        <f>'Summary Tables'!B4</f>
        <v>GS &lt; 50</v>
      </c>
      <c r="C4" s="260">
        <f ca="1">OFFSET('Normalized Annual Summary'!$T$47,COLUMN(C4)-COLUMN($C4),0)</f>
        <v>134316556.56678596</v>
      </c>
      <c r="D4" s="260">
        <f ca="1">OFFSET('Normalized Annual Summary'!$T$47,COLUMN(D4)-COLUMN($C4),0)</f>
        <v>130782955.23670933</v>
      </c>
      <c r="E4" s="260">
        <f ca="1">OFFSET('Normalized Annual Summary'!$T$47,COLUMN(E4)-COLUMN($C4),0)</f>
        <v>130219608.50457114</v>
      </c>
      <c r="F4" s="260">
        <f ca="1">OFFSET('Normalized Annual Summary'!$T$47,COLUMN(F4)-COLUMN($C4),0)</f>
        <v>131490010.70630151</v>
      </c>
      <c r="G4" s="260">
        <f ca="1">OFFSET('Normalized Annual Summary'!$T$47,COLUMN(G4)-COLUMN($C4),0)</f>
        <v>116488650.66718435</v>
      </c>
      <c r="H4" s="260">
        <f ca="1">OFFSET('Normalized Annual Summary'!$T$47,COLUMN(H4)-COLUMN($C4),0)</f>
        <v>114543785.95679589</v>
      </c>
      <c r="I4" s="260">
        <f ca="1">OFFSET('Normalized Annual Summary'!$T$47,COLUMN(I4)-COLUMN($C4),0)</f>
        <v>119342434.08036964</v>
      </c>
      <c r="J4" s="260">
        <f ca="1">OFFSET('Normalized Annual Summary'!$T$47,COLUMN(J4)-COLUMN($C4),0)</f>
        <v>125729990.30261448</v>
      </c>
      <c r="K4" s="260">
        <f ca="1">OFFSET('Normalized Annual Summary'!$T$47,COLUMN(K4)-COLUMN($C4),0)</f>
        <v>128733367.92627163</v>
      </c>
      <c r="L4" s="260">
        <f ca="1">OFFSET('Normalized Annual Summary'!$T$47,COLUMN(L4)-COLUMN($C4),0)</f>
        <v>133267998.18239611</v>
      </c>
      <c r="M4" s="260">
        <f ca="1">OFFSET('Normalized Annual Summary'!$V$14,COLUMN(M4)-COLUMN($L4),0)</f>
        <v>128179737.43992142</v>
      </c>
      <c r="N4" s="159">
        <f ca="1">OFFSET('Normalized Annual Summary'!$V$14,COLUMN(N4)-COLUMN($L4),0)</f>
        <v>130276902.35065086</v>
      </c>
      <c r="O4" s="260"/>
    </row>
    <row r="5" spans="2:16" x14ac:dyDescent="0.25">
      <c r="B5" s="21" t="str">
        <f>'Summary Tables'!B5</f>
        <v>GS 50-999</v>
      </c>
      <c r="C5" s="466">
        <f ca="1">OFFSET('Normalized Annual Summary'!$AI$47,COLUMN(C5)-COLUMN($C5),0)</f>
        <v>329581291.41417629</v>
      </c>
      <c r="D5" s="466">
        <f ca="1">OFFSET('Normalized Annual Summary'!$AI$47,COLUMN(D5)-COLUMN($C5),0)</f>
        <v>333764499.96041924</v>
      </c>
      <c r="E5" s="466">
        <f ca="1">OFFSET('Normalized Annual Summary'!$AI$47,COLUMN(E5)-COLUMN($C5),0)</f>
        <v>354292086.22733009</v>
      </c>
      <c r="F5" s="466">
        <f ca="1">OFFSET('Normalized Annual Summary'!$AI$47,COLUMN(F5)-COLUMN($C5),0)</f>
        <v>324475431.90602148</v>
      </c>
      <c r="G5" s="466">
        <f ca="1">OFFSET('Normalized Annual Summary'!$AI$47,COLUMN(G5)-COLUMN($C5),0)</f>
        <v>331940543.84478319</v>
      </c>
      <c r="H5" s="466">
        <f ca="1">OFFSET('Normalized Annual Summary'!$AI$47,COLUMN(H5)-COLUMN($C5),0)</f>
        <v>310809430.10782552</v>
      </c>
      <c r="I5" s="466">
        <f ca="1">OFFSET('Normalized Annual Summary'!$AI$47,COLUMN(I5)-COLUMN($C5),0)</f>
        <v>318165715.41827667</v>
      </c>
      <c r="J5" s="466">
        <f ca="1">OFFSET('Normalized Annual Summary'!$AI$47,COLUMN(J5)-COLUMN($C5),0)</f>
        <v>346833563.85077852</v>
      </c>
      <c r="K5" s="466">
        <f ca="1">OFFSET('Normalized Annual Summary'!$AI$47,COLUMN(K5)-COLUMN($C5),0)</f>
        <v>333533420.92902285</v>
      </c>
      <c r="L5" s="466">
        <f ca="1">OFFSET('Normalized Annual Summary'!$AI$47,COLUMN(L5)-COLUMN($C5),0)</f>
        <v>328966738.25196058</v>
      </c>
      <c r="M5" s="466">
        <f ca="1">OFFSET('Normalized Annual Summary'!$AI$47,COLUMN(M5)-COLUMN($C5),0)</f>
        <v>337632740.62413126</v>
      </c>
      <c r="N5" s="159">
        <f ca="1">OFFSET('Normalized Annual Summary'!$AI$47,COLUMN(N5)-COLUMN($C5),0)</f>
        <v>338926624.5029254</v>
      </c>
      <c r="O5" s="260"/>
    </row>
    <row r="6" spans="2:16" x14ac:dyDescent="0.25">
      <c r="B6" s="21" t="str">
        <f>'Summary Tables'!B6</f>
        <v>GS 1,000-4,999</v>
      </c>
      <c r="C6" s="260">
        <f ca="1">OFFSET('Normalized Annual Summary'!$AR$47,COLUMN(C6)-COLUMN($C6),0)</f>
        <v>82076386.924176052</v>
      </c>
      <c r="D6" s="260">
        <f ca="1">OFFSET('Normalized Annual Summary'!$AR$47,COLUMN(D6)-COLUMN($C6),0)</f>
        <v>83579289.688797161</v>
      </c>
      <c r="E6" s="260">
        <f ca="1">OFFSET('Normalized Annual Summary'!$AR$47,COLUMN(E6)-COLUMN($C6),0)</f>
        <v>83427582.230341464</v>
      </c>
      <c r="F6" s="260">
        <f ca="1">OFFSET('Normalized Annual Summary'!$AR$47,COLUMN(F6)-COLUMN($C6),0)</f>
        <v>75750129.84794268</v>
      </c>
      <c r="G6" s="260">
        <f ca="1">OFFSET('Normalized Annual Summary'!$AR$47,COLUMN(G6)-COLUMN($C6),0)</f>
        <v>77532079.820879996</v>
      </c>
      <c r="H6" s="260">
        <f ca="1">OFFSET('Normalized Annual Summary'!$AR$47,COLUMN(H6)-COLUMN($C6),0)</f>
        <v>70179556.813884258</v>
      </c>
      <c r="I6" s="260">
        <f ca="1">OFFSET('Normalized Annual Summary'!$AR$47,COLUMN(I6)-COLUMN($C6),0)</f>
        <v>69774401.553835511</v>
      </c>
      <c r="J6" s="260">
        <f ca="1">OFFSET('Normalized Annual Summary'!$AR$47,COLUMN(J6)-COLUMN($C6),0)</f>
        <v>81981038.116393819</v>
      </c>
      <c r="K6" s="260">
        <f ca="1">OFFSET('Normalized Annual Summary'!$AR$47,COLUMN(K6)-COLUMN($C6),0)</f>
        <v>77551110.99065432</v>
      </c>
      <c r="L6" s="260">
        <f ca="1">OFFSET('Normalized Annual Summary'!$AR$47,COLUMN(L6)-COLUMN($C6),0)</f>
        <v>81519290.553463623</v>
      </c>
      <c r="M6" s="260">
        <f ca="1">OFFSET('Normalized Annual Summary'!$AT$14,COLUMN(M6)-COLUMN($L6),0)</f>
        <v>81054511.108828157</v>
      </c>
      <c r="N6" s="159">
        <f ca="1">OFFSET('Normalized Annual Summary'!$AT$14,COLUMN(N6)-COLUMN($L6),0)</f>
        <v>81591070.490146488</v>
      </c>
      <c r="O6" s="260"/>
    </row>
    <row r="7" spans="2:16" x14ac:dyDescent="0.25">
      <c r="B7" s="21" t="str">
        <f>'Summary Tables'!B7</f>
        <v>Large Use</v>
      </c>
      <c r="C7" s="260">
        <f ca="1">OFFSET('Normalized Annual Summary'!$BC$47,COLUMN(C7)-COLUMN($C7),0)</f>
        <v>42011671.280006714</v>
      </c>
      <c r="D7" s="260">
        <f ca="1">OFFSET('Normalized Annual Summary'!$BC$47,COLUMN(D7)-COLUMN($C7),0)</f>
        <v>41251016.34396904</v>
      </c>
      <c r="E7" s="260">
        <f ca="1">OFFSET('Normalized Annual Summary'!$BC$47,COLUMN(E7)-COLUMN($C7),0)</f>
        <v>37758117.817115836</v>
      </c>
      <c r="F7" s="260">
        <f ca="1">OFFSET('Normalized Annual Summary'!$BC$47,COLUMN(F7)-COLUMN($C7),0)</f>
        <v>44579477.626518689</v>
      </c>
      <c r="G7" s="260">
        <f ca="1">OFFSET('Normalized Annual Summary'!$BC$47,COLUMN(G7)-COLUMN($C7),0)</f>
        <v>38949112.447177157</v>
      </c>
      <c r="H7" s="260">
        <f ca="1">OFFSET('Normalized Annual Summary'!$BC$47,COLUMN(H7)-COLUMN($C7),0)</f>
        <v>30749420.053630862</v>
      </c>
      <c r="I7" s="260">
        <f ca="1">OFFSET('Normalized Annual Summary'!$BC$47,COLUMN(I7)-COLUMN($C7),0)</f>
        <v>36066396.020423755</v>
      </c>
      <c r="J7" s="260">
        <f ca="1">OFFSET('Normalized Annual Summary'!$BC$47,COLUMN(J7)-COLUMN($C7),0)</f>
        <v>33835315.562070049</v>
      </c>
      <c r="K7" s="260">
        <f ca="1">OFFSET('Normalized Annual Summary'!$BC$47,COLUMN(K7)-COLUMN($C7),0)</f>
        <v>34021650.517751612</v>
      </c>
      <c r="L7" s="260">
        <f ca="1">OFFSET('Normalized Annual Summary'!$BC$47,COLUMN(L7)-COLUMN($C7),0)</f>
        <v>39817298.331336297</v>
      </c>
      <c r="M7" s="260">
        <f ca="1">OFFSET('Normalized Annual Summary'!$BE$14,COLUMN(M7)-COLUMN($L7),0)</f>
        <v>36251504.113428049</v>
      </c>
      <c r="N7" s="159">
        <f ca="1">OFFSET('Normalized Annual Summary'!$BE$14,COLUMN(N7)-COLUMN($L7),0)</f>
        <v>35862204.751314573</v>
      </c>
      <c r="O7" s="260"/>
    </row>
    <row r="8" spans="2:16" x14ac:dyDescent="0.25">
      <c r="B8" s="21" t="str">
        <f>'Summary Tables'!B8</f>
        <v>Street Light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260">
        <f ca="1">OFFSET('Normalized Annual Summary'!$BK$14,COLUMN(M8)-COLUMN($L8),0)</f>
        <v>4533005.3102651397</v>
      </c>
      <c r="N8" s="159">
        <f ca="1">OFFSET('Normalized Annual Summary'!$BK$14,COLUMN(N8)-COLUMN($L8),0)</f>
        <v>4595142.2306357278</v>
      </c>
      <c r="O8" s="260"/>
    </row>
    <row r="9" spans="2:16" x14ac:dyDescent="0.25">
      <c r="B9" s="21" t="str">
        <f>'Summary Tables'!B9</f>
        <v>Sentinel Lights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260">
        <f ca="1">OFFSET('Normalized Annual Summary'!$BQ$14,COLUMN(M9)-COLUMN($L9),0)</f>
        <v>25474.399999999998</v>
      </c>
      <c r="N9" s="159">
        <f ca="1">OFFSET('Normalized Annual Summary'!$BQ$14,COLUMN(N9)-COLUMN($L9),0)</f>
        <v>25474.399999999998</v>
      </c>
      <c r="O9" s="260"/>
    </row>
    <row r="10" spans="2:16" x14ac:dyDescent="0.25">
      <c r="B10" s="21" t="str">
        <f>'Summary Tables'!B10</f>
        <v>USL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260">
        <f ca="1">OFFSET('Normalized Annual Summary'!$BW$14,COLUMN(M10)-COLUMN($L10),0)</f>
        <v>2879864.7535191379</v>
      </c>
      <c r="N10" s="278">
        <f ca="1">OFFSET('Normalized Annual Summary'!$BW$14,COLUMN(N10)-COLUMN($L10),0)</f>
        <v>2898787.7721564621</v>
      </c>
      <c r="O10" s="260"/>
    </row>
    <row r="11" spans="2:16" ht="13.8" thickBot="1" x14ac:dyDescent="0.3">
      <c r="B11" s="135" t="s">
        <v>321</v>
      </c>
      <c r="C11" s="136">
        <f t="shared" ref="C11:L11" ca="1" si="0">SUM(C3:C10)</f>
        <v>1075907802.9396486</v>
      </c>
      <c r="D11" s="136">
        <f t="shared" ca="1" si="0"/>
        <v>1073146615.3004729</v>
      </c>
      <c r="E11" s="136">
        <f t="shared" ca="1" si="0"/>
        <v>1085195845.4343989</v>
      </c>
      <c r="F11" s="136">
        <f t="shared" ca="1" si="0"/>
        <v>1051891056.636152</v>
      </c>
      <c r="G11" s="136">
        <f t="shared" ca="1" si="0"/>
        <v>1051178065.4059805</v>
      </c>
      <c r="H11" s="136">
        <f t="shared" ca="1" si="0"/>
        <v>1050760997.5885676</v>
      </c>
      <c r="I11" s="136">
        <f t="shared" ca="1" si="0"/>
        <v>1062885413.884016</v>
      </c>
      <c r="J11" s="136">
        <f t="shared" ca="1" si="0"/>
        <v>1100285428.7148719</v>
      </c>
      <c r="K11" s="136">
        <f t="shared" ca="1" si="0"/>
        <v>1106781044.5730538</v>
      </c>
      <c r="L11" s="136">
        <f t="shared" ca="1" si="0"/>
        <v>1122773151.243958</v>
      </c>
      <c r="M11" s="136">
        <f ca="1">SUM(M3:M10)</f>
        <v>1134322880.9879684</v>
      </c>
      <c r="N11" s="137">
        <f ca="1">SUM(N3:N10)</f>
        <v>1151049014.1795006</v>
      </c>
      <c r="O11" s="260"/>
    </row>
    <row r="13" spans="2:16" ht="16.2" thickBot="1" x14ac:dyDescent="0.35">
      <c r="B13" s="19" t="s">
        <v>522</v>
      </c>
      <c r="C13" s="19"/>
      <c r="G13" s="260"/>
      <c r="H13" s="260"/>
      <c r="I13" s="260"/>
      <c r="J13" s="260"/>
      <c r="K13" s="260"/>
      <c r="L13" s="260"/>
    </row>
    <row r="14" spans="2:16" ht="55.2" customHeight="1" x14ac:dyDescent="0.25">
      <c r="B14" s="132" t="s">
        <v>396</v>
      </c>
      <c r="C14" s="133" t="s">
        <v>523</v>
      </c>
      <c r="D14" s="133" t="s">
        <v>524</v>
      </c>
      <c r="E14" s="134" t="s">
        <v>525</v>
      </c>
      <c r="G14" s="260"/>
      <c r="H14" s="260"/>
      <c r="I14" s="260"/>
      <c r="J14" s="260"/>
      <c r="K14" s="260"/>
    </row>
    <row r="15" spans="2:16" x14ac:dyDescent="0.25">
      <c r="B15" s="20" t="str">
        <f>B3</f>
        <v>Residential</v>
      </c>
      <c r="C15" s="260">
        <f ca="1">N3</f>
        <v>556872807.6816709</v>
      </c>
      <c r="D15" s="260">
        <f ca="1">'CDM Adjustment'!O7</f>
        <v>6631013.5371202808</v>
      </c>
      <c r="E15" s="278">
        <f ca="1">C15-D15</f>
        <v>550241794.14455068</v>
      </c>
      <c r="F15" s="125"/>
      <c r="G15" s="260"/>
      <c r="H15" s="260"/>
      <c r="I15" s="260"/>
      <c r="J15" s="260"/>
      <c r="K15" s="260"/>
    </row>
    <row r="16" spans="2:16" x14ac:dyDescent="0.25">
      <c r="B16" s="21" t="str">
        <f>B4</f>
        <v>GS &lt; 50</v>
      </c>
      <c r="C16" s="260">
        <f ca="1">N4</f>
        <v>130276902.35065086</v>
      </c>
      <c r="D16" s="260">
        <f ca="1">'CDM Adjustment'!O8</f>
        <v>4594252.2476017689</v>
      </c>
      <c r="E16" s="278">
        <f ca="1">C16-D16</f>
        <v>125682650.1030491</v>
      </c>
      <c r="G16" s="260"/>
      <c r="H16" s="260"/>
      <c r="I16" s="260"/>
      <c r="J16" s="260"/>
      <c r="K16" s="260"/>
    </row>
    <row r="17" spans="2:14" x14ac:dyDescent="0.25">
      <c r="B17" s="21" t="str">
        <f>B5</f>
        <v>GS 50-999</v>
      </c>
      <c r="C17" s="260">
        <f ca="1">N5</f>
        <v>338926624.5029254</v>
      </c>
      <c r="D17" s="260">
        <f ca="1">'CDM Adjustment'!O9</f>
        <v>6850142.3697835049</v>
      </c>
      <c r="E17" s="278">
        <f ca="1">C17-D17</f>
        <v>332076482.13314188</v>
      </c>
      <c r="G17" s="260"/>
      <c r="H17" s="260"/>
      <c r="I17" s="260"/>
      <c r="J17" s="260"/>
      <c r="K17" s="260"/>
    </row>
    <row r="18" spans="2:14" x14ac:dyDescent="0.25">
      <c r="B18" s="21" t="str">
        <f t="shared" ref="B18:B20" si="1">B6</f>
        <v>GS 1,000-4,999</v>
      </c>
      <c r="C18" s="260">
        <f t="shared" ref="C18:C19" ca="1" si="2">N6</f>
        <v>81591070.490146488</v>
      </c>
      <c r="D18" s="260">
        <f ca="1">'CDM Adjustment'!O10</f>
        <v>7183442.0435491204</v>
      </c>
      <c r="E18" s="278">
        <f t="shared" ref="E18:E19" ca="1" si="3">C18-D18</f>
        <v>74407628.446597368</v>
      </c>
      <c r="G18" s="260"/>
      <c r="H18" s="260"/>
      <c r="I18" s="260"/>
      <c r="J18" s="260"/>
      <c r="K18" s="260"/>
    </row>
    <row r="19" spans="2:14" x14ac:dyDescent="0.25">
      <c r="B19" s="21" t="str">
        <f t="shared" si="1"/>
        <v>Large Use</v>
      </c>
      <c r="C19" s="260">
        <f t="shared" ca="1" si="2"/>
        <v>35862204.751314573</v>
      </c>
      <c r="D19" s="260">
        <f ca="1">'CDM Adjustment'!O11</f>
        <v>912578.9997727744</v>
      </c>
      <c r="E19" s="278">
        <f t="shared" ca="1" si="3"/>
        <v>34949625.751541801</v>
      </c>
      <c r="G19" s="260"/>
      <c r="H19" s="260"/>
      <c r="I19" s="260"/>
      <c r="J19" s="260"/>
      <c r="K19" s="260"/>
    </row>
    <row r="20" spans="2:14" x14ac:dyDescent="0.25">
      <c r="B20" s="21" t="str">
        <f t="shared" si="1"/>
        <v>Street Light</v>
      </c>
      <c r="C20" s="260">
        <f ca="1">N8</f>
        <v>4595142.2306357278</v>
      </c>
      <c r="D20" s="260"/>
      <c r="E20" s="278">
        <f ca="1">C20-D20</f>
        <v>4595142.2306357278</v>
      </c>
      <c r="G20" s="260"/>
      <c r="H20" s="260"/>
      <c r="I20" s="260"/>
      <c r="J20" s="260"/>
      <c r="K20" s="260"/>
    </row>
    <row r="21" spans="2:14" x14ac:dyDescent="0.25">
      <c r="B21" s="21" t="str">
        <f>B9</f>
        <v>Sentinel Lights</v>
      </c>
      <c r="C21" s="260">
        <f ca="1">N9</f>
        <v>25474.399999999998</v>
      </c>
      <c r="D21" s="260"/>
      <c r="E21" s="278">
        <f ca="1">C21-D21</f>
        <v>25474.399999999998</v>
      </c>
      <c r="G21" s="260"/>
      <c r="H21" s="260"/>
      <c r="I21" s="260"/>
      <c r="J21" s="260"/>
      <c r="K21" s="260"/>
    </row>
    <row r="22" spans="2:14" x14ac:dyDescent="0.25">
      <c r="B22" s="21" t="str">
        <f>B10</f>
        <v>USL</v>
      </c>
      <c r="C22" s="260">
        <f ca="1">N10</f>
        <v>2898787.7721564621</v>
      </c>
      <c r="D22" s="260"/>
      <c r="E22" s="278">
        <f ca="1">C22-D22</f>
        <v>2898787.7721564621</v>
      </c>
      <c r="G22" s="260"/>
      <c r="H22" s="260"/>
      <c r="I22" s="260"/>
      <c r="J22" s="260"/>
      <c r="K22" s="260"/>
    </row>
    <row r="23" spans="2:14" ht="13.8" thickBot="1" x14ac:dyDescent="0.3">
      <c r="B23" s="135" t="s">
        <v>321</v>
      </c>
      <c r="C23" s="136">
        <f ca="1">SUM(C15:C22)</f>
        <v>1151049014.1795006</v>
      </c>
      <c r="D23" s="136">
        <f ca="1">SUM(D15:D22)</f>
        <v>26171429.197827451</v>
      </c>
      <c r="E23" s="137">
        <f ca="1">SUM(E15:E22)</f>
        <v>1124877584.9816732</v>
      </c>
      <c r="F23" s="130"/>
      <c r="G23" s="260"/>
      <c r="H23" s="260"/>
      <c r="I23" s="260"/>
      <c r="J23" s="260"/>
      <c r="K23" s="260"/>
    </row>
    <row r="24" spans="2:14" x14ac:dyDescent="0.25">
      <c r="G24" s="129"/>
    </row>
    <row r="25" spans="2:14" ht="16.2" thickBot="1" x14ac:dyDescent="0.35">
      <c r="B25" s="19" t="s">
        <v>425</v>
      </c>
    </row>
    <row r="26" spans="2:14" x14ac:dyDescent="0.25">
      <c r="B26" s="138" t="s">
        <v>397</v>
      </c>
      <c r="C26" s="139" t="s">
        <v>529</v>
      </c>
      <c r="D26" s="139" t="s">
        <v>530</v>
      </c>
      <c r="E26" s="139" t="s">
        <v>531</v>
      </c>
      <c r="F26" s="139" t="s">
        <v>532</v>
      </c>
      <c r="G26" s="139" t="s">
        <v>533</v>
      </c>
      <c r="H26" s="139" t="s">
        <v>534</v>
      </c>
      <c r="I26" s="139" t="s">
        <v>535</v>
      </c>
      <c r="J26" s="139" t="s">
        <v>536</v>
      </c>
      <c r="K26" s="139" t="s">
        <v>537</v>
      </c>
      <c r="L26" s="139" t="s">
        <v>521</v>
      </c>
      <c r="M26" s="139" t="s">
        <v>501</v>
      </c>
      <c r="N26" s="142" t="s">
        <v>502</v>
      </c>
    </row>
    <row r="27" spans="2:14" x14ac:dyDescent="0.25">
      <c r="B27" s="21" t="str">
        <f>B17</f>
        <v>GS 50-999</v>
      </c>
      <c r="C27" s="260">
        <f ca="1">OFFSET('kW Forecast (Weather Normal)'!$J$18,COLUMN()-COLUMN($C$27),0)</f>
        <v>840321.02790856129</v>
      </c>
      <c r="D27" s="260">
        <f ca="1">OFFSET('kW Forecast (Weather Normal)'!$J$18,COLUMN()-COLUMN($C$27),0)</f>
        <v>841802.44528570643</v>
      </c>
      <c r="E27" s="260">
        <f ca="1">OFFSET('kW Forecast (Weather Normal)'!$J$18,COLUMN()-COLUMN($C$27),0)</f>
        <v>850539.99033790105</v>
      </c>
      <c r="F27" s="260">
        <f ca="1">OFFSET('kW Forecast (Weather Normal)'!$J$18,COLUMN()-COLUMN($C$27),0)</f>
        <v>850185.18875051581</v>
      </c>
      <c r="G27" s="260">
        <f ca="1">OFFSET('kW Forecast (Weather Normal)'!$J$18,COLUMN()-COLUMN($C$27),0)</f>
        <v>851709.19889919041</v>
      </c>
      <c r="H27" s="260">
        <f ca="1">OFFSET('kW Forecast (Weather Normal)'!$J$18,COLUMN()-COLUMN($C$27),0)</f>
        <v>802606.07924592507</v>
      </c>
      <c r="I27" s="260">
        <f ca="1">OFFSET('kW Forecast (Weather Normal)'!$J$18,COLUMN()-COLUMN($C$27),0)</f>
        <v>808160.31351486931</v>
      </c>
      <c r="J27" s="260">
        <f ca="1">OFFSET('kW Forecast (Weather Normal)'!$J$18,COLUMN()-COLUMN($C$27),0)</f>
        <v>831420.10271377384</v>
      </c>
      <c r="K27" s="260">
        <f ca="1">OFFSET('kW Forecast (Weather Normal)'!$J$18,COLUMN()-COLUMN($C$27),0)</f>
        <v>851718.24117068888</v>
      </c>
      <c r="L27" s="260">
        <f ca="1">OFFSET('kW Forecast (Weather Normal)'!$J$18,COLUMN()-COLUMN($C$27),0)</f>
        <v>851664.01318309933</v>
      </c>
      <c r="M27" s="260">
        <f ca="1">OFFSET('kW Forecast (Weather Normal)'!$J$18,COLUMN()-COLUMN($C$27),0)</f>
        <v>854501.90506286302</v>
      </c>
      <c r="N27" s="278">
        <f ca="1">OFFSET('kW Forecast (Weather Normal)'!$J$18,COLUMN()-COLUMN($C$27),0)</f>
        <v>858909.99183744553</v>
      </c>
    </row>
    <row r="28" spans="2:14" x14ac:dyDescent="0.25">
      <c r="B28" s="21" t="str">
        <f t="shared" ref="B28:B31" si="4">B18</f>
        <v>GS 1,000-4,999</v>
      </c>
      <c r="C28" s="260">
        <f ca="1">OFFSET('kW Forecast (Weather Normal)'!$N$18,COLUMN()-COLUMN($C$27),0)</f>
        <v>196873.54529500668</v>
      </c>
      <c r="D28" s="260">
        <f ca="1">OFFSET('kW Forecast (Weather Normal)'!$N$18,COLUMN()-COLUMN($C$27),0)</f>
        <v>190093.00940819329</v>
      </c>
      <c r="E28" s="260">
        <f ca="1">OFFSET('kW Forecast (Weather Normal)'!$N$18,COLUMN()-COLUMN($C$27),0)</f>
        <v>188596.70913680649</v>
      </c>
      <c r="F28" s="260">
        <f ca="1">OFFSET('kW Forecast (Weather Normal)'!$N$18,COLUMN()-COLUMN($C$27),0)</f>
        <v>190917.87684082397</v>
      </c>
      <c r="G28" s="260">
        <f ca="1">OFFSET('kW Forecast (Weather Normal)'!$N$18,COLUMN()-COLUMN($C$27),0)</f>
        <v>190954.32860959746</v>
      </c>
      <c r="H28" s="260">
        <f ca="1">OFFSET('kW Forecast (Weather Normal)'!$N$18,COLUMN()-COLUMN($C$27),0)</f>
        <v>168612.62328046982</v>
      </c>
      <c r="I28" s="260">
        <f ca="1">OFFSET('kW Forecast (Weather Normal)'!$N$18,COLUMN()-COLUMN($C$27),0)</f>
        <v>169621.56811172311</v>
      </c>
      <c r="J28" s="260">
        <f ca="1">OFFSET('kW Forecast (Weather Normal)'!$N$18,COLUMN()-COLUMN($C$27),0)</f>
        <v>183498.54173445795</v>
      </c>
      <c r="K28" s="260">
        <f ca="1">OFFSET('kW Forecast (Weather Normal)'!$N$18,COLUMN()-COLUMN($C$27),0)</f>
        <v>191404.93425379548</v>
      </c>
      <c r="L28" s="260">
        <f ca="1">OFFSET('kW Forecast (Weather Normal)'!$R$18,COLUMN()-COLUMN($C$27),0)</f>
        <v>189999.76108591945</v>
      </c>
      <c r="M28" s="260">
        <f ca="1">OFFSET('kW Forecast (Weather Normal)'!$R$18,COLUMN()-COLUMN($C$27),0)</f>
        <v>193523.92239584439</v>
      </c>
      <c r="N28" s="278">
        <f ca="1">OFFSET('kW Forecast (Weather Normal)'!$R$18,COLUMN()-COLUMN($C$27),0)</f>
        <v>195993.21482447084</v>
      </c>
    </row>
    <row r="29" spans="2:14" x14ac:dyDescent="0.25">
      <c r="B29" s="21" t="str">
        <f t="shared" si="4"/>
        <v>Large Use</v>
      </c>
      <c r="C29" s="260">
        <f ca="1">OFFSET('kW Forecast (Weather Normal)'!$W$18,COLUMN()-COLUMN($C$27),0)</f>
        <v>91515.969753798083</v>
      </c>
      <c r="D29" s="260">
        <f ca="1">OFFSET('kW Forecast (Weather Normal)'!$W$18,COLUMN()-COLUMN($C$27),0)</f>
        <v>90581.484298897791</v>
      </c>
      <c r="E29" s="260">
        <f ca="1">OFFSET('kW Forecast (Weather Normal)'!$W$18,COLUMN()-COLUMN($C$27),0)</f>
        <v>89446.544097011007</v>
      </c>
      <c r="F29" s="260">
        <f ca="1">OFFSET('kW Forecast (Weather Normal)'!$W$18,COLUMN()-COLUMN($C$27),0)</f>
        <v>88237.996268939067</v>
      </c>
      <c r="G29" s="260">
        <f ca="1">OFFSET('kW Forecast (Weather Normal)'!$W$18,COLUMN()-COLUMN($C$27),0)</f>
        <v>87080.66603466848</v>
      </c>
      <c r="H29" s="260">
        <f ca="1">OFFSET('kW Forecast (Weather Normal)'!$W$18,COLUMN()-COLUMN($C$27),0)</f>
        <v>76738.228564815887</v>
      </c>
      <c r="I29" s="260">
        <f ca="1">OFFSET('kW Forecast (Weather Normal)'!$W$18,COLUMN()-COLUMN($C$27),0)</f>
        <v>76367.450883447324</v>
      </c>
      <c r="J29" s="260">
        <f ca="1">OFFSET('kW Forecast (Weather Normal)'!$W$18,COLUMN()-COLUMN($C$27),0)</f>
        <v>79426.47173459355</v>
      </c>
      <c r="K29" s="260">
        <f ca="1">OFFSET('kW Forecast (Weather Normal)'!$W$18,COLUMN()-COLUMN($C$27),0)</f>
        <v>82919.958637702905</v>
      </c>
      <c r="L29" s="260">
        <f ca="1">OFFSET('kW Forecast (Weather Normal)'!$AA$18,COLUMN()-COLUMN($C$27),0)</f>
        <v>81757.672040043602</v>
      </c>
      <c r="M29" s="260">
        <f ca="1">OFFSET('kW Forecast (Weather Normal)'!$AA$18,COLUMN()-COLUMN($C$27),0)</f>
        <v>80727.112293775193</v>
      </c>
      <c r="N29" s="278">
        <f ca="1">OFFSET('kW Forecast (Weather Normal)'!$AA$18,COLUMN()-COLUMN($C$27),0)</f>
        <v>79948.981198233538</v>
      </c>
    </row>
    <row r="30" spans="2:14" x14ac:dyDescent="0.25">
      <c r="B30" s="21" t="str">
        <f t="shared" si="4"/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Forecast'!$AE$19,COLUMN()-COLUMN($L30),0)</f>
        <v>12851.829925505361</v>
      </c>
      <c r="N30" s="278">
        <f ca="1">OFFSET('kW Forecast'!$AE$19,COLUMN()-COLUMN($L30),0)</f>
        <v>13027.998510812127</v>
      </c>
    </row>
    <row r="31" spans="2:14" x14ac:dyDescent="0.25">
      <c r="B31" s="21" t="str">
        <f t="shared" si="4"/>
        <v>Sentinel Lights</v>
      </c>
      <c r="C31" s="260">
        <f ca="1">OFFSET('kW Forecast (Weather Normal)'!$AM$18,COLUMN()-COLUMN($C$27),0)</f>
        <v>83.66881415108854</v>
      </c>
      <c r="D31" s="260">
        <f ca="1">OFFSET('kW Forecast (Weather Normal)'!$AM$18,COLUMN()-COLUMN($C$27),0)</f>
        <v>78.627083628898632</v>
      </c>
      <c r="E31" s="260">
        <f ca="1">OFFSET('kW Forecast (Weather Normal)'!$AM$18,COLUMN()-COLUMN($C$27),0)</f>
        <v>78.412255531551921</v>
      </c>
      <c r="F31" s="260">
        <f ca="1">OFFSET('kW Forecast (Weather Normal)'!$AM$18,COLUMN()-COLUMN($C$27),0)</f>
        <v>78.350376649159116</v>
      </c>
      <c r="G31" s="260">
        <f ca="1">OFFSET('kW Forecast (Weather Normal)'!$AM$18,COLUMN()-COLUMN($C$27),0)</f>
        <v>78.864917280884185</v>
      </c>
      <c r="H31" s="260">
        <f ca="1">OFFSET('kW Forecast (Weather Normal)'!$AM$18,COLUMN()-COLUMN($C$27),0)</f>
        <v>82.448359893263103</v>
      </c>
      <c r="I31" s="260">
        <f ca="1">OFFSET('kW Forecast (Weather Normal)'!$AM$18,COLUMN()-COLUMN($C$27),0)</f>
        <v>82.223091150385329</v>
      </c>
      <c r="J31" s="260">
        <f ca="1">OFFSET('kW Forecast (Weather Normal)'!$AM$18,COLUMN()-COLUMN($C$27),0)</f>
        <v>82.223091150385329</v>
      </c>
      <c r="K31" s="260">
        <f ca="1">OFFSET('kW Forecast (Weather Normal)'!$AM$18,COLUMN()-COLUMN($C$27),0)</f>
        <v>82.223091150385329</v>
      </c>
      <c r="L31" s="260">
        <f ca="1">OFFSET('kW Forecast (Weather Normal)'!$AM$18,COLUMN()-COLUMN($C$27),0)</f>
        <v>69.019483426056595</v>
      </c>
      <c r="M31" s="260">
        <f ca="1">OFFSET('kW Forecast (Weather Normal)'!$AM$18,COLUMN()-COLUMN($C$27),0)</f>
        <v>77.82188857560908</v>
      </c>
      <c r="N31" s="278">
        <f ca="1">OFFSET('kW Forecast (Weather Normal)'!$AM$18,COLUMN()-COLUMN($C$27),0)</f>
        <v>77.82188857560908</v>
      </c>
    </row>
    <row r="32" spans="2:14" ht="13.8" thickBot="1" x14ac:dyDescent="0.3">
      <c r="B32" s="135" t="s">
        <v>321</v>
      </c>
      <c r="C32" s="136">
        <f t="shared" ref="C32:L32" ca="1" si="5">SUM(C27:C31)</f>
        <v>1154902.2117715171</v>
      </c>
      <c r="D32" s="136">
        <f t="shared" ca="1" si="5"/>
        <v>1149079.5660764263</v>
      </c>
      <c r="E32" s="136">
        <f t="shared" ca="1" si="5"/>
        <v>1142606.6308272502</v>
      </c>
      <c r="F32" s="136">
        <f t="shared" ca="1" si="5"/>
        <v>1141530.4122369278</v>
      </c>
      <c r="G32" s="136">
        <f t="shared" ca="1" si="5"/>
        <v>1142047.8984607372</v>
      </c>
      <c r="H32" s="136">
        <f t="shared" ca="1" si="5"/>
        <v>1060315.2634137596</v>
      </c>
      <c r="I32" s="136">
        <f t="shared" ca="1" si="5"/>
        <v>1066563.568767237</v>
      </c>
      <c r="J32" s="136">
        <f t="shared" ca="1" si="5"/>
        <v>1107014.4081432703</v>
      </c>
      <c r="K32" s="136">
        <f t="shared" ca="1" si="5"/>
        <v>1138893.9571533378</v>
      </c>
      <c r="L32" s="136">
        <f t="shared" ca="1" si="5"/>
        <v>1136307.2657924886</v>
      </c>
      <c r="M32" s="136">
        <f t="shared" ref="M32" ca="1" si="6">SUM(M27:M31)</f>
        <v>1141682.5915665636</v>
      </c>
      <c r="N32" s="137">
        <f t="shared" ref="N32" ca="1" si="7">SUM(N27:N31)</f>
        <v>1147958.0082595376</v>
      </c>
    </row>
    <row r="34" spans="2:14" ht="16.2" thickBot="1" x14ac:dyDescent="0.35">
      <c r="B34" s="19" t="s">
        <v>522</v>
      </c>
      <c r="C34" s="19"/>
    </row>
    <row r="35" spans="2:14" ht="39.6" x14ac:dyDescent="0.25">
      <c r="B35" s="132" t="s">
        <v>397</v>
      </c>
      <c r="C35" s="133" t="s">
        <v>523</v>
      </c>
      <c r="D35" s="133" t="s">
        <v>524</v>
      </c>
      <c r="E35" s="134" t="s">
        <v>525</v>
      </c>
    </row>
    <row r="36" spans="2:14" x14ac:dyDescent="0.25">
      <c r="B36" s="21" t="str">
        <f>B27</f>
        <v>GS 50-999</v>
      </c>
      <c r="C36" s="260">
        <f ca="1">N27</f>
        <v>858909.99183744553</v>
      </c>
      <c r="D36" s="260">
        <f ca="1">'CDM Adjustment'!O23</f>
        <v>17442.494057187079</v>
      </c>
      <c r="E36" s="278">
        <f ca="1">C36-D36</f>
        <v>841467.49778025842</v>
      </c>
    </row>
    <row r="37" spans="2:14" x14ac:dyDescent="0.25">
      <c r="B37" s="21" t="str">
        <f t="shared" ref="B37:B38" si="8">B28</f>
        <v>GS 1,000-4,999</v>
      </c>
      <c r="C37" s="260">
        <f t="shared" ref="C37:C40" ca="1" si="9">N28</f>
        <v>195993.21482447084</v>
      </c>
      <c r="D37" s="260">
        <f ca="1">'CDM Adjustment'!O24</f>
        <v>17255.637058843189</v>
      </c>
      <c r="E37" s="278">
        <f t="shared" ref="E37:E39" ca="1" si="10">C37-D37</f>
        <v>178737.57776562765</v>
      </c>
    </row>
    <row r="38" spans="2:14" x14ac:dyDescent="0.25">
      <c r="B38" s="21" t="str">
        <f t="shared" si="8"/>
        <v>Large Use</v>
      </c>
      <c r="C38" s="260">
        <f t="shared" ca="1" si="9"/>
        <v>79948.981198233538</v>
      </c>
      <c r="D38" s="260">
        <f ca="1">'CDM Adjustment'!O25</f>
        <v>2034.4471791590527</v>
      </c>
      <c r="E38" s="278">
        <f t="shared" ca="1" si="10"/>
        <v>77914.53401907449</v>
      </c>
    </row>
    <row r="39" spans="2:14" x14ac:dyDescent="0.25">
      <c r="B39" s="21" t="str">
        <f>B30</f>
        <v>Street Light</v>
      </c>
      <c r="C39" s="260">
        <f t="shared" ca="1" si="9"/>
        <v>13027.998510812127</v>
      </c>
      <c r="D39" s="260"/>
      <c r="E39" s="278">
        <f t="shared" ca="1" si="10"/>
        <v>13027.998510812127</v>
      </c>
    </row>
    <row r="40" spans="2:14" x14ac:dyDescent="0.25">
      <c r="B40" s="21" t="str">
        <f>B31</f>
        <v>Sentinel Lights</v>
      </c>
      <c r="C40" s="260">
        <f t="shared" ca="1" si="9"/>
        <v>77.82188857560908</v>
      </c>
      <c r="D40" s="260"/>
      <c r="E40" s="278">
        <f ca="1">C40-D40</f>
        <v>77.82188857560908</v>
      </c>
    </row>
    <row r="41" spans="2:14" ht="13.8" thickBot="1" x14ac:dyDescent="0.3">
      <c r="B41" s="135" t="s">
        <v>321</v>
      </c>
      <c r="C41" s="136">
        <f ca="1">SUM(C36:C40)</f>
        <v>1147958.0082595376</v>
      </c>
      <c r="D41" s="136">
        <f ca="1">SUM(D36:D40)</f>
        <v>36732.578295189327</v>
      </c>
      <c r="E41" s="137">
        <f ca="1">SUM(E36:E40)</f>
        <v>1111225.4299643482</v>
      </c>
    </row>
    <row r="43" spans="2:14" ht="16.2" thickBot="1" x14ac:dyDescent="0.35">
      <c r="B43" s="19" t="s">
        <v>538</v>
      </c>
    </row>
    <row r="44" spans="2:14" x14ac:dyDescent="0.25">
      <c r="B44" s="138" t="s">
        <v>436</v>
      </c>
      <c r="C44" s="139" t="s">
        <v>511</v>
      </c>
      <c r="D44" s="139" t="s">
        <v>512</v>
      </c>
      <c r="E44" s="139" t="s">
        <v>513</v>
      </c>
      <c r="F44" s="139" t="s">
        <v>514</v>
      </c>
      <c r="G44" s="139" t="s">
        <v>515</v>
      </c>
      <c r="H44" s="139" t="s">
        <v>516</v>
      </c>
      <c r="I44" s="139" t="s">
        <v>517</v>
      </c>
      <c r="J44" s="139" t="s">
        <v>518</v>
      </c>
      <c r="K44" s="139" t="s">
        <v>519</v>
      </c>
      <c r="L44" s="139" t="s">
        <v>520</v>
      </c>
      <c r="M44" s="139" t="s">
        <v>501</v>
      </c>
      <c r="N44" s="142" t="s">
        <v>502</v>
      </c>
    </row>
    <row r="45" spans="2:14" x14ac:dyDescent="0.25">
      <c r="B45" s="20" t="str">
        <f>B3</f>
        <v>Residential</v>
      </c>
      <c r="C45" s="260">
        <f ca="1">OFFSET('Customer Count'!$C$4,COLUMN()-COLUMN($C45),0)</f>
        <v>48571.666666666664</v>
      </c>
      <c r="D45" s="260">
        <f ca="1">OFFSET('Customer Count'!$C$4,COLUMN()-COLUMN($C45),0)</f>
        <v>49247.25</v>
      </c>
      <c r="E45" s="260">
        <f ca="1">OFFSET('Customer Count'!$C$4,COLUMN()-COLUMN($C45),0)</f>
        <v>52735.5</v>
      </c>
      <c r="F45" s="260">
        <f ca="1">OFFSET('Customer Count'!$C$4,COLUMN()-COLUMN($C45),0)</f>
        <v>53780.083333333336</v>
      </c>
      <c r="G45" s="260">
        <f ca="1">OFFSET('Customer Count'!$C$4,COLUMN()-COLUMN($C45),0)</f>
        <v>54576.5</v>
      </c>
      <c r="H45" s="260">
        <f ca="1">OFFSET('Customer Count'!$C$4,COLUMN()-COLUMN($C45),0)</f>
        <v>54548.583333333336</v>
      </c>
      <c r="I45" s="260">
        <f ca="1">OFFSET('Customer Count'!$C$4,COLUMN()-COLUMN($C45),0)</f>
        <v>55127.166666666664</v>
      </c>
      <c r="J45" s="260">
        <f ca="1">OFFSET('Customer Count'!$C$4,COLUMN()-COLUMN($C45),0)</f>
        <v>55761.75</v>
      </c>
      <c r="K45" s="260">
        <f ca="1">OFFSET('Customer Count'!$C$4,COLUMN()-COLUMN($C45),0)</f>
        <v>56980.916666666664</v>
      </c>
      <c r="L45" s="260">
        <f ca="1">OFFSET('Customer Count'!$C$4,COLUMN()-COLUMN($C45),0)</f>
        <v>57937</v>
      </c>
      <c r="M45" s="260">
        <f ca="1">OFFSET('Customer Count'!$C$4,COLUMN()-COLUMN($C45),0)</f>
        <v>58387.476500185643</v>
      </c>
      <c r="N45" s="278">
        <f ca="1">OFFSET('Customer Count'!$C$4,COLUMN()-COLUMN($C45),0)</f>
        <v>59177.394403200509</v>
      </c>
    </row>
    <row r="46" spans="2:14" x14ac:dyDescent="0.25">
      <c r="B46" s="21" t="str">
        <f>B4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4427.25</v>
      </c>
      <c r="M46" s="260">
        <f ca="1">OFFSET('Customer Count'!$G$4,COLUMN()-COLUMN($C46),0)</f>
        <v>4325.022565784062</v>
      </c>
      <c r="N46" s="278">
        <f ca="1">OFFSET('Customer Count'!$G$4,COLUMN()-COLUMN($C46),0)</f>
        <v>4371.6443325355931</v>
      </c>
    </row>
    <row r="47" spans="2:14" ht="13.5" customHeight="1" x14ac:dyDescent="0.25">
      <c r="B47" s="21" t="str">
        <f>B5</f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515.41666666666663</v>
      </c>
      <c r="G47" s="260">
        <f ca="1">OFFSET('Customer Count'!$K$4,COLUMN()-COLUMN($C47),0)</f>
        <v>525.25</v>
      </c>
      <c r="H47" s="260">
        <f ca="1">OFFSET('Customer Count'!$K$4,COLUMN()-COLUMN($C47),0)</f>
        <v>537.83333333333337</v>
      </c>
      <c r="I47" s="260">
        <f ca="1">OFFSET('Customer Count'!$K$4,COLUMN()-COLUMN($C47),0)</f>
        <v>538.41666666666663</v>
      </c>
      <c r="J47" s="260">
        <f ca="1">OFFSET('Customer Count'!$K$4,COLUMN()-COLUMN($C47),0)</f>
        <v>543.08333333333337</v>
      </c>
      <c r="K47" s="260">
        <f ca="1">OFFSET('Customer Count'!$K$4,COLUMN()-COLUMN($C47),0)</f>
        <v>521.16666666666663</v>
      </c>
      <c r="L47" s="260">
        <f ca="1">OFFSET('Customer Count'!$K$4,COLUMN()-COLUMN($C47),0)</f>
        <v>516.66666666666663</v>
      </c>
      <c r="M47" s="260">
        <f ca="1">OFFSET('Customer Count'!$K$4,COLUMN()-COLUMN($C47),0)</f>
        <v>514.61975548529983</v>
      </c>
      <c r="N47" s="278">
        <f ca="1">OFFSET('Customer Count'!$K$4,COLUMN()-COLUMN($C47),0)</f>
        <v>515.4471775238834</v>
      </c>
    </row>
    <row r="48" spans="2:14" ht="13.5" customHeight="1" x14ac:dyDescent="0.25">
      <c r="B48" s="21" t="str">
        <f t="shared" ref="B48:B52" si="11">B6</f>
        <v>GS 1,000-4,999</v>
      </c>
      <c r="C48" s="260">
        <f ca="1">OFFSET('Customer Count'!$O$4,COLUMN()-COLUMN($C48),0)</f>
        <v>12.5</v>
      </c>
      <c r="D48" s="260">
        <f ca="1">OFFSET('Customer Count'!$O$4,COLUMN()-COLUMN($C48),0)</f>
        <v>12.833333333333334</v>
      </c>
      <c r="E48" s="260">
        <f ca="1">OFFSET('Customer Count'!$O$4,COLUMN()-COLUMN($C48),0)</f>
        <v>11.833333333333334</v>
      </c>
      <c r="F48" s="260">
        <f ca="1">OFFSET('Customer Count'!$O$4,COLUMN()-COLUMN($C48),0)</f>
        <v>12</v>
      </c>
      <c r="G48" s="260">
        <f ca="1">OFFSET('Customer Count'!$O$4,COLUMN()-COLUMN($C48),0)</f>
        <v>14</v>
      </c>
      <c r="H48" s="260">
        <f ca="1">OFFSET('Customer Count'!$O$4,COLUMN()-COLUMN($C48),0)</f>
        <v>14.5</v>
      </c>
      <c r="I48" s="260">
        <f ca="1">OFFSET('Customer Count'!$O$4,COLUMN()-COLUMN($C48),0)</f>
        <v>17</v>
      </c>
      <c r="J48" s="260">
        <f ca="1">OFFSET('Customer Count'!$O$4,COLUMN()-COLUMN($C48),0)</f>
        <v>18</v>
      </c>
      <c r="K48" s="260">
        <f ca="1">OFFSET('Customer Count'!$O$4,COLUMN()-COLUMN($C48),0)</f>
        <v>18</v>
      </c>
      <c r="L48" s="260">
        <f ca="1">OFFSET('Customer Count'!$O$4,COLUMN()-COLUMN($C48),0)</f>
        <v>17</v>
      </c>
      <c r="M48" s="260">
        <f ca="1">OFFSET('Customer Count'!$O$4,COLUMN()-COLUMN($C48),0)</f>
        <v>17.085225549032245</v>
      </c>
      <c r="N48" s="278">
        <f ca="1">OFFSET('Customer Count'!$O$4,COLUMN()-COLUMN($C48),0)</f>
        <v>17.679027564713657</v>
      </c>
    </row>
    <row r="49" spans="2:14" ht="13.5" customHeight="1" x14ac:dyDescent="0.25">
      <c r="B49" s="21" t="str">
        <f t="shared" si="11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 x14ac:dyDescent="0.25">
      <c r="B50" s="21" t="str">
        <f t="shared" si="11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14446.083333333334</v>
      </c>
      <c r="M50" s="260">
        <f ca="1">OFFSET('Customer Count'!$W$4,COLUMN()-COLUMN($C50),0)</f>
        <v>14528.911584442207</v>
      </c>
      <c r="N50" s="278">
        <f ca="1">OFFSET('Customer Count'!$W$4,COLUMN()-COLUMN($C50),0)</f>
        <v>14728.067686244216</v>
      </c>
    </row>
    <row r="51" spans="2:14" x14ac:dyDescent="0.25">
      <c r="B51" s="21" t="str">
        <f t="shared" si="11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 x14ac:dyDescent="0.25">
      <c r="B52" s="21" t="str">
        <f t="shared" si="11"/>
        <v>USL</v>
      </c>
      <c r="C52" s="260">
        <f ca="1">OFFSET('Customer Count'!$AE$4,COLUMN()-COLUMN($C52),0)</f>
        <v>257.83333333333331</v>
      </c>
      <c r="D52" s="260">
        <f ca="1">OFFSET('Customer Count'!$AE$4,COLUMN()-COLUMN($C52),0)</f>
        <v>246.25</v>
      </c>
      <c r="E52" s="260">
        <f ca="1">OFFSET('Customer Count'!$AE$4,COLUMN()-COLUMN($C52),0)</f>
        <v>246.08333333333334</v>
      </c>
      <c r="F52" s="260">
        <f ca="1">OFFSET('Customer Count'!$AE$4,COLUMN()-COLUMN($C52),0)</f>
        <v>247.91666666666666</v>
      </c>
      <c r="G52" s="260">
        <f ca="1">OFFSET('Customer Count'!$AE$4,COLUMN()-COLUMN($C52),0)</f>
        <v>246.75</v>
      </c>
      <c r="H52" s="260">
        <f ca="1">OFFSET('Customer Count'!$AE$4,COLUMN()-COLUMN($C52),0)</f>
        <v>253.16666666666666</v>
      </c>
      <c r="I52" s="260">
        <f ca="1">OFFSET('Customer Count'!$AE$4,COLUMN()-COLUMN($C52),0)</f>
        <v>251.41666666666666</v>
      </c>
      <c r="J52" s="260">
        <f ca="1">OFFSET('Customer Count'!$AE$4,COLUMN()-COLUMN($C52),0)</f>
        <v>252.66666666666666</v>
      </c>
      <c r="K52" s="260">
        <f ca="1">OFFSET('Customer Count'!$AE$4,COLUMN()-COLUMN($C52),0)</f>
        <v>259.25</v>
      </c>
      <c r="L52" s="260">
        <f ca="1">OFFSET('Customer Count'!$AE$4,COLUMN()-COLUMN($C52),0)</f>
        <v>259.5</v>
      </c>
      <c r="M52" s="260">
        <f ca="1">OFFSET('Customer Count'!$AE$4,COLUMN()-COLUMN($C52),0)</f>
        <v>263.83585228188821</v>
      </c>
      <c r="N52" s="278">
        <f ca="1">OFFSET('Customer Count'!$AE$4,COLUMN()-COLUMN($C52),0)</f>
        <v>265.56996189345489</v>
      </c>
    </row>
    <row r="53" spans="2:14" ht="13.8" thickBot="1" x14ac:dyDescent="0.3">
      <c r="B53" s="135" t="s">
        <v>321</v>
      </c>
      <c r="C53" s="136">
        <f t="shared" ref="C53:N53" ca="1" si="12">SUM(C45:C52)</f>
        <v>66073.416666666657</v>
      </c>
      <c r="D53" s="136">
        <f t="shared" ca="1" si="12"/>
        <v>67153</v>
      </c>
      <c r="E53" s="136">
        <f t="shared" ca="1" si="12"/>
        <v>70874.583333333328</v>
      </c>
      <c r="F53" s="136">
        <f t="shared" ca="1" si="12"/>
        <v>72606.416666666672</v>
      </c>
      <c r="G53" s="136">
        <f t="shared" ca="1" si="12"/>
        <v>73511.333333333343</v>
      </c>
      <c r="H53" s="136">
        <f t="shared" ca="1" si="12"/>
        <v>73565.166666666672</v>
      </c>
      <c r="I53" s="136">
        <f t="shared" ca="1" si="12"/>
        <v>74262.916666666672</v>
      </c>
      <c r="J53" s="136">
        <f t="shared" ca="1" si="12"/>
        <v>75104.333333333343</v>
      </c>
      <c r="K53" s="136">
        <f t="shared" ca="1" si="12"/>
        <v>76577.083333333328</v>
      </c>
      <c r="L53" s="141">
        <f t="shared" ca="1" si="12"/>
        <v>77623.5</v>
      </c>
      <c r="M53" s="136">
        <f t="shared" ca="1" si="12"/>
        <v>78056.951483728131</v>
      </c>
      <c r="N53" s="137">
        <f t="shared" ca="1" si="12"/>
        <v>79095.802588962382</v>
      </c>
    </row>
    <row r="55" spans="2:14" ht="16.2" thickBot="1" x14ac:dyDescent="0.35">
      <c r="B55" s="19" t="s">
        <v>528</v>
      </c>
      <c r="C55" s="131"/>
    </row>
    <row r="56" spans="2:14" ht="26.4" x14ac:dyDescent="0.25">
      <c r="B56" s="132">
        <v>2026</v>
      </c>
      <c r="C56" s="133" t="s">
        <v>396</v>
      </c>
      <c r="D56" s="133" t="s">
        <v>397</v>
      </c>
      <c r="E56" s="134" t="s">
        <v>538</v>
      </c>
    </row>
    <row r="57" spans="2:14" x14ac:dyDescent="0.25">
      <c r="B57" s="21" t="str">
        <f>B45</f>
        <v>Residential</v>
      </c>
      <c r="C57" s="260">
        <f ca="1">E15</f>
        <v>550241794.14455068</v>
      </c>
      <c r="D57" s="260"/>
      <c r="E57" s="278">
        <f ca="1">N45</f>
        <v>59177.394403200509</v>
      </c>
      <c r="F57" s="260"/>
      <c r="G57" s="260"/>
      <c r="H57" s="260"/>
    </row>
    <row r="58" spans="2:14" x14ac:dyDescent="0.25">
      <c r="B58" s="21" t="str">
        <f>B46</f>
        <v>GS &lt; 50</v>
      </c>
      <c r="C58" s="260">
        <f ca="1">E16</f>
        <v>125682650.1030491</v>
      </c>
      <c r="D58" s="260"/>
      <c r="E58" s="278">
        <f ca="1">N46</f>
        <v>4371.6443325355931</v>
      </c>
      <c r="F58" s="260"/>
      <c r="G58" s="260"/>
      <c r="H58" s="260"/>
    </row>
    <row r="59" spans="2:14" x14ac:dyDescent="0.25">
      <c r="B59" s="21" t="str">
        <f>B47</f>
        <v>GS 50-999</v>
      </c>
      <c r="C59" s="260">
        <f ca="1">E17</f>
        <v>332076482.13314188</v>
      </c>
      <c r="D59" s="260">
        <f ca="1">E36</f>
        <v>841467.49778025842</v>
      </c>
      <c r="E59" s="278">
        <f ca="1">N47</f>
        <v>515.4471775238834</v>
      </c>
      <c r="F59" s="260"/>
      <c r="G59" s="260"/>
      <c r="H59" s="260"/>
    </row>
    <row r="60" spans="2:14" x14ac:dyDescent="0.25">
      <c r="B60" s="21" t="str">
        <f t="shared" ref="B60:B64" si="13">B48</f>
        <v>GS 1,000-4,999</v>
      </c>
      <c r="C60" s="260">
        <f ca="1">E18</f>
        <v>74407628.446597368</v>
      </c>
      <c r="D60" s="260">
        <f t="shared" ref="D60:D62" ca="1" si="14">E37</f>
        <v>178737.57776562765</v>
      </c>
      <c r="E60" s="278">
        <f t="shared" ref="E60" ca="1" si="15">N48</f>
        <v>17.679027564713657</v>
      </c>
      <c r="F60" s="260"/>
      <c r="G60" s="260"/>
      <c r="H60" s="260"/>
    </row>
    <row r="61" spans="2:14" x14ac:dyDescent="0.25">
      <c r="B61" s="21" t="str">
        <f t="shared" si="13"/>
        <v>Large Use</v>
      </c>
      <c r="C61" s="260">
        <f t="shared" ref="C61:C64" ca="1" si="16">E19</f>
        <v>34949625.751541801</v>
      </c>
      <c r="D61" s="260">
        <f t="shared" ca="1" si="14"/>
        <v>77914.53401907449</v>
      </c>
      <c r="E61" s="278">
        <f t="shared" ref="E61:E64" ca="1" si="17">N49</f>
        <v>1</v>
      </c>
      <c r="F61" s="260"/>
      <c r="G61" s="260"/>
      <c r="H61" s="260"/>
    </row>
    <row r="62" spans="2:14" x14ac:dyDescent="0.25">
      <c r="B62" s="21" t="str">
        <f t="shared" si="13"/>
        <v>Street Light</v>
      </c>
      <c r="C62" s="260">
        <f t="shared" ca="1" si="16"/>
        <v>4595142.2306357278</v>
      </c>
      <c r="D62" s="260">
        <f t="shared" ca="1" si="14"/>
        <v>13027.998510812127</v>
      </c>
      <c r="E62" s="278">
        <f t="shared" ca="1" si="17"/>
        <v>14728.067686244216</v>
      </c>
      <c r="F62" s="260"/>
      <c r="G62" s="260"/>
      <c r="H62" s="260"/>
    </row>
    <row r="63" spans="2:14" x14ac:dyDescent="0.25">
      <c r="B63" s="21" t="str">
        <f t="shared" si="13"/>
        <v>Sentinel Lights</v>
      </c>
      <c r="C63" s="260">
        <f t="shared" ca="1" si="16"/>
        <v>25474.399999999998</v>
      </c>
      <c r="D63" s="260">
        <f ca="1">E40</f>
        <v>77.82188857560908</v>
      </c>
      <c r="E63" s="278">
        <f t="shared" ca="1" si="17"/>
        <v>19</v>
      </c>
      <c r="F63" s="260"/>
      <c r="G63" s="260"/>
      <c r="H63" s="260"/>
    </row>
    <row r="64" spans="2:14" x14ac:dyDescent="0.25">
      <c r="B64" s="21" t="str">
        <f t="shared" si="13"/>
        <v>USL</v>
      </c>
      <c r="C64" s="260">
        <f t="shared" ca="1" si="16"/>
        <v>2898787.7721564621</v>
      </c>
      <c r="D64" s="260"/>
      <c r="E64" s="278">
        <f t="shared" ca="1" si="17"/>
        <v>265.56996189345489</v>
      </c>
      <c r="F64" s="260"/>
      <c r="G64" s="260"/>
      <c r="H64" s="260"/>
    </row>
    <row r="65" spans="2:8" ht="13.8" thickBot="1" x14ac:dyDescent="0.3">
      <c r="B65" s="135" t="s">
        <v>321</v>
      </c>
      <c r="C65" s="136">
        <f ca="1">SUM(C57:C64)</f>
        <v>1124877584.9816732</v>
      </c>
      <c r="D65" s="136">
        <f ca="1">SUM(D57:D64)</f>
        <v>1111225.4299643482</v>
      </c>
      <c r="E65" s="137">
        <f ca="1">SUM(E57:E64)</f>
        <v>79095.802588962382</v>
      </c>
      <c r="F65" s="260"/>
      <c r="G65" s="260"/>
      <c r="H65" s="260"/>
    </row>
    <row r="66" spans="2:8" x14ac:dyDescent="0.25">
      <c r="C66" s="260"/>
      <c r="D66" s="260"/>
      <c r="E66" s="260"/>
    </row>
  </sheetData>
  <phoneticPr fontId="3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79998168889431442"/>
  </sheetPr>
  <dimension ref="A1:FG3286"/>
  <sheetViews>
    <sheetView workbookViewId="0">
      <pane xSplit="3" ySplit="1" topLeftCell="BS2" activePane="bottomRight" state="frozen"/>
      <selection activeCell="G45" sqref="G45"/>
      <selection pane="topRight" activeCell="G45" sqref="G45"/>
      <selection pane="bottomLeft" activeCell="G45" sqref="G45"/>
      <selection pane="bottomRight" activeCell="CG34" sqref="CG34"/>
    </sheetView>
  </sheetViews>
  <sheetFormatPr defaultColWidth="8.88671875" defaultRowHeight="13.2" x14ac:dyDescent="0.25"/>
  <cols>
    <col min="1" max="1" width="11.109375" style="1" customWidth="1"/>
    <col min="2" max="3" width="9.109375" style="1" bestFit="1" customWidth="1"/>
    <col min="4" max="4" width="11.88671875" style="1" bestFit="1" customWidth="1"/>
    <col min="5" max="6" width="11.33203125" style="1" customWidth="1"/>
    <col min="7" max="18" width="9.109375" style="1" bestFit="1" customWidth="1"/>
    <col min="19" max="19" width="14.77734375" style="24" bestFit="1" customWidth="1"/>
    <col min="20" max="20" width="16" style="24" customWidth="1"/>
    <col min="21" max="21" width="8.6640625" style="24" customWidth="1"/>
    <col min="22" max="32" width="8.6640625" style="1" customWidth="1"/>
    <col min="33" max="33" width="8.77734375" style="1" customWidth="1"/>
    <col min="34" max="34" width="16" style="24" customWidth="1"/>
    <col min="35" max="35" width="8.88671875" style="1"/>
    <col min="36" max="48" width="9.109375" style="1" bestFit="1" customWidth="1"/>
    <col min="49" max="49" width="9.5546875" style="1" bestFit="1" customWidth="1"/>
    <col min="50" max="62" width="9.109375" style="1" bestFit="1" customWidth="1"/>
    <col min="63" max="63" width="8.88671875" style="1"/>
    <col min="64" max="76" width="9.109375" style="1" bestFit="1" customWidth="1"/>
    <col min="77" max="77" width="8.88671875" style="1"/>
    <col min="78" max="90" width="9.109375" style="1" bestFit="1" customWidth="1"/>
    <col min="91" max="91" width="8.88671875" style="1"/>
    <col min="92" max="104" width="9.109375" style="1" bestFit="1" customWidth="1"/>
    <col min="105" max="105" width="8.88671875" style="1"/>
    <col min="106" max="118" width="9.109375" style="1" bestFit="1" customWidth="1"/>
    <col min="119" max="119" width="8.88671875" style="1"/>
    <col min="120" max="122" width="14.109375" style="1" bestFit="1" customWidth="1"/>
    <col min="123" max="123" width="16.44140625" style="1" customWidth="1"/>
    <col min="124" max="124" width="14" style="1" customWidth="1"/>
    <col min="125" max="127" width="14.109375" style="1" bestFit="1" customWidth="1"/>
    <col min="128" max="128" width="17" style="1" customWidth="1"/>
    <col min="129" max="129" width="12.77734375" style="1" bestFit="1" customWidth="1"/>
    <col min="130" max="141" width="8.88671875" style="1"/>
    <col min="142" max="142" width="12.33203125" style="1" bestFit="1" customWidth="1"/>
    <col min="143" max="143" width="10" style="1" bestFit="1" customWidth="1"/>
    <col min="144" max="144" width="11.109375" style="1" bestFit="1" customWidth="1"/>
    <col min="145" max="145" width="9.109375" style="1" bestFit="1" customWidth="1"/>
    <col min="146" max="147" width="8.88671875" style="1"/>
    <col min="148" max="152" width="9" style="1" bestFit="1" customWidth="1"/>
    <col min="153" max="16384" width="8.88671875" style="1"/>
  </cols>
  <sheetData>
    <row r="1" spans="1:163" x14ac:dyDescent="0.25">
      <c r="A1" s="3"/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DP1" s="1" t="str">
        <f>'Monthly Data'!F1</f>
        <v>Res_NoCDM</v>
      </c>
      <c r="DQ1" s="1" t="str">
        <f>'Monthly Data'!J1</f>
        <v>GS_lt_50_NoCDM</v>
      </c>
      <c r="DR1" s="4" t="str">
        <f>'Monthly Data'!N1</f>
        <v>GS_50_999_NoCDM</v>
      </c>
      <c r="DS1" s="4" t="str">
        <f>'Monthly Data'!S1</f>
        <v>GS_1000_4999_NoCDM</v>
      </c>
      <c r="DT1" s="4" t="str">
        <f>'Monthly Data'!V1</f>
        <v>GS_LU_kWh</v>
      </c>
      <c r="DU1" s="1" t="str">
        <f>DP1</f>
        <v>Res_NoCDM</v>
      </c>
      <c r="DV1" s="1" t="str">
        <f>DQ1</f>
        <v>GS_lt_50_NoCDM</v>
      </c>
      <c r="DW1" s="1" t="str">
        <f>DR1</f>
        <v>GS_50_999_NoCDM</v>
      </c>
      <c r="DX1" s="1" t="str">
        <f>DS1</f>
        <v>GS_1000_4999_NoCDM</v>
      </c>
      <c r="DY1" s="1" t="str">
        <f>DT1</f>
        <v>GS_LU_kWh</v>
      </c>
      <c r="ER1" s="24" t="str">
        <f>'Monthly Data'!F1</f>
        <v>Res_NoCDM</v>
      </c>
      <c r="ES1" s="24" t="str">
        <f>'Monthly Data'!J1</f>
        <v>GS_lt_50_NoCDM</v>
      </c>
      <c r="ET1" s="24" t="str">
        <f>'Monthly Data'!N1</f>
        <v>GS_50_999_NoCDM</v>
      </c>
      <c r="EU1" s="24" t="str">
        <f>'Monthly Data'!Q1</f>
        <v>GS_1000_4999_kWh</v>
      </c>
      <c r="EV1" s="24" t="str">
        <f>'Monthly Data'!V1</f>
        <v>GS_LU_kWh</v>
      </c>
      <c r="EW1" s="4"/>
      <c r="FF1" s="263"/>
      <c r="FG1" s="24"/>
    </row>
    <row r="2" spans="1:163" x14ac:dyDescent="0.25">
      <c r="A2" s="3">
        <v>42005</v>
      </c>
      <c r="B2" s="1">
        <v>2015</v>
      </c>
      <c r="C2" s="1">
        <v>1</v>
      </c>
      <c r="D2" s="263">
        <v>-7.7384467040673215</v>
      </c>
      <c r="E2" s="263">
        <v>859.89184782608675</v>
      </c>
      <c r="F2" s="263">
        <v>0</v>
      </c>
      <c r="G2" s="263">
        <v>797.89184782608675</v>
      </c>
      <c r="H2" s="263">
        <v>0</v>
      </c>
      <c r="I2" s="263">
        <v>735.89184782608675</v>
      </c>
      <c r="J2" s="263">
        <v>0</v>
      </c>
      <c r="K2" s="263">
        <v>673.89184782608697</v>
      </c>
      <c r="L2" s="263">
        <v>0</v>
      </c>
      <c r="M2" s="263">
        <v>611.89184782608697</v>
      </c>
      <c r="N2" s="263">
        <v>0</v>
      </c>
      <c r="O2" s="263">
        <v>549.89184782608709</v>
      </c>
      <c r="P2" s="263">
        <v>0</v>
      </c>
      <c r="Q2" s="263">
        <v>487.89184782608703</v>
      </c>
      <c r="R2" s="263">
        <v>0</v>
      </c>
      <c r="V2" s="1">
        <v>1</v>
      </c>
      <c r="W2" s="1">
        <f>V2+1</f>
        <v>2</v>
      </c>
      <c r="X2" s="1">
        <f t="shared" ref="X2:AG2" si="0">W2+1</f>
        <v>3</v>
      </c>
      <c r="Y2" s="1">
        <f>X2+1</f>
        <v>4</v>
      </c>
      <c r="Z2" s="1">
        <f t="shared" si="0"/>
        <v>5</v>
      </c>
      <c r="AA2" s="1">
        <f t="shared" si="0"/>
        <v>6</v>
      </c>
      <c r="AB2" s="1">
        <f t="shared" si="0"/>
        <v>7</v>
      </c>
      <c r="AC2" s="1">
        <f t="shared" si="0"/>
        <v>8</v>
      </c>
      <c r="AD2" s="1">
        <f t="shared" si="0"/>
        <v>9</v>
      </c>
      <c r="AE2" s="1">
        <f t="shared" si="0"/>
        <v>10</v>
      </c>
      <c r="AF2" s="1">
        <f t="shared" si="0"/>
        <v>11</v>
      </c>
      <c r="AG2" s="1">
        <f t="shared" si="0"/>
        <v>12</v>
      </c>
      <c r="AK2" s="1">
        <v>1</v>
      </c>
      <c r="AL2" s="1">
        <f>AK2+1</f>
        <v>2</v>
      </c>
      <c r="AM2" s="1">
        <f t="shared" ref="AM2:AV2" si="1">AL2+1</f>
        <v>3</v>
      </c>
      <c r="AN2" s="1">
        <f t="shared" si="1"/>
        <v>4</v>
      </c>
      <c r="AO2" s="1">
        <f t="shared" si="1"/>
        <v>5</v>
      </c>
      <c r="AP2" s="1">
        <f t="shared" si="1"/>
        <v>6</v>
      </c>
      <c r="AQ2" s="1">
        <f t="shared" si="1"/>
        <v>7</v>
      </c>
      <c r="AR2" s="1">
        <f t="shared" si="1"/>
        <v>8</v>
      </c>
      <c r="AS2" s="1">
        <f t="shared" si="1"/>
        <v>9</v>
      </c>
      <c r="AT2" s="1">
        <f t="shared" si="1"/>
        <v>10</v>
      </c>
      <c r="AU2" s="1">
        <f t="shared" si="1"/>
        <v>11</v>
      </c>
      <c r="AV2" s="1">
        <f t="shared" si="1"/>
        <v>12</v>
      </c>
      <c r="AY2" s="1">
        <v>1</v>
      </c>
      <c r="AZ2" s="1">
        <f>AY2+1</f>
        <v>2</v>
      </c>
      <c r="BA2" s="1">
        <f t="shared" ref="BA2:BJ2" si="2">AZ2+1</f>
        <v>3</v>
      </c>
      <c r="BB2" s="1">
        <f t="shared" si="2"/>
        <v>4</v>
      </c>
      <c r="BC2" s="1">
        <f t="shared" si="2"/>
        <v>5</v>
      </c>
      <c r="BD2" s="1">
        <f t="shared" si="2"/>
        <v>6</v>
      </c>
      <c r="BE2" s="1">
        <f t="shared" si="2"/>
        <v>7</v>
      </c>
      <c r="BF2" s="1">
        <f t="shared" si="2"/>
        <v>8</v>
      </c>
      <c r="BG2" s="1">
        <f t="shared" si="2"/>
        <v>9</v>
      </c>
      <c r="BH2" s="1">
        <f t="shared" si="2"/>
        <v>10</v>
      </c>
      <c r="BI2" s="1">
        <f t="shared" si="2"/>
        <v>11</v>
      </c>
      <c r="BJ2" s="1">
        <f t="shared" si="2"/>
        <v>12</v>
      </c>
      <c r="BM2" s="1">
        <v>1</v>
      </c>
      <c r="BN2" s="1">
        <f>BM2+1</f>
        <v>2</v>
      </c>
      <c r="BO2" s="1">
        <f t="shared" ref="BO2:BX2" si="3">BN2+1</f>
        <v>3</v>
      </c>
      <c r="BP2" s="1">
        <f t="shared" si="3"/>
        <v>4</v>
      </c>
      <c r="BQ2" s="1">
        <f t="shared" si="3"/>
        <v>5</v>
      </c>
      <c r="BR2" s="1">
        <f t="shared" si="3"/>
        <v>6</v>
      </c>
      <c r="BS2" s="1">
        <f t="shared" si="3"/>
        <v>7</v>
      </c>
      <c r="BT2" s="1">
        <f t="shared" si="3"/>
        <v>8</v>
      </c>
      <c r="BU2" s="1">
        <f t="shared" si="3"/>
        <v>9</v>
      </c>
      <c r="BV2" s="1">
        <f t="shared" si="3"/>
        <v>10</v>
      </c>
      <c r="BW2" s="1">
        <f t="shared" si="3"/>
        <v>11</v>
      </c>
      <c r="BX2" s="1">
        <f t="shared" si="3"/>
        <v>12</v>
      </c>
      <c r="CA2" s="1">
        <v>1</v>
      </c>
      <c r="CB2" s="1">
        <f>CA2+1</f>
        <v>2</v>
      </c>
      <c r="CC2" s="1">
        <f t="shared" ref="CC2:CL2" si="4">CB2+1</f>
        <v>3</v>
      </c>
      <c r="CD2" s="1">
        <f t="shared" si="4"/>
        <v>4</v>
      </c>
      <c r="CE2" s="1">
        <f t="shared" si="4"/>
        <v>5</v>
      </c>
      <c r="CF2" s="1">
        <f t="shared" si="4"/>
        <v>6</v>
      </c>
      <c r="CG2" s="1">
        <f t="shared" si="4"/>
        <v>7</v>
      </c>
      <c r="CH2" s="1">
        <f t="shared" si="4"/>
        <v>8</v>
      </c>
      <c r="CI2" s="1">
        <f t="shared" si="4"/>
        <v>9</v>
      </c>
      <c r="CJ2" s="1">
        <f t="shared" si="4"/>
        <v>10</v>
      </c>
      <c r="CK2" s="1">
        <f t="shared" si="4"/>
        <v>11</v>
      </c>
      <c r="CL2" s="1">
        <f t="shared" si="4"/>
        <v>12</v>
      </c>
      <c r="CO2" s="1">
        <v>1</v>
      </c>
      <c r="CP2" s="1">
        <f>CO2+1</f>
        <v>2</v>
      </c>
      <c r="CQ2" s="1">
        <f t="shared" ref="CQ2:CZ2" si="5">CP2+1</f>
        <v>3</v>
      </c>
      <c r="CR2" s="1">
        <f t="shared" si="5"/>
        <v>4</v>
      </c>
      <c r="CS2" s="1">
        <f t="shared" si="5"/>
        <v>5</v>
      </c>
      <c r="CT2" s="1">
        <f t="shared" si="5"/>
        <v>6</v>
      </c>
      <c r="CU2" s="1">
        <f t="shared" si="5"/>
        <v>7</v>
      </c>
      <c r="CV2" s="1">
        <f t="shared" si="5"/>
        <v>8</v>
      </c>
      <c r="CW2" s="1">
        <f t="shared" si="5"/>
        <v>9</v>
      </c>
      <c r="CX2" s="1">
        <f t="shared" si="5"/>
        <v>10</v>
      </c>
      <c r="CY2" s="1">
        <f t="shared" si="5"/>
        <v>11</v>
      </c>
      <c r="CZ2" s="1">
        <f t="shared" si="5"/>
        <v>12</v>
      </c>
      <c r="DC2" s="1">
        <v>1</v>
      </c>
      <c r="DD2" s="1">
        <f>DC2+1</f>
        <v>2</v>
      </c>
      <c r="DE2" s="1">
        <f t="shared" ref="DE2:DN2" si="6">DD2+1</f>
        <v>3</v>
      </c>
      <c r="DF2" s="1">
        <f t="shared" si="6"/>
        <v>4</v>
      </c>
      <c r="DG2" s="1">
        <f t="shared" si="6"/>
        <v>5</v>
      </c>
      <c r="DH2" s="1">
        <f t="shared" si="6"/>
        <v>6</v>
      </c>
      <c r="DI2" s="1">
        <f t="shared" si="6"/>
        <v>7</v>
      </c>
      <c r="DJ2" s="1">
        <f t="shared" si="6"/>
        <v>8</v>
      </c>
      <c r="DK2" s="1">
        <f t="shared" si="6"/>
        <v>9</v>
      </c>
      <c r="DL2" s="1">
        <f t="shared" si="6"/>
        <v>10</v>
      </c>
      <c r="DM2" s="1">
        <f t="shared" si="6"/>
        <v>11</v>
      </c>
      <c r="DN2" s="1">
        <f t="shared" si="6"/>
        <v>12</v>
      </c>
      <c r="DO2" s="24"/>
      <c r="DP2" s="18">
        <f>'Monthly Data'!F2</f>
        <v>49452804.208921209</v>
      </c>
      <c r="DQ2" s="18">
        <f>'Monthly Data'!J2</f>
        <v>13822388.796796555</v>
      </c>
      <c r="DR2" s="18">
        <f>'Monthly Data'!N2</f>
        <v>32704294.381073207</v>
      </c>
      <c r="DS2" s="4">
        <f>'Monthly Data'!S2</f>
        <v>6697602.8367803404</v>
      </c>
      <c r="DT2" s="4">
        <f>'Monthly Data'!V2</f>
        <v>3310187.7147286441</v>
      </c>
      <c r="DU2" s="18">
        <f>$EL$17+K2*$EL$18+N2*$EL$19</f>
        <v>50723562.852158681</v>
      </c>
      <c r="DV2" s="18">
        <f>$EL$37+I2*$EL$38+L2*$EL$39</f>
        <v>12760752.530177468</v>
      </c>
      <c r="DW2" s="18">
        <f>$EL$56+O2*$EL$57+N2*$EL$58</f>
        <v>33844576.620209962</v>
      </c>
      <c r="DX2" s="18">
        <f>$EL$75+M2*$EL$76+L2*$EL$77</f>
        <v>6894957.8328533489</v>
      </c>
      <c r="DY2" s="18">
        <f>$EL$93+M2*$EL$94+L2*$EL$95</f>
        <v>3227026.2028917666</v>
      </c>
      <c r="ER2" s="24">
        <f>'Monthly Data'!F2/'Monthly Data'!G2/'Monthly Data'!CD2</f>
        <v>34.567417466789699</v>
      </c>
      <c r="ES2" s="259">
        <f>'Monthly Data'!J2/'Monthly Data'!K2/'Monthly Data'!CD2</f>
        <v>111.66629340698282</v>
      </c>
      <c r="ET2" s="24">
        <f>'Monthly Data'!N2/'Monthly Data'!P2/'Monthly Data'!CD2</f>
        <v>2089.0638378200706</v>
      </c>
      <c r="EU2" s="24">
        <f>'Monthly Data'!Q2/'Monthly Data'!U2/'Monthly Data'!CD2</f>
        <v>17380.676255561295</v>
      </c>
      <c r="EV2" s="24">
        <f>'Monthly Data'!V2/'Monthly Data'!Z2/'Monthly Data'!CD2</f>
        <v>106780.24886221433</v>
      </c>
      <c r="EW2" s="24"/>
      <c r="FG2" s="24"/>
    </row>
    <row r="3" spans="1:163" x14ac:dyDescent="0.25">
      <c r="A3" s="3">
        <v>42036</v>
      </c>
      <c r="B3" s="1">
        <v>2015</v>
      </c>
      <c r="C3" s="1">
        <v>2</v>
      </c>
      <c r="D3" s="263">
        <v>-12.92336956521739</v>
      </c>
      <c r="E3" s="263">
        <v>921.85434782608706</v>
      </c>
      <c r="F3" s="263">
        <v>0</v>
      </c>
      <c r="G3" s="263">
        <v>865.85434782608706</v>
      </c>
      <c r="H3" s="263">
        <v>0</v>
      </c>
      <c r="I3" s="263">
        <v>809.85434782608706</v>
      </c>
      <c r="J3" s="263">
        <v>0</v>
      </c>
      <c r="K3" s="263">
        <v>753.85434782608695</v>
      </c>
      <c r="L3" s="263">
        <v>0</v>
      </c>
      <c r="M3" s="263">
        <v>697.85434782608695</v>
      </c>
      <c r="N3" s="263">
        <v>0</v>
      </c>
      <c r="O3" s="263">
        <v>641.85434782608695</v>
      </c>
      <c r="P3" s="263">
        <v>0</v>
      </c>
      <c r="Q3" s="263">
        <v>585.85434782608695</v>
      </c>
      <c r="R3" s="263">
        <v>0</v>
      </c>
      <c r="U3" s="409" t="s">
        <v>51</v>
      </c>
      <c r="V3" s="410" t="s">
        <v>65</v>
      </c>
      <c r="W3" s="410" t="s">
        <v>66</v>
      </c>
      <c r="X3" s="410" t="s">
        <v>67</v>
      </c>
      <c r="Y3" s="410" t="s">
        <v>68</v>
      </c>
      <c r="Z3" s="410" t="s">
        <v>69</v>
      </c>
      <c r="AA3" s="410" t="s">
        <v>142</v>
      </c>
      <c r="AB3" s="410" t="s">
        <v>143</v>
      </c>
      <c r="AC3" s="410" t="s">
        <v>144</v>
      </c>
      <c r="AD3" s="410" t="s">
        <v>73</v>
      </c>
      <c r="AE3" s="410" t="s">
        <v>74</v>
      </c>
      <c r="AF3" s="410" t="s">
        <v>75</v>
      </c>
      <c r="AG3" s="410" t="s">
        <v>76</v>
      </c>
      <c r="AJ3" s="409" t="s">
        <v>53</v>
      </c>
      <c r="AK3" s="410" t="s">
        <v>65</v>
      </c>
      <c r="AL3" s="410" t="s">
        <v>66</v>
      </c>
      <c r="AM3" s="410" t="s">
        <v>67</v>
      </c>
      <c r="AN3" s="410" t="s">
        <v>68</v>
      </c>
      <c r="AO3" s="410" t="s">
        <v>69</v>
      </c>
      <c r="AP3" s="410" t="s">
        <v>142</v>
      </c>
      <c r="AQ3" s="410" t="s">
        <v>143</v>
      </c>
      <c r="AR3" s="410" t="s">
        <v>144</v>
      </c>
      <c r="AS3" s="410" t="s">
        <v>73</v>
      </c>
      <c r="AT3" s="410" t="s">
        <v>74</v>
      </c>
      <c r="AU3" s="410" t="s">
        <v>75</v>
      </c>
      <c r="AV3" s="410" t="s">
        <v>76</v>
      </c>
      <c r="AX3" s="409" t="s">
        <v>55</v>
      </c>
      <c r="AY3" s="410" t="s">
        <v>65</v>
      </c>
      <c r="AZ3" s="410" t="s">
        <v>66</v>
      </c>
      <c r="BA3" s="410" t="s">
        <v>67</v>
      </c>
      <c r="BB3" s="410" t="s">
        <v>68</v>
      </c>
      <c r="BC3" s="410" t="s">
        <v>69</v>
      </c>
      <c r="BD3" s="410" t="s">
        <v>142</v>
      </c>
      <c r="BE3" s="410" t="s">
        <v>143</v>
      </c>
      <c r="BF3" s="410" t="s">
        <v>144</v>
      </c>
      <c r="BG3" s="410" t="s">
        <v>73</v>
      </c>
      <c r="BH3" s="410" t="s">
        <v>74</v>
      </c>
      <c r="BI3" s="410" t="s">
        <v>75</v>
      </c>
      <c r="BJ3" s="410" t="s">
        <v>76</v>
      </c>
      <c r="BL3" s="409" t="s">
        <v>57</v>
      </c>
      <c r="BM3" s="410" t="s">
        <v>65</v>
      </c>
      <c r="BN3" s="410" t="s">
        <v>66</v>
      </c>
      <c r="BO3" s="410" t="s">
        <v>67</v>
      </c>
      <c r="BP3" s="410" t="s">
        <v>68</v>
      </c>
      <c r="BQ3" s="410" t="s">
        <v>69</v>
      </c>
      <c r="BR3" s="410" t="s">
        <v>142</v>
      </c>
      <c r="BS3" s="410" t="s">
        <v>143</v>
      </c>
      <c r="BT3" s="410" t="s">
        <v>144</v>
      </c>
      <c r="BU3" s="410" t="s">
        <v>73</v>
      </c>
      <c r="BV3" s="410" t="s">
        <v>74</v>
      </c>
      <c r="BW3" s="410" t="s">
        <v>75</v>
      </c>
      <c r="BX3" s="410" t="s">
        <v>76</v>
      </c>
      <c r="BZ3" s="409" t="s">
        <v>59</v>
      </c>
      <c r="CA3" s="410" t="s">
        <v>65</v>
      </c>
      <c r="CB3" s="410" t="s">
        <v>66</v>
      </c>
      <c r="CC3" s="410" t="s">
        <v>67</v>
      </c>
      <c r="CD3" s="410" t="s">
        <v>68</v>
      </c>
      <c r="CE3" s="410" t="s">
        <v>69</v>
      </c>
      <c r="CF3" s="410" t="s">
        <v>142</v>
      </c>
      <c r="CG3" s="410" t="s">
        <v>143</v>
      </c>
      <c r="CH3" s="410" t="s">
        <v>144</v>
      </c>
      <c r="CI3" s="410" t="s">
        <v>73</v>
      </c>
      <c r="CJ3" s="410" t="s">
        <v>74</v>
      </c>
      <c r="CK3" s="410" t="s">
        <v>75</v>
      </c>
      <c r="CL3" s="410" t="s">
        <v>76</v>
      </c>
      <c r="CN3" s="409" t="s">
        <v>61</v>
      </c>
      <c r="CO3" s="410" t="s">
        <v>65</v>
      </c>
      <c r="CP3" s="410" t="s">
        <v>66</v>
      </c>
      <c r="CQ3" s="410" t="s">
        <v>67</v>
      </c>
      <c r="CR3" s="410" t="s">
        <v>68</v>
      </c>
      <c r="CS3" s="410" t="s">
        <v>69</v>
      </c>
      <c r="CT3" s="410" t="s">
        <v>142</v>
      </c>
      <c r="CU3" s="410" t="s">
        <v>143</v>
      </c>
      <c r="CV3" s="410" t="s">
        <v>144</v>
      </c>
      <c r="CW3" s="410" t="s">
        <v>73</v>
      </c>
      <c r="CX3" s="410" t="s">
        <v>74</v>
      </c>
      <c r="CY3" s="410" t="s">
        <v>75</v>
      </c>
      <c r="CZ3" s="410" t="s">
        <v>76</v>
      </c>
      <c r="DB3" s="409" t="s">
        <v>63</v>
      </c>
      <c r="DC3" s="410" t="s">
        <v>65</v>
      </c>
      <c r="DD3" s="410" t="s">
        <v>66</v>
      </c>
      <c r="DE3" s="410" t="s">
        <v>67</v>
      </c>
      <c r="DF3" s="410" t="s">
        <v>68</v>
      </c>
      <c r="DG3" s="410" t="s">
        <v>69</v>
      </c>
      <c r="DH3" s="410" t="s">
        <v>142</v>
      </c>
      <c r="DI3" s="410" t="s">
        <v>143</v>
      </c>
      <c r="DJ3" s="410" t="s">
        <v>144</v>
      </c>
      <c r="DK3" s="410" t="s">
        <v>73</v>
      </c>
      <c r="DL3" s="410" t="s">
        <v>74</v>
      </c>
      <c r="DM3" s="410" t="s">
        <v>75</v>
      </c>
      <c r="DN3" s="410" t="s">
        <v>76</v>
      </c>
      <c r="DP3" s="18">
        <f>'Monthly Data'!F3</f>
        <v>50302916.673507825</v>
      </c>
      <c r="DQ3" s="18">
        <f>'Monthly Data'!J3</f>
        <v>12768909.645815352</v>
      </c>
      <c r="DR3" s="18">
        <f>'Monthly Data'!N3</f>
        <v>34105863.490816332</v>
      </c>
      <c r="DS3" s="4">
        <f>'Monthly Data'!S3</f>
        <v>6292256.0165867163</v>
      </c>
      <c r="DT3" s="4">
        <f>'Monthly Data'!V3</f>
        <v>3180175.3551415652</v>
      </c>
      <c r="DU3" s="18">
        <f t="shared" ref="DU3:DU66" si="7">$EL$17+K3*$EL$18+N3*$EL$19</f>
        <v>53193008.933252774</v>
      </c>
      <c r="DV3" s="18">
        <f t="shared" ref="DV3:DV66" si="8">$EL$37+I3*$EL$38+L3*$EL$39</f>
        <v>13174413.317765638</v>
      </c>
      <c r="DW3" s="18">
        <f t="shared" ref="DW3:DW66" si="9">$EL$56+O3*$EL$57+N3*$EL$58</f>
        <v>35687457.658336587</v>
      </c>
      <c r="DX3" s="18">
        <f t="shared" ref="DX3:DX66" si="10">$EL$75+M3*$EL$76+L3*$EL$77</f>
        <v>6909803.7643912965</v>
      </c>
      <c r="DY3" s="18">
        <f t="shared" ref="DY3:DY66" si="11">$EL$93+M3*$EL$94+L3*$EL$95</f>
        <v>3245416.0114970752</v>
      </c>
      <c r="ER3" s="24">
        <f>'Monthly Data'!F3/'Monthly Data'!G3/'Monthly Data'!CD3</f>
        <v>38.809546960306868</v>
      </c>
      <c r="ES3" s="259">
        <f>'Monthly Data'!J3/'Monthly Data'!K3/'Monthly Data'!CD3</f>
        <v>114.2079858128095</v>
      </c>
      <c r="ET3" s="24">
        <f>'Monthly Data'!N3/'Monthly Data'!P3/'Monthly Data'!CD3</f>
        <v>2412.012976719684</v>
      </c>
      <c r="EU3" s="24">
        <f>'Monthly Data'!Q3/'Monthly Data'!U3/'Monthly Data'!CD3</f>
        <v>17944.442195179483</v>
      </c>
      <c r="EV3" s="24">
        <f>'Monthly Data'!V3/'Monthly Data'!Z3/'Monthly Data'!CD3</f>
        <v>113577.69125505591</v>
      </c>
      <c r="EW3" s="24"/>
      <c r="FG3" s="24"/>
    </row>
    <row r="4" spans="1:163" x14ac:dyDescent="0.25">
      <c r="A4" s="3">
        <v>42064</v>
      </c>
      <c r="B4" s="1">
        <v>2015</v>
      </c>
      <c r="C4" s="1">
        <v>3</v>
      </c>
      <c r="D4" s="263">
        <v>-2.5741935483870972</v>
      </c>
      <c r="E4" s="263">
        <v>699.80000000000007</v>
      </c>
      <c r="F4" s="263">
        <v>0</v>
      </c>
      <c r="G4" s="263">
        <v>637.79999999999995</v>
      </c>
      <c r="H4" s="263">
        <v>0</v>
      </c>
      <c r="I4" s="263">
        <v>575.79999999999995</v>
      </c>
      <c r="J4" s="263">
        <v>0</v>
      </c>
      <c r="K4" s="263">
        <v>513.79999999999995</v>
      </c>
      <c r="L4" s="263">
        <v>0</v>
      </c>
      <c r="M4" s="263">
        <v>451.8</v>
      </c>
      <c r="N4" s="263">
        <v>0</v>
      </c>
      <c r="O4" s="263">
        <v>389.8</v>
      </c>
      <c r="P4" s="263">
        <v>0</v>
      </c>
      <c r="Q4" s="263">
        <v>327.79999999999995</v>
      </c>
      <c r="R4" s="263">
        <v>0</v>
      </c>
      <c r="U4" s="1">
        <v>2015</v>
      </c>
      <c r="V4" s="271">
        <f t="shared" ref="V4:AG13" si="12">SUMIFS($E:$E,$B:$B,$U4,$C:$C,V$2)</f>
        <v>859.89184782608675</v>
      </c>
      <c r="W4" s="271">
        <f t="shared" si="12"/>
        <v>921.85434782608706</v>
      </c>
      <c r="X4" s="271">
        <f t="shared" si="12"/>
        <v>699.80000000000007</v>
      </c>
      <c r="Y4" s="271">
        <f t="shared" si="12"/>
        <v>406.75037878787873</v>
      </c>
      <c r="Z4" s="271">
        <f t="shared" si="12"/>
        <v>159.09689440993785</v>
      </c>
      <c r="AA4" s="271">
        <f t="shared" si="12"/>
        <v>93.137500000000045</v>
      </c>
      <c r="AB4" s="271">
        <f t="shared" si="12"/>
        <v>25.987500000000004</v>
      </c>
      <c r="AC4" s="271">
        <f t="shared" si="12"/>
        <v>40.1875</v>
      </c>
      <c r="AD4" s="271">
        <f t="shared" si="12"/>
        <v>78.99404761904762</v>
      </c>
      <c r="AE4" s="271">
        <f t="shared" si="12"/>
        <v>338.98750000000007</v>
      </c>
      <c r="AF4" s="271">
        <f t="shared" si="12"/>
        <v>431.77083333333331</v>
      </c>
      <c r="AG4" s="271">
        <f t="shared" si="12"/>
        <v>499.62590579710155</v>
      </c>
      <c r="AJ4" s="1">
        <v>2015</v>
      </c>
      <c r="AK4" s="271">
        <f t="shared" ref="AK4:AV13" si="13">SUMIFS($G:$G,$B:$B,$AJ4,$C:$C,AK$2)</f>
        <v>797.89184782608675</v>
      </c>
      <c r="AL4" s="271">
        <f t="shared" si="13"/>
        <v>865.85434782608706</v>
      </c>
      <c r="AM4" s="271">
        <f t="shared" si="13"/>
        <v>637.79999999999995</v>
      </c>
      <c r="AN4" s="271">
        <f t="shared" si="13"/>
        <v>346.75037878787867</v>
      </c>
      <c r="AO4" s="271">
        <f t="shared" si="13"/>
        <v>108.22189440993786</v>
      </c>
      <c r="AP4" s="271">
        <f t="shared" si="13"/>
        <v>44.925000000000004</v>
      </c>
      <c r="AQ4" s="271">
        <f t="shared" si="13"/>
        <v>6.0874999999999986</v>
      </c>
      <c r="AR4" s="271">
        <f t="shared" si="13"/>
        <v>9.4166666666666572</v>
      </c>
      <c r="AS4" s="271">
        <f t="shared" si="13"/>
        <v>42.631547619047623</v>
      </c>
      <c r="AT4" s="271">
        <f t="shared" si="13"/>
        <v>276.98750000000001</v>
      </c>
      <c r="AU4" s="271">
        <f t="shared" si="13"/>
        <v>371.77083333333326</v>
      </c>
      <c r="AV4" s="271">
        <f t="shared" si="13"/>
        <v>437.62590579710155</v>
      </c>
      <c r="AW4" s="411">
        <f t="shared" ref="AW4:AW13" si="14">SUM(AK4:AV4)</f>
        <v>3945.9634222661393</v>
      </c>
      <c r="AX4" s="1">
        <v>2015</v>
      </c>
      <c r="AY4" s="271">
        <f t="shared" ref="AY4:BJ13" si="15">SUMIFS($I:$I,$B:$B,$AX4,$C:$C,AY$2)</f>
        <v>735.89184782608675</v>
      </c>
      <c r="AZ4" s="271">
        <f t="shared" si="15"/>
        <v>809.85434782608706</v>
      </c>
      <c r="BA4" s="271">
        <f t="shared" si="15"/>
        <v>575.79999999999995</v>
      </c>
      <c r="BB4" s="271">
        <f t="shared" si="15"/>
        <v>286.75037878787873</v>
      </c>
      <c r="BC4" s="271">
        <f t="shared" si="15"/>
        <v>67.211775362318832</v>
      </c>
      <c r="BD4" s="271">
        <f t="shared" si="15"/>
        <v>17.725000000000009</v>
      </c>
      <c r="BE4" s="271">
        <f t="shared" si="15"/>
        <v>0</v>
      </c>
      <c r="BF4" s="271">
        <f t="shared" si="15"/>
        <v>0.49166666666666714</v>
      </c>
      <c r="BG4" s="271">
        <f t="shared" si="15"/>
        <v>18.695833333333333</v>
      </c>
      <c r="BH4" s="271">
        <f t="shared" si="15"/>
        <v>215.98749999999998</v>
      </c>
      <c r="BI4" s="271">
        <f t="shared" si="15"/>
        <v>311.77083333333331</v>
      </c>
      <c r="BJ4" s="271">
        <f t="shared" si="15"/>
        <v>375.6259057971015</v>
      </c>
      <c r="BL4" s="1">
        <v>2015</v>
      </c>
      <c r="BM4" s="271">
        <f t="shared" ref="BM4:BX13" si="16">SUMIFS($K:$K,$B:$B,$BL4,$C:$C,BM$2)</f>
        <v>673.89184782608697</v>
      </c>
      <c r="BN4" s="271">
        <f t="shared" si="16"/>
        <v>753.85434782608695</v>
      </c>
      <c r="BO4" s="271">
        <f t="shared" si="16"/>
        <v>513.79999999999995</v>
      </c>
      <c r="BP4" s="271">
        <f t="shared" si="16"/>
        <v>226.75037878787884</v>
      </c>
      <c r="BQ4" s="271">
        <f t="shared" si="16"/>
        <v>35.578442028985506</v>
      </c>
      <c r="BR4" s="271">
        <f t="shared" si="16"/>
        <v>5.9875000000000078</v>
      </c>
      <c r="BS4" s="271">
        <f t="shared" si="16"/>
        <v>0</v>
      </c>
      <c r="BT4" s="271">
        <f t="shared" si="16"/>
        <v>0</v>
      </c>
      <c r="BU4" s="271">
        <f t="shared" si="16"/>
        <v>6.0041666666666682</v>
      </c>
      <c r="BV4" s="271">
        <f t="shared" si="16"/>
        <v>157.34583333333333</v>
      </c>
      <c r="BW4" s="271">
        <f t="shared" si="16"/>
        <v>252.04166666666663</v>
      </c>
      <c r="BX4" s="271">
        <f t="shared" si="16"/>
        <v>313.62590579710144</v>
      </c>
      <c r="BZ4" s="1">
        <v>2015</v>
      </c>
      <c r="CA4" s="271">
        <f t="shared" ref="CA4:CL13" si="17">SUMIFS($M:$M,$B:$B,$BZ4,$C:$C,CA$2)</f>
        <v>611.89184782608697</v>
      </c>
      <c r="CB4" s="271">
        <f t="shared" si="17"/>
        <v>697.85434782608695</v>
      </c>
      <c r="CC4" s="271">
        <f t="shared" si="17"/>
        <v>451.8</v>
      </c>
      <c r="CD4" s="271">
        <f t="shared" si="17"/>
        <v>168.28371212121215</v>
      </c>
      <c r="CE4" s="271">
        <f t="shared" si="17"/>
        <v>16.190942028985511</v>
      </c>
      <c r="CF4" s="271">
        <f t="shared" si="17"/>
        <v>0.6458333333333357</v>
      </c>
      <c r="CG4" s="271">
        <f t="shared" si="17"/>
        <v>0</v>
      </c>
      <c r="CH4" s="271">
        <f t="shared" si="17"/>
        <v>0</v>
      </c>
      <c r="CI4" s="271">
        <f t="shared" si="17"/>
        <v>3.7500000000001421E-2</v>
      </c>
      <c r="CJ4" s="271">
        <f t="shared" si="17"/>
        <v>104.88333333333331</v>
      </c>
      <c r="CK4" s="271">
        <f t="shared" si="17"/>
        <v>195.30833333333331</v>
      </c>
      <c r="CL4" s="271">
        <f t="shared" si="17"/>
        <v>251.62590579710138</v>
      </c>
      <c r="CN4" s="1">
        <v>2015</v>
      </c>
      <c r="CO4" s="271">
        <f t="shared" ref="CO4:CZ13" si="18">SUMIFS($O:$O,$B:$B,$CN4,$C:$C,CO$2)</f>
        <v>549.89184782608709</v>
      </c>
      <c r="CP4" s="271">
        <f t="shared" si="18"/>
        <v>641.85434782608695</v>
      </c>
      <c r="CQ4" s="271">
        <f t="shared" si="18"/>
        <v>389.8</v>
      </c>
      <c r="CR4" s="271">
        <f t="shared" si="18"/>
        <v>116.58371212121212</v>
      </c>
      <c r="CS4" s="271">
        <f t="shared" si="18"/>
        <v>4.3916666666666675</v>
      </c>
      <c r="CT4" s="271">
        <f t="shared" si="18"/>
        <v>0</v>
      </c>
      <c r="CU4" s="271">
        <f t="shared" si="18"/>
        <v>0</v>
      </c>
      <c r="CV4" s="271">
        <f t="shared" si="18"/>
        <v>0</v>
      </c>
      <c r="CW4" s="271">
        <f t="shared" si="18"/>
        <v>0</v>
      </c>
      <c r="CX4" s="271">
        <f t="shared" si="18"/>
        <v>61.262500000000003</v>
      </c>
      <c r="CY4" s="271">
        <f t="shared" si="18"/>
        <v>143.67916666666665</v>
      </c>
      <c r="CZ4" s="271">
        <f t="shared" si="18"/>
        <v>190.49257246376811</v>
      </c>
      <c r="DB4" s="1">
        <v>2015</v>
      </c>
      <c r="DC4" s="271">
        <f t="shared" ref="DC4:DN13" si="19">SUMIFS($Q:$Q,$B:$B,$DB4,$C:$C,DC$2)</f>
        <v>487.89184782608703</v>
      </c>
      <c r="DD4" s="271">
        <f t="shared" si="19"/>
        <v>585.85434782608695</v>
      </c>
      <c r="DE4" s="271">
        <f t="shared" si="19"/>
        <v>327.79999999999995</v>
      </c>
      <c r="DF4" s="271">
        <f t="shared" si="19"/>
        <v>72.862878787878799</v>
      </c>
      <c r="DG4" s="271">
        <f t="shared" si="19"/>
        <v>0</v>
      </c>
      <c r="DH4" s="271">
        <f t="shared" si="19"/>
        <v>0</v>
      </c>
      <c r="DI4" s="271">
        <f t="shared" si="19"/>
        <v>0</v>
      </c>
      <c r="DJ4" s="271">
        <f t="shared" si="19"/>
        <v>0</v>
      </c>
      <c r="DK4" s="271">
        <f t="shared" si="19"/>
        <v>0</v>
      </c>
      <c r="DL4" s="271">
        <f t="shared" si="19"/>
        <v>33.92916666666666</v>
      </c>
      <c r="DM4" s="271">
        <f t="shared" si="19"/>
        <v>99.970833333333317</v>
      </c>
      <c r="DN4" s="271">
        <f t="shared" si="19"/>
        <v>134.45072463768119</v>
      </c>
      <c r="DP4" s="18">
        <f>'Monthly Data'!F4</f>
        <v>41870929.863253012</v>
      </c>
      <c r="DQ4" s="18">
        <f>'Monthly Data'!J4</f>
        <v>12329126.124219459</v>
      </c>
      <c r="DR4" s="18">
        <f>'Monthly Data'!N4</f>
        <v>29483042.357302777</v>
      </c>
      <c r="DS4" s="4">
        <f>'Monthly Data'!S4</f>
        <v>6879107.4130763644</v>
      </c>
      <c r="DT4" s="4">
        <f>'Monthly Data'!V4</f>
        <v>3522503.9865684011</v>
      </c>
      <c r="DU4" s="18">
        <f t="shared" si="7"/>
        <v>45779518.003270239</v>
      </c>
      <c r="DV4" s="18">
        <f t="shared" si="8"/>
        <v>11865383.662735397</v>
      </c>
      <c r="DW4" s="18">
        <f t="shared" si="9"/>
        <v>30636418.61322505</v>
      </c>
      <c r="DX4" s="18">
        <f t="shared" si="10"/>
        <v>6867309.5837608995</v>
      </c>
      <c r="DY4" s="18">
        <f t="shared" si="11"/>
        <v>3192778.0314124362</v>
      </c>
      <c r="ER4" s="24">
        <f>'Monthly Data'!F4/'Monthly Data'!G4/'Monthly Data'!CD4</f>
        <v>28.908761544435801</v>
      </c>
      <c r="ES4" s="259">
        <f>'Monthly Data'!J4/'Monthly Data'!K4/'Monthly Data'!CD4</f>
        <v>99.777658289654582</v>
      </c>
      <c r="ET4" s="24">
        <f>'Monthly Data'!N4/'Monthly Data'!P4/'Monthly Data'!CD4</f>
        <v>1879.5768428728024</v>
      </c>
      <c r="EU4" s="24">
        <f>'Monthly Data'!Q4/'Monthly Data'!U4/'Monthly Data'!CD4</f>
        <v>17702.28979778248</v>
      </c>
      <c r="EV4" s="24">
        <f>'Monthly Data'!V4/'Monthly Data'!Z4/'Monthly Data'!CD4</f>
        <v>113629.16085704519</v>
      </c>
      <c r="EW4" s="24"/>
      <c r="FG4" s="24"/>
    </row>
    <row r="5" spans="1:163" x14ac:dyDescent="0.25">
      <c r="A5" s="3">
        <v>42095</v>
      </c>
      <c r="B5" s="1">
        <v>2015</v>
      </c>
      <c r="C5" s="1">
        <v>4</v>
      </c>
      <c r="D5" s="263">
        <v>6.4416540404040381</v>
      </c>
      <c r="E5" s="263">
        <v>406.75037878787873</v>
      </c>
      <c r="F5" s="263">
        <v>0</v>
      </c>
      <c r="G5" s="263">
        <v>346.75037878787867</v>
      </c>
      <c r="H5" s="263">
        <v>0</v>
      </c>
      <c r="I5" s="263">
        <v>286.75037878787873</v>
      </c>
      <c r="J5" s="263">
        <v>0</v>
      </c>
      <c r="K5" s="263">
        <v>226.75037878787884</v>
      </c>
      <c r="L5" s="263">
        <v>0</v>
      </c>
      <c r="M5" s="263">
        <v>168.28371212121215</v>
      </c>
      <c r="N5" s="263">
        <v>1.5333333333333332</v>
      </c>
      <c r="O5" s="263">
        <v>116.58371212121212</v>
      </c>
      <c r="P5" s="263">
        <v>9.8333333333333321</v>
      </c>
      <c r="Q5" s="263">
        <v>72.862878787878799</v>
      </c>
      <c r="R5" s="263">
        <v>26.112499999999997</v>
      </c>
      <c r="U5" s="1">
        <f t="shared" ref="U5:U15" si="20">U4+1</f>
        <v>2016</v>
      </c>
      <c r="V5" s="271">
        <f t="shared" si="12"/>
        <v>737.87916666666683</v>
      </c>
      <c r="W5" s="271">
        <f t="shared" si="12"/>
        <v>661.70833333333326</v>
      </c>
      <c r="X5" s="271">
        <f t="shared" si="12"/>
        <v>577.07934782608709</v>
      </c>
      <c r="Y5" s="271">
        <f t="shared" si="12"/>
        <v>465.98333333333341</v>
      </c>
      <c r="Z5" s="271">
        <f t="shared" si="12"/>
        <v>203.72361111111115</v>
      </c>
      <c r="AA5" s="271">
        <f t="shared" si="12"/>
        <v>56.883333333333326</v>
      </c>
      <c r="AB5" s="271">
        <f t="shared" si="12"/>
        <v>8.75416666666667</v>
      </c>
      <c r="AC5" s="271">
        <f t="shared" si="12"/>
        <v>4.029166666666665</v>
      </c>
      <c r="AD5" s="271">
        <f t="shared" si="12"/>
        <v>80.145833333333343</v>
      </c>
      <c r="AE5" s="271">
        <f t="shared" si="12"/>
        <v>283.19583333333327</v>
      </c>
      <c r="AF5" s="271">
        <f t="shared" si="12"/>
        <v>437.33511904761912</v>
      </c>
      <c r="AG5" s="271">
        <f t="shared" si="12"/>
        <v>678.67083333333323</v>
      </c>
      <c r="AJ5" s="1">
        <f t="shared" ref="AJ5:AJ15" si="21">AJ4+1</f>
        <v>2016</v>
      </c>
      <c r="AK5" s="271">
        <f t="shared" si="13"/>
        <v>675.87916666666683</v>
      </c>
      <c r="AL5" s="271">
        <f t="shared" si="13"/>
        <v>603.70833333333337</v>
      </c>
      <c r="AM5" s="271">
        <f t="shared" si="13"/>
        <v>515.07934782608686</v>
      </c>
      <c r="AN5" s="271">
        <f t="shared" si="13"/>
        <v>405.98333333333341</v>
      </c>
      <c r="AO5" s="271">
        <f t="shared" si="13"/>
        <v>154.58611111111114</v>
      </c>
      <c r="AP5" s="271">
        <f t="shared" si="13"/>
        <v>30.204166666666669</v>
      </c>
      <c r="AQ5" s="271">
        <f t="shared" si="13"/>
        <v>1.6583333333333314</v>
      </c>
      <c r="AR5" s="271">
        <f t="shared" si="13"/>
        <v>1.1291666666666664</v>
      </c>
      <c r="AS5" s="271">
        <f t="shared" si="13"/>
        <v>40.929166666666667</v>
      </c>
      <c r="AT5" s="271">
        <f t="shared" si="13"/>
        <v>222.13333333333333</v>
      </c>
      <c r="AU5" s="271">
        <f t="shared" si="13"/>
        <v>377.33511904761912</v>
      </c>
      <c r="AV5" s="271">
        <f t="shared" si="13"/>
        <v>616.67083333333335</v>
      </c>
      <c r="AW5" s="411">
        <f t="shared" si="14"/>
        <v>3645.2964113181506</v>
      </c>
      <c r="AX5" s="1">
        <f t="shared" ref="AX5:AX15" si="22">AX4+1</f>
        <v>2016</v>
      </c>
      <c r="AY5" s="271">
        <f t="shared" si="15"/>
        <v>613.87916666666683</v>
      </c>
      <c r="AZ5" s="271">
        <f t="shared" si="15"/>
        <v>545.70833333333337</v>
      </c>
      <c r="BA5" s="271">
        <f t="shared" si="15"/>
        <v>453.07934782608692</v>
      </c>
      <c r="BB5" s="271">
        <f t="shared" si="15"/>
        <v>345.98333333333335</v>
      </c>
      <c r="BC5" s="271">
        <f t="shared" si="15"/>
        <v>111.69444444444443</v>
      </c>
      <c r="BD5" s="271">
        <f t="shared" si="15"/>
        <v>14.133333333333335</v>
      </c>
      <c r="BE5" s="271">
        <f t="shared" si="15"/>
        <v>0</v>
      </c>
      <c r="BF5" s="271">
        <f t="shared" si="15"/>
        <v>0</v>
      </c>
      <c r="BG5" s="271">
        <f t="shared" si="15"/>
        <v>15.7875</v>
      </c>
      <c r="BH5" s="271">
        <f t="shared" si="15"/>
        <v>166.45</v>
      </c>
      <c r="BI5" s="271">
        <f t="shared" si="15"/>
        <v>317.335119047619</v>
      </c>
      <c r="BJ5" s="271">
        <f t="shared" si="15"/>
        <v>554.67083333333346</v>
      </c>
      <c r="BL5" s="1">
        <f t="shared" ref="BL5:BL15" si="23">BL4+1</f>
        <v>2016</v>
      </c>
      <c r="BM5" s="271">
        <f t="shared" si="16"/>
        <v>551.87916666666672</v>
      </c>
      <c r="BN5" s="271">
        <f t="shared" si="16"/>
        <v>487.70833333333337</v>
      </c>
      <c r="BO5" s="271">
        <f t="shared" si="16"/>
        <v>391.07934782608697</v>
      </c>
      <c r="BP5" s="271">
        <f t="shared" si="16"/>
        <v>286.81666666666661</v>
      </c>
      <c r="BQ5" s="271">
        <f t="shared" si="16"/>
        <v>75.344444444444463</v>
      </c>
      <c r="BR5" s="271">
        <f t="shared" si="16"/>
        <v>3.9749999999999996</v>
      </c>
      <c r="BS5" s="271">
        <f t="shared" si="16"/>
        <v>0</v>
      </c>
      <c r="BT5" s="271">
        <f t="shared" si="16"/>
        <v>0</v>
      </c>
      <c r="BU5" s="271">
        <f t="shared" si="16"/>
        <v>4.9124999999999979</v>
      </c>
      <c r="BV5" s="271">
        <f t="shared" si="16"/>
        <v>121.96666666666667</v>
      </c>
      <c r="BW5" s="271">
        <f t="shared" si="16"/>
        <v>257.33511904761906</v>
      </c>
      <c r="BX5" s="271">
        <f t="shared" si="16"/>
        <v>492.67083333333335</v>
      </c>
      <c r="BZ5" s="1">
        <f t="shared" ref="BZ5:BZ15" si="24">BZ4+1</f>
        <v>2016</v>
      </c>
      <c r="CA5" s="271">
        <f t="shared" si="17"/>
        <v>489.87916666666672</v>
      </c>
      <c r="CB5" s="271">
        <f t="shared" si="17"/>
        <v>429.70833333333337</v>
      </c>
      <c r="CC5" s="271">
        <f t="shared" si="17"/>
        <v>329.07934782608692</v>
      </c>
      <c r="CD5" s="271">
        <f t="shared" si="17"/>
        <v>229.20416666666662</v>
      </c>
      <c r="CE5" s="271">
        <f t="shared" si="17"/>
        <v>45.036111111111126</v>
      </c>
      <c r="CF5" s="271">
        <f t="shared" si="17"/>
        <v>0.65000000000000036</v>
      </c>
      <c r="CG5" s="271">
        <f t="shared" si="17"/>
        <v>0</v>
      </c>
      <c r="CH5" s="271">
        <f t="shared" si="17"/>
        <v>0</v>
      </c>
      <c r="CI5" s="271">
        <f t="shared" si="17"/>
        <v>0.8125</v>
      </c>
      <c r="CJ5" s="271">
        <f t="shared" si="17"/>
        <v>87.579166666666666</v>
      </c>
      <c r="CK5" s="271">
        <f t="shared" si="17"/>
        <v>198.66428571428571</v>
      </c>
      <c r="CL5" s="271">
        <f t="shared" si="17"/>
        <v>430.67083333333341</v>
      </c>
      <c r="CN5" s="1">
        <f t="shared" ref="CN5:CN15" si="25">CN4+1</f>
        <v>2016</v>
      </c>
      <c r="CO5" s="271">
        <f t="shared" si="18"/>
        <v>427.87916666666672</v>
      </c>
      <c r="CP5" s="271">
        <f t="shared" si="18"/>
        <v>371.70833333333337</v>
      </c>
      <c r="CQ5" s="271">
        <f t="shared" si="18"/>
        <v>267.07934782608692</v>
      </c>
      <c r="CR5" s="271">
        <f t="shared" si="18"/>
        <v>175.33749999999998</v>
      </c>
      <c r="CS5" s="271">
        <f t="shared" si="18"/>
        <v>18.829166666666676</v>
      </c>
      <c r="CT5" s="271">
        <f t="shared" si="18"/>
        <v>0</v>
      </c>
      <c r="CU5" s="271">
        <f t="shared" si="18"/>
        <v>0</v>
      </c>
      <c r="CV5" s="271">
        <f t="shared" si="18"/>
        <v>0</v>
      </c>
      <c r="CW5" s="271">
        <f t="shared" si="18"/>
        <v>0</v>
      </c>
      <c r="CX5" s="271">
        <f t="shared" si="18"/>
        <v>58.995833333333337</v>
      </c>
      <c r="CY5" s="271">
        <f t="shared" si="18"/>
        <v>141.00178571428572</v>
      </c>
      <c r="CZ5" s="271">
        <f t="shared" si="18"/>
        <v>368.67083333333341</v>
      </c>
      <c r="DB5" s="1">
        <f t="shared" ref="DB5:DB15" si="26">DB4+1</f>
        <v>2016</v>
      </c>
      <c r="DC5" s="271">
        <f t="shared" si="19"/>
        <v>365.87916666666672</v>
      </c>
      <c r="DD5" s="271">
        <f t="shared" si="19"/>
        <v>313.70833333333326</v>
      </c>
      <c r="DE5" s="271">
        <f t="shared" si="19"/>
        <v>207.6751811594203</v>
      </c>
      <c r="DF5" s="271">
        <f t="shared" si="19"/>
        <v>127.94999999999997</v>
      </c>
      <c r="DG5" s="271">
        <f t="shared" si="19"/>
        <v>4.2083333333333348</v>
      </c>
      <c r="DH5" s="271">
        <f t="shared" si="19"/>
        <v>0</v>
      </c>
      <c r="DI5" s="271">
        <f t="shared" si="19"/>
        <v>0</v>
      </c>
      <c r="DJ5" s="271">
        <f t="shared" si="19"/>
        <v>0</v>
      </c>
      <c r="DK5" s="271">
        <f t="shared" si="19"/>
        <v>0</v>
      </c>
      <c r="DL5" s="271">
        <f t="shared" si="19"/>
        <v>33.25</v>
      </c>
      <c r="DM5" s="271">
        <f t="shared" si="19"/>
        <v>89.230952380952388</v>
      </c>
      <c r="DN5" s="271">
        <f t="shared" si="19"/>
        <v>306.67083333333341</v>
      </c>
      <c r="DP5" s="18">
        <f>'Monthly Data'!F5</f>
        <v>37098204.799471788</v>
      </c>
      <c r="DQ5" s="18">
        <f>'Monthly Data'!J5</f>
        <v>10623916.171153571</v>
      </c>
      <c r="DR5" s="18">
        <f>'Monthly Data'!N5</f>
        <v>24984134.040233206</v>
      </c>
      <c r="DS5" s="4">
        <f>'Monthly Data'!S5</f>
        <v>6556816.3103235476</v>
      </c>
      <c r="DT5" s="4">
        <f>'Monthly Data'!V5</f>
        <v>3275756.0247792401</v>
      </c>
      <c r="DU5" s="18">
        <f t="shared" si="7"/>
        <v>37022524.646336846</v>
      </c>
      <c r="DV5" s="18">
        <f t="shared" si="8"/>
        <v>10248773.975898584</v>
      </c>
      <c r="DW5" s="18">
        <f t="shared" si="9"/>
        <v>25185256.504574329</v>
      </c>
      <c r="DX5" s="18">
        <f t="shared" si="10"/>
        <v>6818345.6355306637</v>
      </c>
      <c r="DY5" s="18">
        <f t="shared" si="11"/>
        <v>3132125.8834342076</v>
      </c>
      <c r="ER5" s="24">
        <f>'Monthly Data'!F5/'Monthly Data'!G5/'Monthly Data'!CD5</f>
        <v>26.313582863050531</v>
      </c>
      <c r="ES5" s="259">
        <f>'Monthly Data'!J5/'Monthly Data'!K5/'Monthly Data'!CD5</f>
        <v>88.687838476947746</v>
      </c>
      <c r="ET5" s="24">
        <f>'Monthly Data'!N5/'Monthly Data'!P5/'Monthly Data'!CD5</f>
        <v>1642.6123629344647</v>
      </c>
      <c r="EU5" s="24">
        <f>'Monthly Data'!Q5/'Monthly Data'!U5/'Monthly Data'!CD5</f>
        <v>17311.190368687203</v>
      </c>
      <c r="EV5" s="24">
        <f>'Monthly Data'!V5/'Monthly Data'!Z5/'Monthly Data'!CD5</f>
        <v>109191.86749264134</v>
      </c>
      <c r="EW5" s="24"/>
      <c r="FG5" s="24"/>
    </row>
    <row r="6" spans="1:163" x14ac:dyDescent="0.25">
      <c r="A6" s="3">
        <v>42125</v>
      </c>
      <c r="B6" s="1">
        <v>2015</v>
      </c>
      <c r="C6" s="1">
        <v>5</v>
      </c>
      <c r="D6" s="263">
        <v>14.880745341614906</v>
      </c>
      <c r="E6" s="263">
        <v>159.09689440993785</v>
      </c>
      <c r="F6" s="263">
        <v>0.39999999999999503</v>
      </c>
      <c r="G6" s="263">
        <v>108.22189440993786</v>
      </c>
      <c r="H6" s="263">
        <v>11.524999999999999</v>
      </c>
      <c r="I6" s="263">
        <v>67.211775362318832</v>
      </c>
      <c r="J6" s="263">
        <v>32.514880952380949</v>
      </c>
      <c r="K6" s="263">
        <v>35.578442028985506</v>
      </c>
      <c r="L6" s="263">
        <v>62.881547619047637</v>
      </c>
      <c r="M6" s="263">
        <v>16.190942028985511</v>
      </c>
      <c r="N6" s="263">
        <v>105.49404761904762</v>
      </c>
      <c r="O6" s="263">
        <v>4.3916666666666675</v>
      </c>
      <c r="P6" s="263">
        <v>155.69477225672881</v>
      </c>
      <c r="Q6" s="263">
        <v>0</v>
      </c>
      <c r="R6" s="263">
        <v>213.30310559006219</v>
      </c>
      <c r="U6" s="1">
        <f t="shared" si="20"/>
        <v>2017</v>
      </c>
      <c r="V6" s="271">
        <f t="shared" si="12"/>
        <v>682.2166666666667</v>
      </c>
      <c r="W6" s="271">
        <f t="shared" si="12"/>
        <v>586.08333333333337</v>
      </c>
      <c r="X6" s="271">
        <f t="shared" si="12"/>
        <v>661.67916666666667</v>
      </c>
      <c r="Y6" s="271">
        <f t="shared" si="12"/>
        <v>348.38749999999999</v>
      </c>
      <c r="Z6" s="271">
        <f t="shared" si="12"/>
        <v>247.16666666666663</v>
      </c>
      <c r="AA6" s="271">
        <f t="shared" si="12"/>
        <v>85.453333333333319</v>
      </c>
      <c r="AB6" s="271">
        <f t="shared" si="12"/>
        <v>14.412500000000009</v>
      </c>
      <c r="AC6" s="271">
        <f t="shared" si="12"/>
        <v>46.587500000000006</v>
      </c>
      <c r="AD6" s="271">
        <f t="shared" si="12"/>
        <v>100.06666666666666</v>
      </c>
      <c r="AE6" s="271">
        <f t="shared" si="12"/>
        <v>238.48333333333335</v>
      </c>
      <c r="AF6" s="271">
        <f t="shared" si="12"/>
        <v>502.61174242424244</v>
      </c>
      <c r="AG6" s="271">
        <f t="shared" si="12"/>
        <v>798.31250000000011</v>
      </c>
      <c r="AJ6" s="1">
        <f t="shared" si="21"/>
        <v>2017</v>
      </c>
      <c r="AK6" s="271">
        <f t="shared" si="13"/>
        <v>620.2166666666667</v>
      </c>
      <c r="AL6" s="271">
        <f t="shared" si="13"/>
        <v>530.08333333333337</v>
      </c>
      <c r="AM6" s="271">
        <f t="shared" si="13"/>
        <v>599.67916666666667</v>
      </c>
      <c r="AN6" s="271">
        <f t="shared" si="13"/>
        <v>288.73333333333335</v>
      </c>
      <c r="AO6" s="271">
        <f t="shared" si="13"/>
        <v>188.63749999999999</v>
      </c>
      <c r="AP6" s="271">
        <f t="shared" si="13"/>
        <v>47.73249999999998</v>
      </c>
      <c r="AQ6" s="271">
        <f t="shared" si="13"/>
        <v>1.8041666666666707</v>
      </c>
      <c r="AR6" s="271">
        <f t="shared" si="13"/>
        <v>17.950000000000006</v>
      </c>
      <c r="AS6" s="271">
        <f t="shared" si="13"/>
        <v>65.699999999999989</v>
      </c>
      <c r="AT6" s="271">
        <f t="shared" si="13"/>
        <v>179.70833333333334</v>
      </c>
      <c r="AU6" s="271">
        <f t="shared" si="13"/>
        <v>442.61174242424244</v>
      </c>
      <c r="AV6" s="271">
        <f t="shared" si="13"/>
        <v>736.31250000000011</v>
      </c>
      <c r="AW6" s="411">
        <f t="shared" si="14"/>
        <v>3719.1692424242428</v>
      </c>
      <c r="AX6" s="1">
        <f t="shared" si="22"/>
        <v>2017</v>
      </c>
      <c r="AY6" s="271">
        <f t="shared" si="15"/>
        <v>558.21666666666658</v>
      </c>
      <c r="AZ6" s="271">
        <f t="shared" si="15"/>
        <v>474.08333333333337</v>
      </c>
      <c r="BA6" s="271">
        <f t="shared" si="15"/>
        <v>537.67916666666656</v>
      </c>
      <c r="BB6" s="271">
        <f t="shared" si="15"/>
        <v>230.73333333333338</v>
      </c>
      <c r="BC6" s="271">
        <f t="shared" si="15"/>
        <v>134.83333333333331</v>
      </c>
      <c r="BD6" s="271">
        <f t="shared" si="15"/>
        <v>20.287499999999987</v>
      </c>
      <c r="BE6" s="271">
        <f t="shared" si="15"/>
        <v>0</v>
      </c>
      <c r="BF6" s="271">
        <f t="shared" si="15"/>
        <v>3.6416666666666693</v>
      </c>
      <c r="BG6" s="271">
        <f t="shared" si="15"/>
        <v>37.391666666666666</v>
      </c>
      <c r="BH6" s="271">
        <f t="shared" si="15"/>
        <v>124.7625</v>
      </c>
      <c r="BI6" s="271">
        <f t="shared" si="15"/>
        <v>382.61174242424244</v>
      </c>
      <c r="BJ6" s="271">
        <f t="shared" si="15"/>
        <v>674.31250000000011</v>
      </c>
      <c r="BL6" s="1">
        <f t="shared" si="23"/>
        <v>2017</v>
      </c>
      <c r="BM6" s="271">
        <f t="shared" si="16"/>
        <v>496.21666666666664</v>
      </c>
      <c r="BN6" s="271">
        <f t="shared" si="16"/>
        <v>418.08333333333331</v>
      </c>
      <c r="BO6" s="271">
        <f t="shared" si="16"/>
        <v>475.67916666666662</v>
      </c>
      <c r="BP6" s="271">
        <f t="shared" si="16"/>
        <v>174.03750000000005</v>
      </c>
      <c r="BQ6" s="271">
        <f t="shared" si="16"/>
        <v>88.129166666666677</v>
      </c>
      <c r="BR6" s="271">
        <f t="shared" si="16"/>
        <v>4.091666666666665</v>
      </c>
      <c r="BS6" s="271">
        <f t="shared" si="16"/>
        <v>0</v>
      </c>
      <c r="BT6" s="271">
        <f t="shared" si="16"/>
        <v>0</v>
      </c>
      <c r="BU6" s="271">
        <f t="shared" si="16"/>
        <v>16.833333333333329</v>
      </c>
      <c r="BV6" s="271">
        <f t="shared" si="16"/>
        <v>82.137500000000017</v>
      </c>
      <c r="BW6" s="271">
        <f t="shared" si="16"/>
        <v>322.61174242424249</v>
      </c>
      <c r="BX6" s="271">
        <f t="shared" si="16"/>
        <v>612.31250000000011</v>
      </c>
      <c r="BZ6" s="1">
        <f t="shared" si="24"/>
        <v>2017</v>
      </c>
      <c r="CA6" s="271">
        <f t="shared" si="17"/>
        <v>434.21666666666664</v>
      </c>
      <c r="CB6" s="271">
        <f t="shared" si="17"/>
        <v>362.08333333333331</v>
      </c>
      <c r="CC6" s="271">
        <f t="shared" si="17"/>
        <v>413.67916666666662</v>
      </c>
      <c r="CD6" s="271">
        <f t="shared" si="17"/>
        <v>120.79999999999997</v>
      </c>
      <c r="CE6" s="271">
        <f t="shared" si="17"/>
        <v>52.287499999999987</v>
      </c>
      <c r="CF6" s="271">
        <f t="shared" si="17"/>
        <v>0</v>
      </c>
      <c r="CG6" s="271">
        <f t="shared" si="17"/>
        <v>0</v>
      </c>
      <c r="CH6" s="271">
        <f t="shared" si="17"/>
        <v>0</v>
      </c>
      <c r="CI6" s="271">
        <f t="shared" si="17"/>
        <v>5.466666666666665</v>
      </c>
      <c r="CJ6" s="271">
        <f t="shared" si="17"/>
        <v>49.88333333333334</v>
      </c>
      <c r="CK6" s="271">
        <f t="shared" si="17"/>
        <v>262.61174242424244</v>
      </c>
      <c r="CL6" s="271">
        <f t="shared" si="17"/>
        <v>550.3125</v>
      </c>
      <c r="CN6" s="1">
        <f t="shared" si="25"/>
        <v>2017</v>
      </c>
      <c r="CO6" s="271">
        <f t="shared" si="18"/>
        <v>372.2166666666667</v>
      </c>
      <c r="CP6" s="271">
        <f t="shared" si="18"/>
        <v>306.08333333333326</v>
      </c>
      <c r="CQ6" s="271">
        <f t="shared" si="18"/>
        <v>351.67916666666656</v>
      </c>
      <c r="CR6" s="271">
        <f t="shared" si="18"/>
        <v>73.1458333333333</v>
      </c>
      <c r="CS6" s="271">
        <f t="shared" si="18"/>
        <v>26.741666666666656</v>
      </c>
      <c r="CT6" s="271">
        <f t="shared" si="18"/>
        <v>0</v>
      </c>
      <c r="CU6" s="271">
        <f t="shared" si="18"/>
        <v>0</v>
      </c>
      <c r="CV6" s="271">
        <f t="shared" si="18"/>
        <v>0</v>
      </c>
      <c r="CW6" s="271">
        <f t="shared" si="18"/>
        <v>1.3833333333333311</v>
      </c>
      <c r="CX6" s="271">
        <f t="shared" si="18"/>
        <v>26.758333333333336</v>
      </c>
      <c r="CY6" s="271">
        <f t="shared" si="18"/>
        <v>203.9075757575757</v>
      </c>
      <c r="CZ6" s="271">
        <f t="shared" si="18"/>
        <v>488.31250000000011</v>
      </c>
      <c r="DB6" s="1">
        <f t="shared" si="26"/>
        <v>2017</v>
      </c>
      <c r="DC6" s="271">
        <f t="shared" si="19"/>
        <v>310.2166666666667</v>
      </c>
      <c r="DD6" s="271">
        <f t="shared" si="19"/>
        <v>251.42499999999998</v>
      </c>
      <c r="DE6" s="271">
        <f t="shared" si="19"/>
        <v>290.67916666666662</v>
      </c>
      <c r="DF6" s="271">
        <f t="shared" si="19"/>
        <v>34.695833333333326</v>
      </c>
      <c r="DG6" s="271">
        <f t="shared" si="19"/>
        <v>10.045833333333327</v>
      </c>
      <c r="DH6" s="271">
        <f t="shared" si="19"/>
        <v>0</v>
      </c>
      <c r="DI6" s="271">
        <f t="shared" si="19"/>
        <v>0</v>
      </c>
      <c r="DJ6" s="271">
        <f t="shared" si="19"/>
        <v>0</v>
      </c>
      <c r="DK6" s="271">
        <f t="shared" si="19"/>
        <v>0</v>
      </c>
      <c r="DL6" s="271">
        <f t="shared" si="19"/>
        <v>11.620833333333334</v>
      </c>
      <c r="DM6" s="271">
        <f t="shared" si="19"/>
        <v>148.02424242424243</v>
      </c>
      <c r="DN6" s="271">
        <f t="shared" si="19"/>
        <v>426.3125</v>
      </c>
      <c r="DP6" s="18">
        <f>'Monthly Data'!F6</f>
        <v>31770390.553364351</v>
      </c>
      <c r="DQ6" s="18">
        <f>'Monthly Data'!J6</f>
        <v>10188832.832931003</v>
      </c>
      <c r="DR6" s="18">
        <f>'Monthly Data'!N6</f>
        <v>25167162.68985121</v>
      </c>
      <c r="DS6" s="4">
        <f>'Monthly Data'!S6</f>
        <v>7230750.9949512845</v>
      </c>
      <c r="DT6" s="4">
        <f>'Monthly Data'!V6</f>
        <v>3629287.263527994</v>
      </c>
      <c r="DU6" s="18">
        <f t="shared" si="7"/>
        <v>38429677.126181826</v>
      </c>
      <c r="DV6" s="18">
        <f t="shared" si="8"/>
        <v>9865936.5842065029</v>
      </c>
      <c r="DW6" s="18">
        <f t="shared" si="9"/>
        <v>24560894.668235175</v>
      </c>
      <c r="DX6" s="18">
        <f t="shared" si="10"/>
        <v>7241537.5711178398</v>
      </c>
      <c r="DY6" s="18">
        <f t="shared" si="11"/>
        <v>3186877.0536679956</v>
      </c>
      <c r="ER6" s="24">
        <f>'Monthly Data'!F6/'Monthly Data'!G6/'Monthly Data'!CD6</f>
        <v>21.589452457826916</v>
      </c>
      <c r="ES6" s="259">
        <f>'Monthly Data'!J6/'Monthly Data'!K6/'Monthly Data'!CD6</f>
        <v>82.209111272821914</v>
      </c>
      <c r="ET6" s="24">
        <f>'Monthly Data'!N6/'Monthly Data'!P6/'Monthly Data'!CD6</f>
        <v>1604.4346990852487</v>
      </c>
      <c r="EU6" s="24">
        <f>'Monthly Data'!Q6/'Monthly Data'!U6/'Monthly Data'!CD6</f>
        <v>18481.2662582265</v>
      </c>
      <c r="EV6" s="24">
        <f>'Monthly Data'!V6/'Monthly Data'!Z6/'Monthly Data'!CD6</f>
        <v>117073.78269445142</v>
      </c>
      <c r="EW6" s="24"/>
      <c r="FG6" s="24"/>
    </row>
    <row r="7" spans="1:163" x14ac:dyDescent="0.25">
      <c r="A7" s="3">
        <v>42156</v>
      </c>
      <c r="B7" s="1">
        <v>2015</v>
      </c>
      <c r="C7" s="1">
        <v>6</v>
      </c>
      <c r="D7" s="263">
        <v>16.987083333333334</v>
      </c>
      <c r="E7" s="263">
        <v>93.137500000000045</v>
      </c>
      <c r="F7" s="263">
        <v>2.7499999999999964</v>
      </c>
      <c r="G7" s="263">
        <v>44.925000000000004</v>
      </c>
      <c r="H7" s="263">
        <v>14.537499999999991</v>
      </c>
      <c r="I7" s="263">
        <v>17.725000000000009</v>
      </c>
      <c r="J7" s="263">
        <v>47.337499999999999</v>
      </c>
      <c r="K7" s="263">
        <v>5.9875000000000078</v>
      </c>
      <c r="L7" s="263">
        <v>95.599999999999966</v>
      </c>
      <c r="M7" s="263">
        <v>0.6458333333333357</v>
      </c>
      <c r="N7" s="263">
        <v>150.2583333333333</v>
      </c>
      <c r="O7" s="263">
        <v>0</v>
      </c>
      <c r="P7" s="263">
        <v>209.61250000000001</v>
      </c>
      <c r="Q7" s="263">
        <v>0</v>
      </c>
      <c r="R7" s="263">
        <v>269.61250000000001</v>
      </c>
      <c r="U7" s="1">
        <f t="shared" si="20"/>
        <v>2018</v>
      </c>
      <c r="V7" s="271">
        <f t="shared" si="12"/>
        <v>812.53750000000002</v>
      </c>
      <c r="W7" s="271">
        <f t="shared" si="12"/>
        <v>632.49583333333328</v>
      </c>
      <c r="X7" s="271">
        <f t="shared" si="12"/>
        <v>629.27916666666681</v>
      </c>
      <c r="Y7" s="271">
        <f t="shared" si="12"/>
        <v>512.51666666666677</v>
      </c>
      <c r="Z7" s="271">
        <f t="shared" si="12"/>
        <v>140.84469696969697</v>
      </c>
      <c r="AA7" s="271">
        <f t="shared" si="12"/>
        <v>63.468560606060585</v>
      </c>
      <c r="AB7" s="271">
        <f t="shared" si="12"/>
        <v>4.9668995859213254</v>
      </c>
      <c r="AC7" s="271">
        <f t="shared" si="12"/>
        <v>7.2291666666666679</v>
      </c>
      <c r="AD7" s="271">
        <f t="shared" si="12"/>
        <v>92.370833333333337</v>
      </c>
      <c r="AE7" s="271">
        <f t="shared" si="12"/>
        <v>364.80833333333339</v>
      </c>
      <c r="AF7" s="271">
        <f t="shared" si="12"/>
        <v>563.52499999999998</v>
      </c>
      <c r="AG7" s="271">
        <f t="shared" si="12"/>
        <v>646.91666666666663</v>
      </c>
      <c r="AJ7" s="1">
        <f t="shared" si="21"/>
        <v>2018</v>
      </c>
      <c r="AK7" s="271">
        <f t="shared" si="13"/>
        <v>750.53750000000002</v>
      </c>
      <c r="AL7" s="271">
        <f t="shared" si="13"/>
        <v>576.49583333333317</v>
      </c>
      <c r="AM7" s="271">
        <f t="shared" si="13"/>
        <v>567.2791666666667</v>
      </c>
      <c r="AN7" s="271">
        <f t="shared" si="13"/>
        <v>452.51666666666677</v>
      </c>
      <c r="AO7" s="271">
        <f t="shared" si="13"/>
        <v>95.407196969696969</v>
      </c>
      <c r="AP7" s="271">
        <f t="shared" si="13"/>
        <v>23.060227272727261</v>
      </c>
      <c r="AQ7" s="271">
        <f t="shared" si="13"/>
        <v>0.19999999999999574</v>
      </c>
      <c r="AR7" s="271">
        <f t="shared" si="13"/>
        <v>0.90833333333333144</v>
      </c>
      <c r="AS7" s="271">
        <f t="shared" si="13"/>
        <v>59.1875</v>
      </c>
      <c r="AT7" s="271">
        <f t="shared" si="13"/>
        <v>305.10000000000002</v>
      </c>
      <c r="AU7" s="271">
        <f t="shared" si="13"/>
        <v>503.52500000000003</v>
      </c>
      <c r="AV7" s="271">
        <f t="shared" si="13"/>
        <v>584.91666666666663</v>
      </c>
      <c r="AW7" s="411">
        <f t="shared" si="14"/>
        <v>3919.1340909090909</v>
      </c>
      <c r="AX7" s="1">
        <f t="shared" si="22"/>
        <v>2018</v>
      </c>
      <c r="AY7" s="271">
        <f t="shared" si="15"/>
        <v>688.53749999999991</v>
      </c>
      <c r="AZ7" s="271">
        <f t="shared" si="15"/>
        <v>520.49583333333328</v>
      </c>
      <c r="BA7" s="271">
        <f t="shared" si="15"/>
        <v>505.2791666666667</v>
      </c>
      <c r="BB7" s="271">
        <f t="shared" si="15"/>
        <v>392.51666666666677</v>
      </c>
      <c r="BC7" s="271">
        <f t="shared" si="15"/>
        <v>53.462500000000013</v>
      </c>
      <c r="BD7" s="271">
        <f t="shared" si="15"/>
        <v>7.645833333333325</v>
      </c>
      <c r="BE7" s="271">
        <f t="shared" si="15"/>
        <v>0</v>
      </c>
      <c r="BF7" s="271">
        <f t="shared" si="15"/>
        <v>0</v>
      </c>
      <c r="BG7" s="271">
        <f t="shared" si="15"/>
        <v>33.279166666666669</v>
      </c>
      <c r="BH7" s="271">
        <f t="shared" si="15"/>
        <v>248.88749999999993</v>
      </c>
      <c r="BI7" s="271">
        <f t="shared" si="15"/>
        <v>443.52500000000003</v>
      </c>
      <c r="BJ7" s="271">
        <f t="shared" si="15"/>
        <v>522.91666666666663</v>
      </c>
      <c r="BL7" s="1">
        <f t="shared" si="23"/>
        <v>2018</v>
      </c>
      <c r="BM7" s="271">
        <f t="shared" si="16"/>
        <v>626.53750000000002</v>
      </c>
      <c r="BN7" s="271">
        <f t="shared" si="16"/>
        <v>464.49583333333334</v>
      </c>
      <c r="BO7" s="271">
        <f t="shared" si="16"/>
        <v>443.2791666666667</v>
      </c>
      <c r="BP7" s="271">
        <f t="shared" si="16"/>
        <v>332.51666666666671</v>
      </c>
      <c r="BQ7" s="271">
        <f t="shared" si="16"/>
        <v>22.062500000000014</v>
      </c>
      <c r="BR7" s="271">
        <f t="shared" si="16"/>
        <v>3.3208333333333275</v>
      </c>
      <c r="BS7" s="271">
        <f t="shared" si="16"/>
        <v>0</v>
      </c>
      <c r="BT7" s="271">
        <f t="shared" si="16"/>
        <v>0</v>
      </c>
      <c r="BU7" s="271">
        <f t="shared" si="16"/>
        <v>13.695833333333338</v>
      </c>
      <c r="BV7" s="271">
        <f t="shared" si="16"/>
        <v>194.17916666666662</v>
      </c>
      <c r="BW7" s="271">
        <f t="shared" si="16"/>
        <v>383.52500000000003</v>
      </c>
      <c r="BX7" s="271">
        <f t="shared" si="16"/>
        <v>460.91666666666657</v>
      </c>
      <c r="BZ7" s="1">
        <f t="shared" si="24"/>
        <v>2018</v>
      </c>
      <c r="CA7" s="271">
        <f t="shared" si="17"/>
        <v>564.53750000000002</v>
      </c>
      <c r="CB7" s="271">
        <f t="shared" si="17"/>
        <v>408.49583333333334</v>
      </c>
      <c r="CC7" s="271">
        <f t="shared" si="17"/>
        <v>381.27916666666664</v>
      </c>
      <c r="CD7" s="271">
        <f t="shared" si="17"/>
        <v>272.51666666666665</v>
      </c>
      <c r="CE7" s="271">
        <f t="shared" si="17"/>
        <v>6.9291666666666698</v>
      </c>
      <c r="CF7" s="271">
        <f t="shared" si="17"/>
        <v>0</v>
      </c>
      <c r="CG7" s="271">
        <f t="shared" si="17"/>
        <v>0</v>
      </c>
      <c r="CH7" s="271">
        <f t="shared" si="17"/>
        <v>0</v>
      </c>
      <c r="CI7" s="271">
        <f t="shared" si="17"/>
        <v>2.1166666666666636</v>
      </c>
      <c r="CJ7" s="271">
        <f t="shared" si="17"/>
        <v>142.14999999999998</v>
      </c>
      <c r="CK7" s="271">
        <f t="shared" si="17"/>
        <v>323.52500000000003</v>
      </c>
      <c r="CL7" s="271">
        <f t="shared" si="17"/>
        <v>398.91666666666657</v>
      </c>
      <c r="CN7" s="1">
        <f t="shared" si="25"/>
        <v>2018</v>
      </c>
      <c r="CO7" s="271">
        <f t="shared" si="18"/>
        <v>502.53750000000002</v>
      </c>
      <c r="CP7" s="271">
        <f t="shared" si="18"/>
        <v>352.49583333333334</v>
      </c>
      <c r="CQ7" s="271">
        <f t="shared" si="18"/>
        <v>319.2791666666667</v>
      </c>
      <c r="CR7" s="271">
        <f t="shared" si="18"/>
        <v>212.57916666666659</v>
      </c>
      <c r="CS7" s="271">
        <f t="shared" si="18"/>
        <v>2.7874999999999988</v>
      </c>
      <c r="CT7" s="271">
        <f t="shared" si="18"/>
        <v>0</v>
      </c>
      <c r="CU7" s="271">
        <f t="shared" si="18"/>
        <v>0</v>
      </c>
      <c r="CV7" s="271">
        <f t="shared" si="18"/>
        <v>0</v>
      </c>
      <c r="CW7" s="271">
        <f t="shared" si="18"/>
        <v>0</v>
      </c>
      <c r="CX7" s="271">
        <f t="shared" si="18"/>
        <v>96.316666666666663</v>
      </c>
      <c r="CY7" s="271">
        <f t="shared" si="18"/>
        <v>263.86666666666662</v>
      </c>
      <c r="CZ7" s="271">
        <f t="shared" si="18"/>
        <v>336.91666666666657</v>
      </c>
      <c r="DB7" s="1">
        <f t="shared" si="26"/>
        <v>2018</v>
      </c>
      <c r="DC7" s="271">
        <f t="shared" si="19"/>
        <v>440.53750000000002</v>
      </c>
      <c r="DD7" s="271">
        <f t="shared" si="19"/>
        <v>296.49583333333334</v>
      </c>
      <c r="DE7" s="271">
        <f t="shared" si="19"/>
        <v>257.2791666666667</v>
      </c>
      <c r="DF7" s="271">
        <f t="shared" si="19"/>
        <v>158.6666666666666</v>
      </c>
      <c r="DG7" s="271">
        <f t="shared" si="19"/>
        <v>0.50416666666666554</v>
      </c>
      <c r="DH7" s="271">
        <f t="shared" si="19"/>
        <v>0</v>
      </c>
      <c r="DI7" s="271">
        <f t="shared" si="19"/>
        <v>0</v>
      </c>
      <c r="DJ7" s="271">
        <f t="shared" si="19"/>
        <v>0</v>
      </c>
      <c r="DK7" s="271">
        <f t="shared" si="19"/>
        <v>0</v>
      </c>
      <c r="DL7" s="271">
        <f t="shared" si="19"/>
        <v>55.56666666666667</v>
      </c>
      <c r="DM7" s="271">
        <f t="shared" si="19"/>
        <v>206.24583333333334</v>
      </c>
      <c r="DN7" s="271">
        <f t="shared" si="19"/>
        <v>274.91666666666663</v>
      </c>
      <c r="DP7" s="18">
        <f>'Monthly Data'!F7</f>
        <v>34887825.889012918</v>
      </c>
      <c r="DQ7" s="18">
        <f>'Monthly Data'!J7</f>
        <v>10184617.708334386</v>
      </c>
      <c r="DR7" s="18">
        <f>'Monthly Data'!N7</f>
        <v>24309134.101347797</v>
      </c>
      <c r="DS7" s="4">
        <f>'Monthly Data'!S7</f>
        <v>7609612.6560106054</v>
      </c>
      <c r="DT7" s="4">
        <f>'Monthly Data'!V7</f>
        <v>3515408.7356304238</v>
      </c>
      <c r="DU7" s="18">
        <f t="shared" si="7"/>
        <v>40663878.505782694</v>
      </c>
      <c r="DV7" s="18">
        <f t="shared" si="8"/>
        <v>10028838.266573653</v>
      </c>
      <c r="DW7" s="18">
        <f t="shared" si="9"/>
        <v>25172124.375524301</v>
      </c>
      <c r="DX7" s="18">
        <f t="shared" si="10"/>
        <v>7472714.7245308757</v>
      </c>
      <c r="DY7" s="18">
        <f t="shared" si="11"/>
        <v>3228969.1630236567</v>
      </c>
      <c r="ER7" s="24">
        <f>'Monthly Data'!F7/'Monthly Data'!G7/'Monthly Data'!CD7</f>
        <v>24.152682914157385</v>
      </c>
      <c r="ES7" s="259">
        <f>'Monthly Data'!J7/'Monthly Data'!K7/'Monthly Data'!CD7</f>
        <v>84.639056829837827</v>
      </c>
      <c r="ET7" s="24">
        <f>'Monthly Data'!N7/'Monthly Data'!P7/'Monthly Data'!CD7</f>
        <v>1595.0875394585169</v>
      </c>
      <c r="EU7" s="24">
        <f>'Monthly Data'!Q7/'Monthly Data'!U7/'Monthly Data'!CD7</f>
        <v>20063.779277290858</v>
      </c>
      <c r="EV7" s="24">
        <f>'Monthly Data'!V7/'Monthly Data'!Z7/'Monthly Data'!CD7</f>
        <v>117180.29118768079</v>
      </c>
      <c r="EW7" s="24"/>
      <c r="FG7" s="24"/>
    </row>
    <row r="8" spans="1:163" x14ac:dyDescent="0.25">
      <c r="A8" s="3">
        <v>42186</v>
      </c>
      <c r="B8" s="1">
        <v>2015</v>
      </c>
      <c r="C8" s="1">
        <v>7</v>
      </c>
      <c r="D8" s="263">
        <v>20.63024193548387</v>
      </c>
      <c r="E8" s="263">
        <v>25.987500000000004</v>
      </c>
      <c r="F8" s="263">
        <v>45.524999999999991</v>
      </c>
      <c r="G8" s="263">
        <v>6.0874999999999986</v>
      </c>
      <c r="H8" s="263">
        <v>87.624999999999986</v>
      </c>
      <c r="I8" s="263">
        <v>0</v>
      </c>
      <c r="J8" s="263">
        <v>143.53749999999999</v>
      </c>
      <c r="K8" s="263">
        <v>0</v>
      </c>
      <c r="L8" s="263">
        <v>205.53749999999997</v>
      </c>
      <c r="M8" s="263">
        <v>0</v>
      </c>
      <c r="N8" s="263">
        <v>267.53749999999997</v>
      </c>
      <c r="O8" s="263">
        <v>0</v>
      </c>
      <c r="P8" s="263">
        <v>329.53750000000002</v>
      </c>
      <c r="Q8" s="263">
        <v>0</v>
      </c>
      <c r="R8" s="263">
        <v>391.53750000000014</v>
      </c>
      <c r="U8" s="1">
        <f t="shared" si="20"/>
        <v>2019</v>
      </c>
      <c r="V8" s="271">
        <f t="shared" si="12"/>
        <v>841.93333333333351</v>
      </c>
      <c r="W8" s="271">
        <f t="shared" si="12"/>
        <v>695.30416666666645</v>
      </c>
      <c r="X8" s="271">
        <f t="shared" si="12"/>
        <v>673.45833333333326</v>
      </c>
      <c r="Y8" s="271">
        <f t="shared" si="12"/>
        <v>426.6541666666667</v>
      </c>
      <c r="Z8" s="271">
        <f t="shared" si="12"/>
        <v>267.53464912280702</v>
      </c>
      <c r="AA8" s="271">
        <f t="shared" si="12"/>
        <v>80.695833333333368</v>
      </c>
      <c r="AB8" s="271">
        <f t="shared" si="12"/>
        <v>0.97500000000000497</v>
      </c>
      <c r="AC8" s="271">
        <f t="shared" si="12"/>
        <v>19.091666666666661</v>
      </c>
      <c r="AD8" s="271">
        <f t="shared" si="12"/>
        <v>113.56666666666666</v>
      </c>
      <c r="AE8" s="271">
        <f t="shared" si="12"/>
        <v>303.96666666666664</v>
      </c>
      <c r="AF8" s="271">
        <f t="shared" si="12"/>
        <v>589.72500000000002</v>
      </c>
      <c r="AG8" s="271">
        <f t="shared" si="12"/>
        <v>676.42916666666656</v>
      </c>
      <c r="AJ8" s="1">
        <f t="shared" si="21"/>
        <v>2019</v>
      </c>
      <c r="AK8" s="271">
        <f t="shared" si="13"/>
        <v>779.93333333333351</v>
      </c>
      <c r="AL8" s="271">
        <f t="shared" si="13"/>
        <v>639.30416666666645</v>
      </c>
      <c r="AM8" s="271">
        <f t="shared" si="13"/>
        <v>611.45833333333337</v>
      </c>
      <c r="AN8" s="271">
        <f t="shared" si="13"/>
        <v>366.65416666666664</v>
      </c>
      <c r="AO8" s="271">
        <f t="shared" si="13"/>
        <v>205.53464912280697</v>
      </c>
      <c r="AP8" s="271">
        <f t="shared" si="13"/>
        <v>46.120833333333351</v>
      </c>
      <c r="AQ8" s="271">
        <f t="shared" si="13"/>
        <v>0</v>
      </c>
      <c r="AR8" s="271">
        <f t="shared" si="13"/>
        <v>4.645833333333325</v>
      </c>
      <c r="AS8" s="271">
        <f t="shared" si="13"/>
        <v>62.054166666666653</v>
      </c>
      <c r="AT8" s="271">
        <f t="shared" si="13"/>
        <v>243.77916666666664</v>
      </c>
      <c r="AU8" s="271">
        <f t="shared" si="13"/>
        <v>529.72500000000002</v>
      </c>
      <c r="AV8" s="271">
        <f t="shared" si="13"/>
        <v>614.42916666666667</v>
      </c>
      <c r="AW8" s="411">
        <f t="shared" si="14"/>
        <v>4103.6388157894735</v>
      </c>
      <c r="AX8" s="1">
        <f t="shared" si="22"/>
        <v>2019</v>
      </c>
      <c r="AY8" s="271">
        <f t="shared" si="15"/>
        <v>717.93333333333339</v>
      </c>
      <c r="AZ8" s="271">
        <f t="shared" si="15"/>
        <v>583.30416666666656</v>
      </c>
      <c r="BA8" s="271">
        <f t="shared" si="15"/>
        <v>549.45833333333326</v>
      </c>
      <c r="BB8" s="271">
        <f t="shared" si="15"/>
        <v>306.65416666666664</v>
      </c>
      <c r="BC8" s="271">
        <f t="shared" si="15"/>
        <v>145.93881578947367</v>
      </c>
      <c r="BD8" s="271">
        <f t="shared" si="15"/>
        <v>21.925000000000018</v>
      </c>
      <c r="BE8" s="271">
        <f t="shared" si="15"/>
        <v>0</v>
      </c>
      <c r="BF8" s="271">
        <f t="shared" si="15"/>
        <v>0</v>
      </c>
      <c r="BG8" s="271">
        <f t="shared" si="15"/>
        <v>21.004166666666656</v>
      </c>
      <c r="BH8" s="271">
        <f t="shared" si="15"/>
        <v>183.7791666666667</v>
      </c>
      <c r="BI8" s="271">
        <f t="shared" si="15"/>
        <v>469.72499999999997</v>
      </c>
      <c r="BJ8" s="271">
        <f t="shared" si="15"/>
        <v>552.42916666666667</v>
      </c>
      <c r="BL8" s="1">
        <f t="shared" si="23"/>
        <v>2019</v>
      </c>
      <c r="BM8" s="271">
        <f t="shared" si="16"/>
        <v>655.93333333333339</v>
      </c>
      <c r="BN8" s="271">
        <f t="shared" si="16"/>
        <v>527.30416666666656</v>
      </c>
      <c r="BO8" s="271">
        <f t="shared" si="16"/>
        <v>487.45833333333331</v>
      </c>
      <c r="BP8" s="271">
        <f t="shared" si="16"/>
        <v>246.6541666666667</v>
      </c>
      <c r="BQ8" s="271">
        <f t="shared" si="16"/>
        <v>92.742982456140368</v>
      </c>
      <c r="BR8" s="271">
        <f t="shared" si="16"/>
        <v>9.0750000000000011</v>
      </c>
      <c r="BS8" s="271">
        <f t="shared" si="16"/>
        <v>0</v>
      </c>
      <c r="BT8" s="271">
        <f t="shared" si="16"/>
        <v>0</v>
      </c>
      <c r="BU8" s="271">
        <f t="shared" si="16"/>
        <v>4.9833333333333325</v>
      </c>
      <c r="BV8" s="271">
        <f t="shared" si="16"/>
        <v>125.30000000000004</v>
      </c>
      <c r="BW8" s="271">
        <f t="shared" si="16"/>
        <v>409.72499999999997</v>
      </c>
      <c r="BX8" s="271">
        <f t="shared" si="16"/>
        <v>490.42916666666656</v>
      </c>
      <c r="BZ8" s="1">
        <f t="shared" si="24"/>
        <v>2019</v>
      </c>
      <c r="CA8" s="271">
        <f t="shared" si="17"/>
        <v>593.93333333333339</v>
      </c>
      <c r="CB8" s="271">
        <f t="shared" si="17"/>
        <v>471.30416666666662</v>
      </c>
      <c r="CC8" s="271">
        <f t="shared" si="17"/>
        <v>425.45833333333326</v>
      </c>
      <c r="CD8" s="271">
        <f t="shared" si="17"/>
        <v>187.50000000000003</v>
      </c>
      <c r="CE8" s="271">
        <f t="shared" si="17"/>
        <v>47.113815789473684</v>
      </c>
      <c r="CF8" s="271">
        <f t="shared" si="17"/>
        <v>3.9291666666666671</v>
      </c>
      <c r="CG8" s="271">
        <f t="shared" si="17"/>
        <v>0</v>
      </c>
      <c r="CH8" s="271">
        <f t="shared" si="17"/>
        <v>0</v>
      </c>
      <c r="CI8" s="271">
        <f t="shared" si="17"/>
        <v>0.4208333333333325</v>
      </c>
      <c r="CJ8" s="271">
        <f t="shared" si="17"/>
        <v>72.637500000000017</v>
      </c>
      <c r="CK8" s="271">
        <f t="shared" si="17"/>
        <v>349.72499999999997</v>
      </c>
      <c r="CL8" s="271">
        <f t="shared" si="17"/>
        <v>428.42916666666656</v>
      </c>
      <c r="CN8" s="1">
        <f t="shared" si="25"/>
        <v>2019</v>
      </c>
      <c r="CO8" s="271">
        <f t="shared" si="18"/>
        <v>531.93333333333328</v>
      </c>
      <c r="CP8" s="271">
        <f t="shared" si="18"/>
        <v>415.30416666666656</v>
      </c>
      <c r="CQ8" s="271">
        <f t="shared" si="18"/>
        <v>363.45833333333326</v>
      </c>
      <c r="CR8" s="271">
        <f t="shared" si="18"/>
        <v>129.53333333333336</v>
      </c>
      <c r="CS8" s="271">
        <f t="shared" si="18"/>
        <v>21.337500000000002</v>
      </c>
      <c r="CT8" s="271">
        <f t="shared" si="18"/>
        <v>0.97916666666666963</v>
      </c>
      <c r="CU8" s="271">
        <f t="shared" si="18"/>
        <v>0</v>
      </c>
      <c r="CV8" s="271">
        <f t="shared" si="18"/>
        <v>0</v>
      </c>
      <c r="CW8" s="271">
        <f t="shared" si="18"/>
        <v>0</v>
      </c>
      <c r="CX8" s="271">
        <f t="shared" si="18"/>
        <v>31.19583333333334</v>
      </c>
      <c r="CY8" s="271">
        <f t="shared" si="18"/>
        <v>289.72499999999997</v>
      </c>
      <c r="CZ8" s="271">
        <f t="shared" si="18"/>
        <v>366.42916666666656</v>
      </c>
      <c r="DB8" s="1">
        <f t="shared" si="26"/>
        <v>2019</v>
      </c>
      <c r="DC8" s="271">
        <f t="shared" si="19"/>
        <v>469.93333333333328</v>
      </c>
      <c r="DD8" s="271">
        <f t="shared" si="19"/>
        <v>359.30416666666662</v>
      </c>
      <c r="DE8" s="271">
        <f t="shared" si="19"/>
        <v>301.45833333333326</v>
      </c>
      <c r="DF8" s="271">
        <f t="shared" si="19"/>
        <v>81.245833333333351</v>
      </c>
      <c r="DG8" s="271">
        <f t="shared" si="19"/>
        <v>5.4041666666666659</v>
      </c>
      <c r="DH8" s="271">
        <f t="shared" si="19"/>
        <v>0</v>
      </c>
      <c r="DI8" s="271">
        <f t="shared" si="19"/>
        <v>0</v>
      </c>
      <c r="DJ8" s="271">
        <f t="shared" si="19"/>
        <v>0</v>
      </c>
      <c r="DK8" s="271">
        <f t="shared" si="19"/>
        <v>0</v>
      </c>
      <c r="DL8" s="271">
        <f t="shared" si="19"/>
        <v>8.0666666666666664</v>
      </c>
      <c r="DM8" s="271">
        <f t="shared" si="19"/>
        <v>229.72499999999999</v>
      </c>
      <c r="DN8" s="271">
        <f t="shared" si="19"/>
        <v>304.42916666666662</v>
      </c>
      <c r="DP8" s="18">
        <f>'Monthly Data'!F8</f>
        <v>40842121.370275021</v>
      </c>
      <c r="DQ8" s="18">
        <f>'Monthly Data'!J8</f>
        <v>11315953.589151742</v>
      </c>
      <c r="DR8" s="18">
        <f>'Monthly Data'!N8</f>
        <v>27428159.367891241</v>
      </c>
      <c r="DS8" s="4">
        <f>'Monthly Data'!S8</f>
        <v>7942122.611520865</v>
      </c>
      <c r="DT8" s="4">
        <f>'Monthly Data'!V8</f>
        <v>3903331.7192142233</v>
      </c>
      <c r="DU8" s="18">
        <f t="shared" si="7"/>
        <v>48726618.233603686</v>
      </c>
      <c r="DV8" s="18">
        <f t="shared" si="8"/>
        <v>11407055.217029551</v>
      </c>
      <c r="DW8" s="18">
        <f t="shared" si="9"/>
        <v>27004072.898000091</v>
      </c>
      <c r="DX8" s="18">
        <f t="shared" si="10"/>
        <v>8258403.9575536773</v>
      </c>
      <c r="DY8" s="18">
        <f t="shared" si="11"/>
        <v>3381439.1551290406</v>
      </c>
      <c r="ER8" s="24">
        <f>'Monthly Data'!F8/'Monthly Data'!G8/'Monthly Data'!CD8</f>
        <v>26.983876828221277</v>
      </c>
      <c r="ES8" s="259">
        <f>'Monthly Data'!J8/'Monthly Data'!K8/'Monthly Data'!CD8</f>
        <v>90.781089515140209</v>
      </c>
      <c r="ET8" s="24">
        <f>'Monthly Data'!N8/'Monthly Data'!P8/'Monthly Data'!CD8</f>
        <v>1741.6916032443003</v>
      </c>
      <c r="EU8" s="24">
        <f>'Monthly Data'!Q8/'Monthly Data'!U8/'Monthly Data'!CD8</f>
        <v>18671.310982729767</v>
      </c>
      <c r="EV8" s="24">
        <f>'Monthly Data'!V8/'Monthly Data'!Z8/'Monthly Data'!CD8</f>
        <v>125913.92642626527</v>
      </c>
      <c r="EW8" s="24"/>
      <c r="FG8" s="24"/>
    </row>
    <row r="9" spans="1:163" x14ac:dyDescent="0.25">
      <c r="A9" s="3">
        <v>42217</v>
      </c>
      <c r="B9" s="1">
        <v>2015</v>
      </c>
      <c r="C9" s="1">
        <v>8</v>
      </c>
      <c r="D9" s="263">
        <v>19.41747311827957</v>
      </c>
      <c r="E9" s="263">
        <v>40.1875</v>
      </c>
      <c r="F9" s="263">
        <v>22.12916666666667</v>
      </c>
      <c r="G9" s="263">
        <v>9.4166666666666572</v>
      </c>
      <c r="H9" s="263">
        <v>53.358333333333334</v>
      </c>
      <c r="I9" s="263">
        <v>0.49166666666666714</v>
      </c>
      <c r="J9" s="263">
        <v>106.43333333333335</v>
      </c>
      <c r="K9" s="263">
        <v>0</v>
      </c>
      <c r="L9" s="263">
        <v>167.94166666666666</v>
      </c>
      <c r="M9" s="263">
        <v>0</v>
      </c>
      <c r="N9" s="263">
        <v>229.94166666666666</v>
      </c>
      <c r="O9" s="263">
        <v>0</v>
      </c>
      <c r="P9" s="263">
        <v>291.94166666666666</v>
      </c>
      <c r="Q9" s="263">
        <v>0</v>
      </c>
      <c r="R9" s="263">
        <v>353.94166666666678</v>
      </c>
      <c r="U9" s="1">
        <f t="shared" si="20"/>
        <v>2020</v>
      </c>
      <c r="V9" s="271">
        <f t="shared" si="12"/>
        <v>690.82083333333321</v>
      </c>
      <c r="W9" s="271">
        <f t="shared" si="12"/>
        <v>678.4000000000002</v>
      </c>
      <c r="X9" s="271">
        <f t="shared" si="12"/>
        <v>543.57083333333344</v>
      </c>
      <c r="Y9" s="271">
        <f t="shared" si="12"/>
        <v>439.67500000000013</v>
      </c>
      <c r="Z9" s="271">
        <f t="shared" si="12"/>
        <v>265.14107142857148</v>
      </c>
      <c r="AA9" s="271">
        <f t="shared" si="12"/>
        <v>53.275000000000006</v>
      </c>
      <c r="AB9" s="271">
        <f t="shared" si="12"/>
        <v>0</v>
      </c>
      <c r="AC9" s="271">
        <f t="shared" si="12"/>
        <v>19.720833333333321</v>
      </c>
      <c r="AD9" s="271">
        <f t="shared" si="12"/>
        <v>132.75869565217394</v>
      </c>
      <c r="AE9" s="271">
        <f t="shared" si="12"/>
        <v>349.83333333333326</v>
      </c>
      <c r="AF9" s="271">
        <f t="shared" si="12"/>
        <v>426.30072463768113</v>
      </c>
      <c r="AG9" s="271">
        <f t="shared" si="12"/>
        <v>644.90416666666681</v>
      </c>
      <c r="AJ9" s="1">
        <f t="shared" si="21"/>
        <v>2020</v>
      </c>
      <c r="AK9" s="271">
        <f t="shared" si="13"/>
        <v>628.82083333333333</v>
      </c>
      <c r="AL9" s="271">
        <f t="shared" si="13"/>
        <v>620.40000000000009</v>
      </c>
      <c r="AM9" s="271">
        <f t="shared" si="13"/>
        <v>481.57083333333344</v>
      </c>
      <c r="AN9" s="271">
        <f t="shared" si="13"/>
        <v>379.67500000000013</v>
      </c>
      <c r="AO9" s="271">
        <f t="shared" si="13"/>
        <v>212.73690476190475</v>
      </c>
      <c r="AP9" s="271">
        <f t="shared" si="13"/>
        <v>29.733333333333348</v>
      </c>
      <c r="AQ9" s="271">
        <f t="shared" si="13"/>
        <v>0</v>
      </c>
      <c r="AR9" s="271">
        <f t="shared" si="13"/>
        <v>3.4874999999999972</v>
      </c>
      <c r="AS9" s="271">
        <f t="shared" si="13"/>
        <v>85.042028985507244</v>
      </c>
      <c r="AT9" s="271">
        <f t="shared" si="13"/>
        <v>287.83333333333331</v>
      </c>
      <c r="AU9" s="271">
        <f t="shared" si="13"/>
        <v>366.30072463768118</v>
      </c>
      <c r="AV9" s="271">
        <f t="shared" si="13"/>
        <v>582.90416666666681</v>
      </c>
      <c r="AW9" s="411">
        <f t="shared" si="14"/>
        <v>3678.5046583850935</v>
      </c>
      <c r="AX9" s="1">
        <f t="shared" si="22"/>
        <v>2020</v>
      </c>
      <c r="AY9" s="271">
        <f t="shared" si="15"/>
        <v>566.82083333333333</v>
      </c>
      <c r="AZ9" s="271">
        <f t="shared" si="15"/>
        <v>562.4</v>
      </c>
      <c r="BA9" s="271">
        <f t="shared" si="15"/>
        <v>419.57083333333344</v>
      </c>
      <c r="BB9" s="271">
        <f t="shared" si="15"/>
        <v>319.67500000000007</v>
      </c>
      <c r="BC9" s="271">
        <f t="shared" si="15"/>
        <v>164.60000000000005</v>
      </c>
      <c r="BD9" s="271">
        <f t="shared" si="15"/>
        <v>13.145833333333346</v>
      </c>
      <c r="BE9" s="271">
        <f t="shared" si="15"/>
        <v>0</v>
      </c>
      <c r="BF9" s="271">
        <f t="shared" si="15"/>
        <v>0</v>
      </c>
      <c r="BG9" s="271">
        <f t="shared" si="15"/>
        <v>46.033695652173925</v>
      </c>
      <c r="BH9" s="271">
        <f t="shared" si="15"/>
        <v>226.0625</v>
      </c>
      <c r="BI9" s="271">
        <f t="shared" si="15"/>
        <v>306.30072463768124</v>
      </c>
      <c r="BJ9" s="271">
        <f t="shared" si="15"/>
        <v>520.90416666666681</v>
      </c>
      <c r="BL9" s="1">
        <f t="shared" si="23"/>
        <v>2020</v>
      </c>
      <c r="BM9" s="271">
        <f t="shared" si="16"/>
        <v>504.82083333333333</v>
      </c>
      <c r="BN9" s="271">
        <f t="shared" si="16"/>
        <v>504.40000000000003</v>
      </c>
      <c r="BO9" s="271">
        <f t="shared" si="16"/>
        <v>357.57083333333344</v>
      </c>
      <c r="BP9" s="271">
        <f t="shared" si="16"/>
        <v>259.67500000000007</v>
      </c>
      <c r="BQ9" s="271">
        <f t="shared" si="16"/>
        <v>122.05</v>
      </c>
      <c r="BR9" s="271">
        <f t="shared" si="16"/>
        <v>3.4333333333333353</v>
      </c>
      <c r="BS9" s="271">
        <f t="shared" si="16"/>
        <v>0</v>
      </c>
      <c r="BT9" s="271">
        <f t="shared" si="16"/>
        <v>0</v>
      </c>
      <c r="BU9" s="271">
        <f t="shared" si="16"/>
        <v>23.967028985507248</v>
      </c>
      <c r="BV9" s="271">
        <f t="shared" si="16"/>
        <v>167.76250000000005</v>
      </c>
      <c r="BW9" s="271">
        <f t="shared" si="16"/>
        <v>246.30072463768118</v>
      </c>
      <c r="BX9" s="271">
        <f t="shared" si="16"/>
        <v>458.90416666666681</v>
      </c>
      <c r="BZ9" s="1">
        <f t="shared" si="24"/>
        <v>2020</v>
      </c>
      <c r="CA9" s="271">
        <f t="shared" si="17"/>
        <v>442.82083333333327</v>
      </c>
      <c r="CB9" s="271">
        <f t="shared" si="17"/>
        <v>446.40000000000003</v>
      </c>
      <c r="CC9" s="271">
        <f t="shared" si="17"/>
        <v>295.57083333333338</v>
      </c>
      <c r="CD9" s="271">
        <f t="shared" si="17"/>
        <v>199.67500000000004</v>
      </c>
      <c r="CE9" s="271">
        <f t="shared" si="17"/>
        <v>86.899999999999977</v>
      </c>
      <c r="CF9" s="271">
        <f t="shared" si="17"/>
        <v>0</v>
      </c>
      <c r="CG9" s="271">
        <f t="shared" si="17"/>
        <v>0</v>
      </c>
      <c r="CH9" s="271">
        <f t="shared" si="17"/>
        <v>0</v>
      </c>
      <c r="CI9" s="271">
        <f t="shared" si="17"/>
        <v>8.9666666666666686</v>
      </c>
      <c r="CJ9" s="271">
        <f t="shared" si="17"/>
        <v>112.09583333333335</v>
      </c>
      <c r="CK9" s="271">
        <f t="shared" si="17"/>
        <v>188.12989130434778</v>
      </c>
      <c r="CL9" s="271">
        <f t="shared" si="17"/>
        <v>396.9041666666667</v>
      </c>
      <c r="CN9" s="1">
        <f t="shared" si="25"/>
        <v>2020</v>
      </c>
      <c r="CO9" s="271">
        <f t="shared" si="18"/>
        <v>380.82083333333333</v>
      </c>
      <c r="CP9" s="271">
        <f t="shared" si="18"/>
        <v>388.40000000000003</v>
      </c>
      <c r="CQ9" s="271">
        <f t="shared" si="18"/>
        <v>233.60833333333338</v>
      </c>
      <c r="CR9" s="271">
        <f t="shared" si="18"/>
        <v>141.82916666666665</v>
      </c>
      <c r="CS9" s="271">
        <f t="shared" si="18"/>
        <v>59.029166666666669</v>
      </c>
      <c r="CT9" s="271">
        <f t="shared" si="18"/>
        <v>0</v>
      </c>
      <c r="CU9" s="271">
        <f t="shared" si="18"/>
        <v>0</v>
      </c>
      <c r="CV9" s="271">
        <f t="shared" si="18"/>
        <v>0</v>
      </c>
      <c r="CW9" s="271">
        <f t="shared" si="18"/>
        <v>2.2333333333333343</v>
      </c>
      <c r="CX9" s="271">
        <f t="shared" si="18"/>
        <v>71.3</v>
      </c>
      <c r="CY9" s="271">
        <f t="shared" si="18"/>
        <v>136.26322463768113</v>
      </c>
      <c r="CZ9" s="271">
        <f t="shared" si="18"/>
        <v>334.90416666666664</v>
      </c>
      <c r="DB9" s="1">
        <f t="shared" si="26"/>
        <v>2020</v>
      </c>
      <c r="DC9" s="271">
        <f t="shared" si="19"/>
        <v>318.82083333333333</v>
      </c>
      <c r="DD9" s="271">
        <f t="shared" si="19"/>
        <v>330.40000000000003</v>
      </c>
      <c r="DE9" s="271">
        <f t="shared" si="19"/>
        <v>174.47500000000005</v>
      </c>
      <c r="DF9" s="271">
        <f t="shared" si="19"/>
        <v>89.183333333333337</v>
      </c>
      <c r="DG9" s="271">
        <f t="shared" si="19"/>
        <v>36.524999999999999</v>
      </c>
      <c r="DH9" s="271">
        <f t="shared" si="19"/>
        <v>0</v>
      </c>
      <c r="DI9" s="271">
        <f t="shared" si="19"/>
        <v>0</v>
      </c>
      <c r="DJ9" s="271">
        <f t="shared" si="19"/>
        <v>0</v>
      </c>
      <c r="DK9" s="271">
        <f t="shared" si="19"/>
        <v>0</v>
      </c>
      <c r="DL9" s="271">
        <f t="shared" si="19"/>
        <v>38.454166666666666</v>
      </c>
      <c r="DM9" s="271">
        <f t="shared" si="19"/>
        <v>92.875724637681159</v>
      </c>
      <c r="DN9" s="271">
        <f t="shared" si="19"/>
        <v>272.9041666666667</v>
      </c>
      <c r="DP9" s="18">
        <f>'Monthly Data'!F9</f>
        <v>45385708.477988221</v>
      </c>
      <c r="DQ9" s="18">
        <f>'Monthly Data'!J9</f>
        <v>11031577.87167096</v>
      </c>
      <c r="DR9" s="18">
        <f>'Monthly Data'!N9</f>
        <v>26677898.168446716</v>
      </c>
      <c r="DS9" s="4">
        <f>'Monthly Data'!S9</f>
        <v>8021740.0875366963</v>
      </c>
      <c r="DT9" s="4">
        <f>'Monthly Data'!V9</f>
        <v>3934483.9152747728</v>
      </c>
      <c r="DU9" s="18">
        <f t="shared" si="7"/>
        <v>46082693.942921996</v>
      </c>
      <c r="DV9" s="18">
        <f t="shared" si="8"/>
        <v>10904588.804162504</v>
      </c>
      <c r="DW9" s="18">
        <f t="shared" si="9"/>
        <v>26416810.613625236</v>
      </c>
      <c r="DX9" s="18">
        <f t="shared" si="10"/>
        <v>7989680.0482220426</v>
      </c>
      <c r="DY9" s="18">
        <f t="shared" si="11"/>
        <v>3329251.0416349424</v>
      </c>
      <c r="ER9" s="24">
        <f>'Monthly Data'!F9/'Monthly Data'!G9/'Monthly Data'!CD9</f>
        <v>29.653550842444471</v>
      </c>
      <c r="ES9" s="259">
        <f>'Monthly Data'!J9/'Monthly Data'!K9/'Monthly Data'!CD9</f>
        <v>88.499714175345233</v>
      </c>
      <c r="ET9" s="24">
        <f>'Monthly Data'!N9/'Monthly Data'!P9/'Monthly Data'!CD9</f>
        <v>1680.8151567821772</v>
      </c>
      <c r="EU9" s="24">
        <f>'Monthly Data'!Q9/'Monthly Data'!U9/'Monthly Data'!CD9</f>
        <v>18792.118195436862</v>
      </c>
      <c r="EV9" s="24">
        <f>'Monthly Data'!V9/'Monthly Data'!Z9/'Monthly Data'!CD9</f>
        <v>126918.83597660558</v>
      </c>
      <c r="EW9" s="24"/>
      <c r="FG9" s="24"/>
    </row>
    <row r="10" spans="1:163" x14ac:dyDescent="0.25">
      <c r="A10" s="3">
        <v>42248</v>
      </c>
      <c r="B10" s="1">
        <v>2015</v>
      </c>
      <c r="C10" s="1">
        <v>9</v>
      </c>
      <c r="D10" s="263">
        <v>18.297420634920634</v>
      </c>
      <c r="E10" s="263">
        <v>78.99404761904762</v>
      </c>
      <c r="F10" s="263">
        <v>27.916666666666675</v>
      </c>
      <c r="G10" s="263">
        <v>42.631547619047623</v>
      </c>
      <c r="H10" s="263">
        <v>51.55416666666666</v>
      </c>
      <c r="I10" s="263">
        <v>18.695833333333333</v>
      </c>
      <c r="J10" s="263">
        <v>87.618452380952391</v>
      </c>
      <c r="K10" s="263">
        <v>6.0041666666666682</v>
      </c>
      <c r="L10" s="263">
        <v>134.9267857142857</v>
      </c>
      <c r="M10" s="263">
        <v>3.7500000000001421E-2</v>
      </c>
      <c r="N10" s="263">
        <v>188.96011904761906</v>
      </c>
      <c r="O10" s="263">
        <v>0</v>
      </c>
      <c r="P10" s="263">
        <v>248.92261904761907</v>
      </c>
      <c r="Q10" s="263">
        <v>0</v>
      </c>
      <c r="R10" s="263">
        <v>308.92261904761898</v>
      </c>
      <c r="U10" s="1">
        <f t="shared" si="20"/>
        <v>2021</v>
      </c>
      <c r="V10" s="271">
        <f t="shared" si="12"/>
        <v>715.50416666666661</v>
      </c>
      <c r="W10" s="271">
        <f t="shared" si="12"/>
        <v>709.45416666666654</v>
      </c>
      <c r="X10" s="271">
        <f t="shared" si="12"/>
        <v>554.59637681159427</v>
      </c>
      <c r="Y10" s="271">
        <f t="shared" si="12"/>
        <v>379.79583333333329</v>
      </c>
      <c r="Z10" s="271">
        <f t="shared" si="12"/>
        <v>221.92222222222222</v>
      </c>
      <c r="AA10" s="271">
        <f t="shared" si="12"/>
        <v>36.066666666666677</v>
      </c>
      <c r="AB10" s="271">
        <f t="shared" si="12"/>
        <v>25.516666666666669</v>
      </c>
      <c r="AC10" s="271">
        <f t="shared" si="12"/>
        <v>8.524999999999995</v>
      </c>
      <c r="AD10" s="271">
        <f t="shared" si="12"/>
        <v>93.104166666666671</v>
      </c>
      <c r="AE10" s="271">
        <f t="shared" si="12"/>
        <v>214.18749999999994</v>
      </c>
      <c r="AF10" s="271">
        <f t="shared" si="12"/>
        <v>506.31260351966881</v>
      </c>
      <c r="AG10" s="271">
        <f t="shared" si="12"/>
        <v>595.04583333333335</v>
      </c>
      <c r="AJ10" s="1">
        <f t="shared" si="21"/>
        <v>2021</v>
      </c>
      <c r="AK10" s="271">
        <f t="shared" si="13"/>
        <v>653.50416666666661</v>
      </c>
      <c r="AL10" s="271">
        <f t="shared" si="13"/>
        <v>653.45416666666654</v>
      </c>
      <c r="AM10" s="271">
        <f t="shared" si="13"/>
        <v>492.59637681159415</v>
      </c>
      <c r="AN10" s="271">
        <f t="shared" si="13"/>
        <v>319.79583333333329</v>
      </c>
      <c r="AO10" s="271">
        <f t="shared" si="13"/>
        <v>173.64305555555555</v>
      </c>
      <c r="AP10" s="271">
        <f t="shared" si="13"/>
        <v>14.254166666666677</v>
      </c>
      <c r="AQ10" s="271">
        <f t="shared" si="13"/>
        <v>5.3541666666666572</v>
      </c>
      <c r="AR10" s="271">
        <f t="shared" si="13"/>
        <v>0.69166666666666643</v>
      </c>
      <c r="AS10" s="271">
        <f t="shared" si="13"/>
        <v>45.679166666666674</v>
      </c>
      <c r="AT10" s="271">
        <f t="shared" si="13"/>
        <v>153.47499999999997</v>
      </c>
      <c r="AU10" s="271">
        <f t="shared" si="13"/>
        <v>446.3126035196687</v>
      </c>
      <c r="AV10" s="271">
        <f t="shared" si="13"/>
        <v>533.04583333333346</v>
      </c>
      <c r="AW10" s="411">
        <f t="shared" si="14"/>
        <v>3491.806202553485</v>
      </c>
      <c r="AX10" s="1">
        <f t="shared" si="22"/>
        <v>2021</v>
      </c>
      <c r="AY10" s="271">
        <f t="shared" si="15"/>
        <v>591.50416666666661</v>
      </c>
      <c r="AZ10" s="271">
        <f t="shared" si="15"/>
        <v>597.45416666666665</v>
      </c>
      <c r="BA10" s="271">
        <f t="shared" si="15"/>
        <v>430.59637681159427</v>
      </c>
      <c r="BB10" s="271">
        <f t="shared" si="15"/>
        <v>260.00833333333338</v>
      </c>
      <c r="BC10" s="271">
        <f t="shared" si="15"/>
        <v>127.04305555555555</v>
      </c>
      <c r="BD10" s="271">
        <f t="shared" si="15"/>
        <v>3.2708333333333357</v>
      </c>
      <c r="BE10" s="271">
        <f t="shared" si="15"/>
        <v>0.74583333333333002</v>
      </c>
      <c r="BF10" s="271">
        <f t="shared" si="15"/>
        <v>0</v>
      </c>
      <c r="BG10" s="271">
        <f t="shared" si="15"/>
        <v>20.066666666666677</v>
      </c>
      <c r="BH10" s="271">
        <f t="shared" si="15"/>
        <v>108.43333333333334</v>
      </c>
      <c r="BI10" s="271">
        <f t="shared" si="15"/>
        <v>386.3126035196687</v>
      </c>
      <c r="BJ10" s="271">
        <f t="shared" si="15"/>
        <v>471.04583333333335</v>
      </c>
      <c r="BL10" s="1">
        <f t="shared" si="23"/>
        <v>2021</v>
      </c>
      <c r="BM10" s="271">
        <f t="shared" si="16"/>
        <v>529.50416666666661</v>
      </c>
      <c r="BN10" s="271">
        <f t="shared" si="16"/>
        <v>541.45416666666677</v>
      </c>
      <c r="BO10" s="271">
        <f t="shared" si="16"/>
        <v>368.59637681159427</v>
      </c>
      <c r="BP10" s="271">
        <f t="shared" si="16"/>
        <v>203.50416666666672</v>
      </c>
      <c r="BQ10" s="271">
        <f t="shared" si="16"/>
        <v>83.376388888888897</v>
      </c>
      <c r="BR10" s="271">
        <f t="shared" si="16"/>
        <v>0</v>
      </c>
      <c r="BS10" s="271">
        <f t="shared" si="16"/>
        <v>0</v>
      </c>
      <c r="BT10" s="271">
        <f t="shared" si="16"/>
        <v>0</v>
      </c>
      <c r="BU10" s="271">
        <f t="shared" si="16"/>
        <v>5.9833333333333432</v>
      </c>
      <c r="BV10" s="271">
        <f t="shared" si="16"/>
        <v>72.749999999999986</v>
      </c>
      <c r="BW10" s="271">
        <f t="shared" si="16"/>
        <v>326.31260351966864</v>
      </c>
      <c r="BX10" s="271">
        <f t="shared" si="16"/>
        <v>409.04583333333335</v>
      </c>
      <c r="BZ10" s="1">
        <f t="shared" si="24"/>
        <v>2021</v>
      </c>
      <c r="CA10" s="271">
        <f t="shared" si="17"/>
        <v>467.50416666666661</v>
      </c>
      <c r="CB10" s="271">
        <f t="shared" si="17"/>
        <v>485.45416666666677</v>
      </c>
      <c r="CC10" s="271">
        <f t="shared" si="17"/>
        <v>306.89221014492756</v>
      </c>
      <c r="CD10" s="271">
        <f t="shared" si="17"/>
        <v>150.85000000000002</v>
      </c>
      <c r="CE10" s="271">
        <f t="shared" si="17"/>
        <v>50.724999999999987</v>
      </c>
      <c r="CF10" s="271">
        <f t="shared" si="17"/>
        <v>0</v>
      </c>
      <c r="CG10" s="271">
        <f t="shared" si="17"/>
        <v>0</v>
      </c>
      <c r="CH10" s="271">
        <f t="shared" si="17"/>
        <v>0</v>
      </c>
      <c r="CI10" s="271">
        <f t="shared" si="17"/>
        <v>0.28333333333333321</v>
      </c>
      <c r="CJ10" s="271">
        <f t="shared" si="17"/>
        <v>44.166666666666664</v>
      </c>
      <c r="CK10" s="271">
        <f t="shared" si="17"/>
        <v>266.31260351966876</v>
      </c>
      <c r="CL10" s="271">
        <f t="shared" si="17"/>
        <v>347.04583333333335</v>
      </c>
      <c r="CN10" s="1">
        <f t="shared" si="25"/>
        <v>2021</v>
      </c>
      <c r="CO10" s="271">
        <f t="shared" si="18"/>
        <v>405.50416666666661</v>
      </c>
      <c r="CP10" s="271">
        <f t="shared" si="18"/>
        <v>429.45416666666677</v>
      </c>
      <c r="CQ10" s="271">
        <f t="shared" si="18"/>
        <v>249.74637681159425</v>
      </c>
      <c r="CR10" s="271">
        <f t="shared" si="18"/>
        <v>102.15833333333332</v>
      </c>
      <c r="CS10" s="271">
        <f t="shared" si="18"/>
        <v>25.983333333333327</v>
      </c>
      <c r="CT10" s="271">
        <f t="shared" si="18"/>
        <v>0</v>
      </c>
      <c r="CU10" s="271">
        <f t="shared" si="18"/>
        <v>0</v>
      </c>
      <c r="CV10" s="271">
        <f t="shared" si="18"/>
        <v>0</v>
      </c>
      <c r="CW10" s="271">
        <f t="shared" si="18"/>
        <v>0</v>
      </c>
      <c r="CX10" s="271">
        <f t="shared" si="18"/>
        <v>22.266666666666666</v>
      </c>
      <c r="CY10" s="271">
        <f t="shared" si="18"/>
        <v>206.31260351966876</v>
      </c>
      <c r="CZ10" s="271">
        <f t="shared" si="18"/>
        <v>285.45833333333331</v>
      </c>
      <c r="DB10" s="1">
        <f t="shared" si="26"/>
        <v>2021</v>
      </c>
      <c r="DC10" s="271">
        <f t="shared" si="19"/>
        <v>343.50416666666661</v>
      </c>
      <c r="DD10" s="271">
        <f t="shared" si="19"/>
        <v>373.45416666666665</v>
      </c>
      <c r="DE10" s="271">
        <f t="shared" si="19"/>
        <v>194.65054347826086</v>
      </c>
      <c r="DF10" s="271">
        <f t="shared" si="19"/>
        <v>60.454166666666659</v>
      </c>
      <c r="DG10" s="271">
        <f t="shared" si="19"/>
        <v>8.125</v>
      </c>
      <c r="DH10" s="271">
        <f t="shared" si="19"/>
        <v>0</v>
      </c>
      <c r="DI10" s="271">
        <f t="shared" si="19"/>
        <v>0</v>
      </c>
      <c r="DJ10" s="271">
        <f t="shared" si="19"/>
        <v>0</v>
      </c>
      <c r="DK10" s="271">
        <f t="shared" si="19"/>
        <v>0</v>
      </c>
      <c r="DL10" s="271">
        <f t="shared" si="19"/>
        <v>6.6666666666666643</v>
      </c>
      <c r="DM10" s="271">
        <f t="shared" si="19"/>
        <v>148.50427018633536</v>
      </c>
      <c r="DN10" s="271">
        <f t="shared" si="19"/>
        <v>225.45833333333331</v>
      </c>
      <c r="DP10" s="18">
        <f>'Monthly Data'!F10</f>
        <v>40632623.048269503</v>
      </c>
      <c r="DQ10" s="18">
        <f>'Monthly Data'!J10</f>
        <v>10798348.741574915</v>
      </c>
      <c r="DR10" s="18">
        <f>'Monthly Data'!N10</f>
        <v>25368422.182837464</v>
      </c>
      <c r="DS10" s="4">
        <f>'Monthly Data'!S10</f>
        <v>8078291.6631567953</v>
      </c>
      <c r="DT10" s="4">
        <f>'Monthly Data'!V10</f>
        <v>3833490.6826414838</v>
      </c>
      <c r="DU10" s="18">
        <f t="shared" si="7"/>
        <v>43386093.52777151</v>
      </c>
      <c r="DV10" s="18">
        <f t="shared" si="8"/>
        <v>10562744.910593191</v>
      </c>
      <c r="DW10" s="18">
        <f t="shared" si="9"/>
        <v>25776662.08815977</v>
      </c>
      <c r="DX10" s="18">
        <f t="shared" si="10"/>
        <v>7753705.9094508458</v>
      </c>
      <c r="DY10" s="18">
        <f t="shared" si="11"/>
        <v>3283429.9333904753</v>
      </c>
      <c r="ER10" s="24">
        <f>'Monthly Data'!F10/'Monthly Data'!G10/'Monthly Data'!CD10</f>
        <v>27.122046703425251</v>
      </c>
      <c r="ES10" s="259">
        <f>'Monthly Data'!J10/'Monthly Data'!K10/'Monthly Data'!CD10</f>
        <v>89.249927610339</v>
      </c>
      <c r="ET10" s="24">
        <f>'Monthly Data'!N10/'Monthly Data'!P10/'Monthly Data'!CD10</f>
        <v>1648.3705122051635</v>
      </c>
      <c r="EU10" s="24">
        <f>'Monthly Data'!Q10/'Monthly Data'!U10/'Monthly Data'!CD10</f>
        <v>19484.212920734059</v>
      </c>
      <c r="EV10" s="24">
        <f>'Monthly Data'!V10/'Monthly Data'!Z10/'Monthly Data'!CD10</f>
        <v>127783.02275471613</v>
      </c>
      <c r="EW10" s="24"/>
      <c r="FG10" s="24"/>
    </row>
    <row r="11" spans="1:163" x14ac:dyDescent="0.25">
      <c r="A11" s="3">
        <v>42278</v>
      </c>
      <c r="B11" s="1">
        <v>2015</v>
      </c>
      <c r="C11" s="1">
        <v>10</v>
      </c>
      <c r="D11" s="263">
        <v>9.0649193548387093</v>
      </c>
      <c r="E11" s="263">
        <v>338.98750000000007</v>
      </c>
      <c r="F11" s="263">
        <v>0</v>
      </c>
      <c r="G11" s="263">
        <v>276.98750000000001</v>
      </c>
      <c r="H11" s="263">
        <v>0</v>
      </c>
      <c r="I11" s="263">
        <v>215.98749999999998</v>
      </c>
      <c r="J11" s="263">
        <v>1</v>
      </c>
      <c r="K11" s="263">
        <v>157.34583333333333</v>
      </c>
      <c r="L11" s="263">
        <v>4.3583333333333325</v>
      </c>
      <c r="M11" s="263">
        <v>104.88333333333331</v>
      </c>
      <c r="N11" s="263">
        <v>13.895833333333337</v>
      </c>
      <c r="O11" s="263">
        <v>61.262500000000003</v>
      </c>
      <c r="P11" s="263">
        <v>32.275000000000006</v>
      </c>
      <c r="Q11" s="263">
        <v>33.92916666666666</v>
      </c>
      <c r="R11" s="263">
        <v>66.941666666666677</v>
      </c>
      <c r="U11" s="1">
        <f t="shared" si="20"/>
        <v>2022</v>
      </c>
      <c r="V11" s="271">
        <f t="shared" si="12"/>
        <v>887.49166666666656</v>
      </c>
      <c r="W11" s="271">
        <f t="shared" si="12"/>
        <v>692.85</v>
      </c>
      <c r="X11" s="271">
        <f t="shared" si="12"/>
        <v>606.7208333333333</v>
      </c>
      <c r="Y11" s="271">
        <f t="shared" si="12"/>
        <v>414.33333333333331</v>
      </c>
      <c r="Z11" s="271">
        <f t="shared" si="12"/>
        <v>158.97916666666669</v>
      </c>
      <c r="AA11" s="271">
        <f t="shared" si="12"/>
        <v>75.529010989011013</v>
      </c>
      <c r="AB11" s="271">
        <f t="shared" si="12"/>
        <v>8.9945652173913082</v>
      </c>
      <c r="AC11" s="271">
        <f t="shared" si="12"/>
        <v>7.3916666666666764</v>
      </c>
      <c r="AD11" s="271">
        <f t="shared" si="12"/>
        <v>111.79166666666666</v>
      </c>
      <c r="AE11" s="271">
        <f t="shared" si="12"/>
        <v>330.85561594202903</v>
      </c>
      <c r="AF11" s="271">
        <f t="shared" si="12"/>
        <v>471.83333333333348</v>
      </c>
      <c r="AG11" s="271">
        <f t="shared" si="12"/>
        <v>647.12083333333328</v>
      </c>
      <c r="AJ11" s="1">
        <f t="shared" si="21"/>
        <v>2022</v>
      </c>
      <c r="AK11" s="271">
        <f t="shared" si="13"/>
        <v>825.49166666666656</v>
      </c>
      <c r="AL11" s="271">
        <f t="shared" si="13"/>
        <v>636.84999999999991</v>
      </c>
      <c r="AM11" s="271">
        <f t="shared" si="13"/>
        <v>544.7208333333333</v>
      </c>
      <c r="AN11" s="271">
        <f t="shared" si="13"/>
        <v>354.33333333333331</v>
      </c>
      <c r="AO11" s="271">
        <f t="shared" si="13"/>
        <v>109.50833333333333</v>
      </c>
      <c r="AP11" s="271">
        <f t="shared" si="13"/>
        <v>36.166510989010987</v>
      </c>
      <c r="AQ11" s="271">
        <f t="shared" si="13"/>
        <v>0.62083333333333357</v>
      </c>
      <c r="AR11" s="271">
        <f t="shared" si="13"/>
        <v>0.76250000000000284</v>
      </c>
      <c r="AS11" s="271">
        <f t="shared" si="13"/>
        <v>71.412499999999994</v>
      </c>
      <c r="AT11" s="271">
        <f t="shared" si="13"/>
        <v>268.85561594202898</v>
      </c>
      <c r="AU11" s="271">
        <f t="shared" si="13"/>
        <v>411.83333333333348</v>
      </c>
      <c r="AV11" s="271">
        <f t="shared" si="13"/>
        <v>585.12083333333328</v>
      </c>
      <c r="AW11" s="411">
        <f t="shared" si="14"/>
        <v>3845.6762935977063</v>
      </c>
      <c r="AX11" s="1">
        <f t="shared" si="22"/>
        <v>2022</v>
      </c>
      <c r="AY11" s="271">
        <f t="shared" si="15"/>
        <v>763.49166666666656</v>
      </c>
      <c r="AZ11" s="271">
        <f t="shared" si="15"/>
        <v>580.84999999999991</v>
      </c>
      <c r="BA11" s="271">
        <f t="shared" si="15"/>
        <v>482.72083333333353</v>
      </c>
      <c r="BB11" s="271">
        <f t="shared" si="15"/>
        <v>294.33333333333337</v>
      </c>
      <c r="BC11" s="271">
        <f t="shared" si="15"/>
        <v>70.650000000000006</v>
      </c>
      <c r="BD11" s="271">
        <f t="shared" si="15"/>
        <v>6.1903205128205077</v>
      </c>
      <c r="BE11" s="271">
        <f t="shared" si="15"/>
        <v>0</v>
      </c>
      <c r="BF11" s="271">
        <f t="shared" si="15"/>
        <v>0</v>
      </c>
      <c r="BG11" s="271">
        <f t="shared" si="15"/>
        <v>45.029166666666661</v>
      </c>
      <c r="BH11" s="271">
        <f t="shared" si="15"/>
        <v>206.85561594202895</v>
      </c>
      <c r="BI11" s="271">
        <f t="shared" si="15"/>
        <v>351.83333333333343</v>
      </c>
      <c r="BJ11" s="271">
        <f t="shared" si="15"/>
        <v>523.12083333333328</v>
      </c>
      <c r="BL11" s="1">
        <f t="shared" si="23"/>
        <v>2022</v>
      </c>
      <c r="BM11" s="271">
        <f t="shared" si="16"/>
        <v>701.49166666666656</v>
      </c>
      <c r="BN11" s="271">
        <f t="shared" si="16"/>
        <v>524.84999999999991</v>
      </c>
      <c r="BO11" s="271">
        <f t="shared" si="16"/>
        <v>420.72083333333353</v>
      </c>
      <c r="BP11" s="271">
        <f t="shared" si="16"/>
        <v>234.33333333333331</v>
      </c>
      <c r="BQ11" s="271">
        <f t="shared" si="16"/>
        <v>39.324999999999996</v>
      </c>
      <c r="BR11" s="271">
        <f t="shared" si="16"/>
        <v>0</v>
      </c>
      <c r="BS11" s="271">
        <f t="shared" si="16"/>
        <v>0</v>
      </c>
      <c r="BT11" s="271">
        <f t="shared" si="16"/>
        <v>0</v>
      </c>
      <c r="BU11" s="271">
        <f t="shared" si="16"/>
        <v>22.833333333333329</v>
      </c>
      <c r="BV11" s="271">
        <f t="shared" si="16"/>
        <v>147.2764492753623</v>
      </c>
      <c r="BW11" s="271">
        <f t="shared" si="16"/>
        <v>294.14166666666671</v>
      </c>
      <c r="BX11" s="271">
        <f t="shared" si="16"/>
        <v>461.12083333333328</v>
      </c>
      <c r="BZ11" s="1">
        <f t="shared" si="24"/>
        <v>2022</v>
      </c>
      <c r="CA11" s="271">
        <f t="shared" si="17"/>
        <v>639.49166666666679</v>
      </c>
      <c r="CB11" s="271">
        <f t="shared" si="17"/>
        <v>468.84999999999991</v>
      </c>
      <c r="CC11" s="271">
        <f t="shared" si="17"/>
        <v>358.72083333333347</v>
      </c>
      <c r="CD11" s="271">
        <f t="shared" si="17"/>
        <v>176.58749999999998</v>
      </c>
      <c r="CE11" s="271">
        <f t="shared" si="17"/>
        <v>14.399999999999993</v>
      </c>
      <c r="CF11" s="271">
        <f t="shared" si="17"/>
        <v>0</v>
      </c>
      <c r="CG11" s="271">
        <f t="shared" si="17"/>
        <v>0</v>
      </c>
      <c r="CH11" s="271">
        <f t="shared" si="17"/>
        <v>0</v>
      </c>
      <c r="CI11" s="271">
        <f t="shared" si="17"/>
        <v>8.5708333333333329</v>
      </c>
      <c r="CJ11" s="271">
        <f t="shared" si="17"/>
        <v>94.459782608695647</v>
      </c>
      <c r="CK11" s="271">
        <f t="shared" si="17"/>
        <v>238.41249999999999</v>
      </c>
      <c r="CL11" s="271">
        <f t="shared" si="17"/>
        <v>399.12083333333328</v>
      </c>
      <c r="CN11" s="1">
        <f t="shared" si="25"/>
        <v>2022</v>
      </c>
      <c r="CO11" s="271">
        <f t="shared" si="18"/>
        <v>577.49166666666656</v>
      </c>
      <c r="CP11" s="271">
        <f t="shared" si="18"/>
        <v>412.84999999999991</v>
      </c>
      <c r="CQ11" s="271">
        <f t="shared" si="18"/>
        <v>296.72083333333336</v>
      </c>
      <c r="CR11" s="271">
        <f t="shared" si="18"/>
        <v>123.04166666666666</v>
      </c>
      <c r="CS11" s="271">
        <f t="shared" si="18"/>
        <v>0.93333333333333179</v>
      </c>
      <c r="CT11" s="271">
        <f t="shared" si="18"/>
        <v>0</v>
      </c>
      <c r="CU11" s="271">
        <f t="shared" si="18"/>
        <v>0</v>
      </c>
      <c r="CV11" s="271">
        <f t="shared" si="18"/>
        <v>0</v>
      </c>
      <c r="CW11" s="271">
        <f t="shared" si="18"/>
        <v>2.1000000000000014</v>
      </c>
      <c r="CX11" s="271">
        <f t="shared" si="18"/>
        <v>52.855615942028983</v>
      </c>
      <c r="CY11" s="271">
        <f t="shared" si="18"/>
        <v>185.6583333333333</v>
      </c>
      <c r="CZ11" s="271">
        <f t="shared" si="18"/>
        <v>337.12083333333322</v>
      </c>
      <c r="DB11" s="1">
        <f t="shared" si="26"/>
        <v>2022</v>
      </c>
      <c r="DC11" s="271">
        <f t="shared" si="19"/>
        <v>515.49166666666679</v>
      </c>
      <c r="DD11" s="271">
        <f t="shared" si="19"/>
        <v>356.85</v>
      </c>
      <c r="DE11" s="271">
        <f t="shared" si="19"/>
        <v>236.04166666666666</v>
      </c>
      <c r="DF11" s="271">
        <f t="shared" si="19"/>
        <v>75.575000000000003</v>
      </c>
      <c r="DG11" s="271">
        <f t="shared" si="19"/>
        <v>0</v>
      </c>
      <c r="DH11" s="271">
        <f t="shared" si="19"/>
        <v>0</v>
      </c>
      <c r="DI11" s="271">
        <f t="shared" si="19"/>
        <v>0</v>
      </c>
      <c r="DJ11" s="271">
        <f t="shared" si="19"/>
        <v>0</v>
      </c>
      <c r="DK11" s="271">
        <f t="shared" si="19"/>
        <v>0</v>
      </c>
      <c r="DL11" s="271">
        <f t="shared" si="19"/>
        <v>23.659782608695654</v>
      </c>
      <c r="DM11" s="271">
        <f t="shared" si="19"/>
        <v>138.80000000000001</v>
      </c>
      <c r="DN11" s="271">
        <f t="shared" si="19"/>
        <v>275.12083333333322</v>
      </c>
      <c r="DP11" s="18">
        <f>'Monthly Data'!F11</f>
        <v>32633098.840061631</v>
      </c>
      <c r="DQ11" s="18">
        <f>'Monthly Data'!J11</f>
        <v>10006451.417295149</v>
      </c>
      <c r="DR11" s="18">
        <f>'Monthly Data'!N11</f>
        <v>25684615.714819368</v>
      </c>
      <c r="DS11" s="4">
        <f>'Monthly Data'!S11</f>
        <v>7283096.8853974789</v>
      </c>
      <c r="DT11" s="4">
        <f>'Monthly Data'!V11</f>
        <v>3429806.3555595707</v>
      </c>
      <c r="DU11" s="18">
        <f t="shared" si="7"/>
        <v>35748527.076179162</v>
      </c>
      <c r="DV11" s="18">
        <f t="shared" si="8"/>
        <v>9911575.8531355411</v>
      </c>
      <c r="DW11" s="18">
        <f t="shared" si="9"/>
        <v>24269755.268266249</v>
      </c>
      <c r="DX11" s="18">
        <f t="shared" si="10"/>
        <v>6838548.3159011621</v>
      </c>
      <c r="DY11" s="18">
        <f t="shared" si="11"/>
        <v>3124612.7078287154</v>
      </c>
      <c r="ER11" s="24">
        <f>'Monthly Data'!F11/'Monthly Data'!G11/'Monthly Data'!CD11</f>
        <v>20.851354020875974</v>
      </c>
      <c r="ES11" s="259">
        <f>'Monthly Data'!J11/'Monthly Data'!K11/'Monthly Data'!CD11</f>
        <v>79.661588202521642</v>
      </c>
      <c r="ET11" s="24">
        <f>'Monthly Data'!N11/'Monthly Data'!P11/'Monthly Data'!CD11</f>
        <v>1605.6899046523736</v>
      </c>
      <c r="EU11" s="24">
        <f>'Monthly Data'!Q11/'Monthly Data'!U11/'Monthly Data'!CD11</f>
        <v>16805.747126630507</v>
      </c>
      <c r="EV11" s="24">
        <f>'Monthly Data'!V11/'Monthly Data'!Z11/'Monthly Data'!CD11</f>
        <v>110638.91469547003</v>
      </c>
      <c r="EW11" s="24"/>
      <c r="FG11" s="24"/>
    </row>
    <row r="12" spans="1:163" x14ac:dyDescent="0.25">
      <c r="A12" s="3">
        <v>42309</v>
      </c>
      <c r="B12" s="1">
        <v>2015</v>
      </c>
      <c r="C12" s="1">
        <v>11</v>
      </c>
      <c r="D12" s="263">
        <v>5.6076388888888893</v>
      </c>
      <c r="E12" s="263">
        <v>431.77083333333331</v>
      </c>
      <c r="F12" s="263">
        <v>0</v>
      </c>
      <c r="G12" s="263">
        <v>371.77083333333326</v>
      </c>
      <c r="H12" s="263">
        <v>0</v>
      </c>
      <c r="I12" s="263">
        <v>311.77083333333331</v>
      </c>
      <c r="J12" s="263">
        <v>0</v>
      </c>
      <c r="K12" s="263">
        <v>252.04166666666663</v>
      </c>
      <c r="L12" s="263">
        <v>0.27083333333333393</v>
      </c>
      <c r="M12" s="263">
        <v>195.30833333333331</v>
      </c>
      <c r="N12" s="263">
        <v>3.5374999999999979</v>
      </c>
      <c r="O12" s="263">
        <v>143.67916666666665</v>
      </c>
      <c r="P12" s="263">
        <v>11.908333333333333</v>
      </c>
      <c r="Q12" s="263">
        <v>99.970833333333317</v>
      </c>
      <c r="R12" s="263">
        <v>28.199999999999996</v>
      </c>
      <c r="U12" s="1">
        <f t="shared" si="20"/>
        <v>2023</v>
      </c>
      <c r="V12" s="271">
        <f t="shared" si="12"/>
        <v>666.07083333333355</v>
      </c>
      <c r="W12" s="271">
        <f t="shared" si="12"/>
        <v>629.43333333333328</v>
      </c>
      <c r="X12" s="271">
        <f t="shared" si="12"/>
        <v>613.0333333333333</v>
      </c>
      <c r="Y12" s="271">
        <f t="shared" si="12"/>
        <v>361.4</v>
      </c>
      <c r="Z12" s="271">
        <f t="shared" si="12"/>
        <v>219.04750000000001</v>
      </c>
      <c r="AA12" s="271">
        <f t="shared" si="12"/>
        <v>55.599999999999994</v>
      </c>
      <c r="AB12" s="271">
        <f t="shared" si="12"/>
        <v>7.3166666666666593</v>
      </c>
      <c r="AC12" s="271">
        <f t="shared" si="12"/>
        <v>32.211775362318839</v>
      </c>
      <c r="AD12" s="271">
        <f t="shared" si="12"/>
        <v>95.22083333333336</v>
      </c>
      <c r="AE12" s="271">
        <f t="shared" si="12"/>
        <v>261.85000000000002</v>
      </c>
      <c r="AF12" s="271">
        <f t="shared" si="12"/>
        <v>510.59311594202899</v>
      </c>
      <c r="AG12" s="271">
        <f t="shared" si="12"/>
        <v>551.67916666666667</v>
      </c>
      <c r="AJ12" s="1">
        <f t="shared" si="21"/>
        <v>2023</v>
      </c>
      <c r="AK12" s="271">
        <f t="shared" si="13"/>
        <v>604.07083333333344</v>
      </c>
      <c r="AL12" s="271">
        <f t="shared" si="13"/>
        <v>573.43333333333328</v>
      </c>
      <c r="AM12" s="271">
        <f t="shared" si="13"/>
        <v>551.03333333333342</v>
      </c>
      <c r="AN12" s="271">
        <f t="shared" si="13"/>
        <v>301.39999999999998</v>
      </c>
      <c r="AO12" s="271">
        <f t="shared" si="13"/>
        <v>163.56416666666669</v>
      </c>
      <c r="AP12" s="271">
        <f t="shared" si="13"/>
        <v>21.441666666666659</v>
      </c>
      <c r="AQ12" s="271">
        <f t="shared" si="13"/>
        <v>0.12499999999999645</v>
      </c>
      <c r="AR12" s="271">
        <f t="shared" si="13"/>
        <v>9.274999999999995</v>
      </c>
      <c r="AS12" s="271">
        <f t="shared" si="13"/>
        <v>47.591666666666676</v>
      </c>
      <c r="AT12" s="271">
        <f t="shared" si="13"/>
        <v>207.15416666666667</v>
      </c>
      <c r="AU12" s="271">
        <f t="shared" si="13"/>
        <v>450.59311594202899</v>
      </c>
      <c r="AV12" s="271">
        <f t="shared" si="13"/>
        <v>489.67916666666667</v>
      </c>
      <c r="AW12" s="411">
        <f t="shared" si="14"/>
        <v>3419.3614492753622</v>
      </c>
      <c r="AX12" s="1">
        <f t="shared" si="22"/>
        <v>2023</v>
      </c>
      <c r="AY12" s="271">
        <f t="shared" si="15"/>
        <v>542.07083333333333</v>
      </c>
      <c r="AZ12" s="271">
        <f t="shared" si="15"/>
        <v>517.43333333333328</v>
      </c>
      <c r="BA12" s="271">
        <f t="shared" si="15"/>
        <v>489.03333333333336</v>
      </c>
      <c r="BB12" s="271">
        <f t="shared" si="15"/>
        <v>243.15833333333336</v>
      </c>
      <c r="BC12" s="271">
        <f t="shared" si="15"/>
        <v>113.00166666666665</v>
      </c>
      <c r="BD12" s="271">
        <f t="shared" si="15"/>
        <v>4.2708333333333268</v>
      </c>
      <c r="BE12" s="271">
        <f t="shared" si="15"/>
        <v>0</v>
      </c>
      <c r="BF12" s="271">
        <f t="shared" si="15"/>
        <v>1.6125000000000007</v>
      </c>
      <c r="BG12" s="271">
        <f t="shared" si="15"/>
        <v>15.216666666666669</v>
      </c>
      <c r="BH12" s="271">
        <f t="shared" si="15"/>
        <v>157.42916666666665</v>
      </c>
      <c r="BI12" s="271">
        <f t="shared" si="15"/>
        <v>390.59311594202899</v>
      </c>
      <c r="BJ12" s="271">
        <f t="shared" si="15"/>
        <v>427.67916666666667</v>
      </c>
      <c r="BL12" s="1">
        <f t="shared" si="23"/>
        <v>2023</v>
      </c>
      <c r="BM12" s="271">
        <f t="shared" si="16"/>
        <v>480.07083333333327</v>
      </c>
      <c r="BN12" s="271">
        <f t="shared" si="16"/>
        <v>461.43333333333328</v>
      </c>
      <c r="BO12" s="271">
        <f t="shared" si="16"/>
        <v>427.0333333333333</v>
      </c>
      <c r="BP12" s="271">
        <f t="shared" si="16"/>
        <v>193.11666666666667</v>
      </c>
      <c r="BQ12" s="271">
        <f t="shared" si="16"/>
        <v>68.776666666666671</v>
      </c>
      <c r="BR12" s="271">
        <f t="shared" si="16"/>
        <v>0</v>
      </c>
      <c r="BS12" s="271">
        <f t="shared" si="16"/>
        <v>0</v>
      </c>
      <c r="BT12" s="271">
        <f t="shared" si="16"/>
        <v>0</v>
      </c>
      <c r="BU12" s="271">
        <f t="shared" si="16"/>
        <v>2.3583333333333378</v>
      </c>
      <c r="BV12" s="271">
        <f t="shared" si="16"/>
        <v>111.18333333333332</v>
      </c>
      <c r="BW12" s="271">
        <f t="shared" si="16"/>
        <v>330.59311594202904</v>
      </c>
      <c r="BX12" s="271">
        <f t="shared" si="16"/>
        <v>365.67916666666667</v>
      </c>
      <c r="BZ12" s="1">
        <f t="shared" si="24"/>
        <v>2023</v>
      </c>
      <c r="CA12" s="271">
        <f t="shared" si="17"/>
        <v>418.07083333333327</v>
      </c>
      <c r="CB12" s="271">
        <f t="shared" si="17"/>
        <v>405.43333333333328</v>
      </c>
      <c r="CC12" s="271">
        <f t="shared" si="17"/>
        <v>365.03333333333336</v>
      </c>
      <c r="CD12" s="271">
        <f t="shared" si="17"/>
        <v>144.11666666666667</v>
      </c>
      <c r="CE12" s="271">
        <f t="shared" si="17"/>
        <v>37.480833333333329</v>
      </c>
      <c r="CF12" s="271">
        <f t="shared" si="17"/>
        <v>0</v>
      </c>
      <c r="CG12" s="271">
        <f t="shared" si="17"/>
        <v>0</v>
      </c>
      <c r="CH12" s="271">
        <f t="shared" si="17"/>
        <v>0</v>
      </c>
      <c r="CI12" s="271">
        <f t="shared" si="17"/>
        <v>0</v>
      </c>
      <c r="CJ12" s="271">
        <f t="shared" si="17"/>
        <v>68.475000000000009</v>
      </c>
      <c r="CK12" s="271">
        <f t="shared" si="17"/>
        <v>270.59311594202899</v>
      </c>
      <c r="CL12" s="271">
        <f t="shared" si="17"/>
        <v>303.67916666666667</v>
      </c>
      <c r="CN12" s="1">
        <f t="shared" si="25"/>
        <v>2023</v>
      </c>
      <c r="CO12" s="271">
        <f t="shared" si="18"/>
        <v>356.07083333333321</v>
      </c>
      <c r="CP12" s="271">
        <f t="shared" si="18"/>
        <v>349.43333333333328</v>
      </c>
      <c r="CQ12" s="271">
        <f t="shared" si="18"/>
        <v>303.03333333333342</v>
      </c>
      <c r="CR12" s="271">
        <f t="shared" si="18"/>
        <v>98.574999999999989</v>
      </c>
      <c r="CS12" s="271">
        <f t="shared" si="18"/>
        <v>20.284999999999989</v>
      </c>
      <c r="CT12" s="271">
        <f t="shared" si="18"/>
        <v>0</v>
      </c>
      <c r="CU12" s="271">
        <f t="shared" si="18"/>
        <v>0</v>
      </c>
      <c r="CV12" s="271">
        <f t="shared" si="18"/>
        <v>0</v>
      </c>
      <c r="CW12" s="271">
        <f t="shared" si="18"/>
        <v>0</v>
      </c>
      <c r="CX12" s="271">
        <f t="shared" si="18"/>
        <v>37.779166666666669</v>
      </c>
      <c r="CY12" s="271">
        <f t="shared" si="18"/>
        <v>210.95561594202897</v>
      </c>
      <c r="CZ12" s="271">
        <f t="shared" si="18"/>
        <v>241.67916666666659</v>
      </c>
      <c r="DB12" s="1">
        <f t="shared" si="26"/>
        <v>2023</v>
      </c>
      <c r="DC12" s="271">
        <f t="shared" si="19"/>
        <v>294.07083333333327</v>
      </c>
      <c r="DD12" s="271">
        <f t="shared" si="19"/>
        <v>293.51666666666665</v>
      </c>
      <c r="DE12" s="271">
        <f t="shared" si="19"/>
        <v>241.03333333333333</v>
      </c>
      <c r="DF12" s="271">
        <f t="shared" si="19"/>
        <v>58.116666666666674</v>
      </c>
      <c r="DG12" s="271">
        <f t="shared" si="19"/>
        <v>7.2058333333333309</v>
      </c>
      <c r="DH12" s="271">
        <f t="shared" si="19"/>
        <v>0</v>
      </c>
      <c r="DI12" s="271">
        <f t="shared" si="19"/>
        <v>0</v>
      </c>
      <c r="DJ12" s="271">
        <f t="shared" si="19"/>
        <v>0</v>
      </c>
      <c r="DK12" s="271">
        <f t="shared" si="19"/>
        <v>0</v>
      </c>
      <c r="DL12" s="271">
        <f t="shared" si="19"/>
        <v>17.783333333333335</v>
      </c>
      <c r="DM12" s="271">
        <f t="shared" si="19"/>
        <v>153.42644927536227</v>
      </c>
      <c r="DN12" s="271">
        <f t="shared" si="19"/>
        <v>180.36666666666662</v>
      </c>
      <c r="DP12" s="18">
        <f>'Monthly Data'!F12</f>
        <v>36028748.529270537</v>
      </c>
      <c r="DQ12" s="18">
        <f>'Monthly Data'!J12</f>
        <v>10647674.270384375</v>
      </c>
      <c r="DR12" s="18">
        <f>'Monthly Data'!N12</f>
        <v>27097679.115704805</v>
      </c>
      <c r="DS12" s="4">
        <f>'Monthly Data'!S12</f>
        <v>7062113.5949656768</v>
      </c>
      <c r="DT12" s="4">
        <f>'Monthly Data'!V12</f>
        <v>3420382.304454477</v>
      </c>
      <c r="DU12" s="18">
        <f t="shared" si="7"/>
        <v>37944527.042227276</v>
      </c>
      <c r="DV12" s="18">
        <f t="shared" si="8"/>
        <v>10392348.97934277</v>
      </c>
      <c r="DW12" s="18">
        <f t="shared" si="9"/>
        <v>25759541.332251538</v>
      </c>
      <c r="DX12" s="18">
        <f t="shared" si="10"/>
        <v>6824948.6895892285</v>
      </c>
      <c r="DY12" s="18">
        <f t="shared" si="11"/>
        <v>3138283.167185029</v>
      </c>
      <c r="EK12" s="1" t="s">
        <v>145</v>
      </c>
      <c r="ER12" s="24">
        <f>'Monthly Data'!F12/'Monthly Data'!G12/'Monthly Data'!CD12</f>
        <v>23.549586922936996</v>
      </c>
      <c r="ES12" s="259">
        <f>'Monthly Data'!J12/'Monthly Data'!K12/'Monthly Data'!CD12</f>
        <v>87.311802135173224</v>
      </c>
      <c r="ET12" s="24">
        <f>'Monthly Data'!N12/'Monthly Data'!P12/'Monthly Data'!CD12</f>
        <v>1760.7328860107086</v>
      </c>
      <c r="EU12" s="24">
        <f>'Monthly Data'!Q12/'Monthly Data'!U12/'Monthly Data'!CD12</f>
        <v>16720.001621295949</v>
      </c>
      <c r="EV12" s="24">
        <f>'Monthly Data'!V12/'Monthly Data'!Z12/'Monthly Data'!CD12</f>
        <v>114012.74348181589</v>
      </c>
      <c r="EW12" s="24"/>
      <c r="FG12" s="24"/>
    </row>
    <row r="13" spans="1:163" x14ac:dyDescent="0.25">
      <c r="A13" s="3">
        <v>42339</v>
      </c>
      <c r="B13" s="1">
        <v>2015</v>
      </c>
      <c r="C13" s="1">
        <v>12</v>
      </c>
      <c r="D13" s="263">
        <v>3.8830352968676944</v>
      </c>
      <c r="E13" s="263">
        <v>499.62590579710155</v>
      </c>
      <c r="F13" s="263">
        <v>0</v>
      </c>
      <c r="G13" s="263">
        <v>437.62590579710155</v>
      </c>
      <c r="H13" s="263">
        <v>0</v>
      </c>
      <c r="I13" s="263">
        <v>375.6259057971015</v>
      </c>
      <c r="J13" s="263">
        <v>0</v>
      </c>
      <c r="K13" s="263">
        <v>313.62590579710144</v>
      </c>
      <c r="L13" s="263">
        <v>0</v>
      </c>
      <c r="M13" s="263">
        <v>251.62590579710138</v>
      </c>
      <c r="N13" s="263">
        <v>0</v>
      </c>
      <c r="O13" s="263">
        <v>190.49257246376811</v>
      </c>
      <c r="P13" s="263">
        <v>0.86666666666666714</v>
      </c>
      <c r="Q13" s="263">
        <v>134.45072463768119</v>
      </c>
      <c r="R13" s="263">
        <v>6.8248188405797094</v>
      </c>
      <c r="U13" s="1">
        <f t="shared" si="20"/>
        <v>2024</v>
      </c>
      <c r="V13" s="271">
        <f t="shared" si="12"/>
        <v>698.99583333333328</v>
      </c>
      <c r="W13" s="271">
        <f t="shared" si="12"/>
        <v>600.96666666666647</v>
      </c>
      <c r="X13" s="271">
        <f t="shared" si="12"/>
        <v>522.11249999999995</v>
      </c>
      <c r="Y13" s="271">
        <f t="shared" si="12"/>
        <v>368.29791666666671</v>
      </c>
      <c r="Z13" s="271">
        <f t="shared" si="12"/>
        <v>143.5708333333333</v>
      </c>
      <c r="AA13" s="271">
        <f t="shared" si="12"/>
        <v>60.86249999999999</v>
      </c>
      <c r="AB13" s="271">
        <f t="shared" si="12"/>
        <v>5.5666666666666629</v>
      </c>
      <c r="AC13" s="271">
        <f t="shared" si="12"/>
        <v>26.975000000000016</v>
      </c>
      <c r="AD13" s="271">
        <f t="shared" si="12"/>
        <v>69.33750000000002</v>
      </c>
      <c r="AE13" s="271">
        <f t="shared" si="12"/>
        <v>295.94166666666661</v>
      </c>
      <c r="AF13" s="271">
        <f t="shared" si="12"/>
        <v>426.29166666666663</v>
      </c>
      <c r="AG13" s="271">
        <f t="shared" si="12"/>
        <v>660.57500000000016</v>
      </c>
      <c r="AJ13" s="1">
        <f t="shared" si="21"/>
        <v>2024</v>
      </c>
      <c r="AK13" s="271">
        <f t="shared" si="13"/>
        <v>636.99583333333339</v>
      </c>
      <c r="AL13" s="271">
        <f t="shared" si="13"/>
        <v>542.96666666666658</v>
      </c>
      <c r="AM13" s="271">
        <f t="shared" si="13"/>
        <v>460.11250000000001</v>
      </c>
      <c r="AN13" s="271">
        <f t="shared" si="13"/>
        <v>308.29791666666665</v>
      </c>
      <c r="AO13" s="271">
        <f t="shared" si="13"/>
        <v>89.52916666666664</v>
      </c>
      <c r="AP13" s="271">
        <f t="shared" si="13"/>
        <v>31.570833333333319</v>
      </c>
      <c r="AQ13" s="271">
        <f t="shared" si="13"/>
        <v>0.32916666666666927</v>
      </c>
      <c r="AR13" s="271">
        <f t="shared" si="13"/>
        <v>8.2333333333333432</v>
      </c>
      <c r="AS13" s="271">
        <f t="shared" si="13"/>
        <v>29.36666666666666</v>
      </c>
      <c r="AT13" s="271">
        <f t="shared" si="13"/>
        <v>233.94166666666658</v>
      </c>
      <c r="AU13" s="271">
        <f t="shared" si="13"/>
        <v>366.29166666666663</v>
      </c>
      <c r="AV13" s="271">
        <f t="shared" si="13"/>
        <v>598.57499999999993</v>
      </c>
      <c r="AW13" s="411">
        <f t="shared" si="14"/>
        <v>3306.2104166666663</v>
      </c>
      <c r="AX13" s="1">
        <f t="shared" si="22"/>
        <v>2024</v>
      </c>
      <c r="AY13" s="271">
        <f t="shared" si="15"/>
        <v>574.99583333333339</v>
      </c>
      <c r="AZ13" s="271">
        <f t="shared" si="15"/>
        <v>484.96666666666658</v>
      </c>
      <c r="BA13" s="271">
        <f t="shared" si="15"/>
        <v>398.11250000000001</v>
      </c>
      <c r="BB13" s="271">
        <f t="shared" si="15"/>
        <v>248.29791666666665</v>
      </c>
      <c r="BC13" s="271">
        <f t="shared" si="15"/>
        <v>44.158333333333317</v>
      </c>
      <c r="BD13" s="271">
        <f t="shared" si="15"/>
        <v>10.312499999999995</v>
      </c>
      <c r="BE13" s="271">
        <f t="shared" si="15"/>
        <v>0</v>
      </c>
      <c r="BF13" s="271">
        <f t="shared" si="15"/>
        <v>1.7583333333333346</v>
      </c>
      <c r="BG13" s="271">
        <f t="shared" si="15"/>
        <v>10.920833333333333</v>
      </c>
      <c r="BH13" s="271">
        <f t="shared" si="15"/>
        <v>174.98749999999998</v>
      </c>
      <c r="BI13" s="271">
        <f t="shared" si="15"/>
        <v>307.79583333333329</v>
      </c>
      <c r="BJ13" s="271">
        <f t="shared" si="15"/>
        <v>536.57500000000005</v>
      </c>
      <c r="BL13" s="1">
        <f t="shared" si="23"/>
        <v>2024</v>
      </c>
      <c r="BM13" s="271">
        <f t="shared" si="16"/>
        <v>512.99583333333328</v>
      </c>
      <c r="BN13" s="271">
        <f t="shared" si="16"/>
        <v>426.96666666666664</v>
      </c>
      <c r="BO13" s="271">
        <f t="shared" si="16"/>
        <v>336.11249999999995</v>
      </c>
      <c r="BP13" s="271">
        <f t="shared" si="16"/>
        <v>188.29791666666671</v>
      </c>
      <c r="BQ13" s="271">
        <f t="shared" si="16"/>
        <v>15.562499999999984</v>
      </c>
      <c r="BR13" s="271">
        <f t="shared" si="16"/>
        <v>2.4583333333333321</v>
      </c>
      <c r="BS13" s="271">
        <f t="shared" si="16"/>
        <v>0</v>
      </c>
      <c r="BT13" s="271">
        <f t="shared" si="16"/>
        <v>0</v>
      </c>
      <c r="BU13" s="271">
        <f t="shared" si="16"/>
        <v>2.5625000000000036</v>
      </c>
      <c r="BV13" s="271">
        <f t="shared" si="16"/>
        <v>122.06250000000001</v>
      </c>
      <c r="BW13" s="271">
        <f t="shared" si="16"/>
        <v>251.79583333333335</v>
      </c>
      <c r="BX13" s="271">
        <f t="shared" si="16"/>
        <v>474.57499999999999</v>
      </c>
      <c r="BZ13" s="1">
        <f t="shared" si="24"/>
        <v>2024</v>
      </c>
      <c r="CA13" s="271">
        <f t="shared" si="17"/>
        <v>450.99583333333322</v>
      </c>
      <c r="CB13" s="271">
        <f t="shared" si="17"/>
        <v>368.96666666666664</v>
      </c>
      <c r="CC13" s="271">
        <f t="shared" si="17"/>
        <v>274.11250000000001</v>
      </c>
      <c r="CD13" s="271">
        <f t="shared" si="17"/>
        <v>130.68125000000001</v>
      </c>
      <c r="CE13" s="271">
        <f t="shared" si="17"/>
        <v>2.9208333333333272</v>
      </c>
      <c r="CF13" s="271">
        <f t="shared" si="17"/>
        <v>0</v>
      </c>
      <c r="CG13" s="271">
        <f t="shared" si="17"/>
        <v>0</v>
      </c>
      <c r="CH13" s="271">
        <f t="shared" si="17"/>
        <v>0</v>
      </c>
      <c r="CI13" s="271">
        <f t="shared" si="17"/>
        <v>0</v>
      </c>
      <c r="CJ13" s="271">
        <f t="shared" si="17"/>
        <v>79.04583333333332</v>
      </c>
      <c r="CK13" s="271">
        <f t="shared" si="17"/>
        <v>195.79583333333335</v>
      </c>
      <c r="CL13" s="271">
        <f t="shared" si="17"/>
        <v>412.57499999999999</v>
      </c>
      <c r="CN13" s="1">
        <f t="shared" si="25"/>
        <v>2024</v>
      </c>
      <c r="CO13" s="271">
        <f t="shared" si="18"/>
        <v>388.99583333333317</v>
      </c>
      <c r="CP13" s="271">
        <f t="shared" si="18"/>
        <v>310.9666666666667</v>
      </c>
      <c r="CQ13" s="271">
        <f t="shared" si="18"/>
        <v>212.11250000000004</v>
      </c>
      <c r="CR13" s="271">
        <f t="shared" si="18"/>
        <v>78.922916666666652</v>
      </c>
      <c r="CS13" s="271">
        <f t="shared" si="18"/>
        <v>0</v>
      </c>
      <c r="CT13" s="271">
        <f t="shared" si="18"/>
        <v>0</v>
      </c>
      <c r="CU13" s="271">
        <f t="shared" si="18"/>
        <v>0</v>
      </c>
      <c r="CV13" s="271">
        <f t="shared" si="18"/>
        <v>0</v>
      </c>
      <c r="CW13" s="271">
        <f t="shared" si="18"/>
        <v>0</v>
      </c>
      <c r="CX13" s="271">
        <f t="shared" si="18"/>
        <v>46.029166666666669</v>
      </c>
      <c r="CY13" s="271">
        <f t="shared" si="18"/>
        <v>141.32083333333335</v>
      </c>
      <c r="CZ13" s="271">
        <f t="shared" si="18"/>
        <v>350.57499999999993</v>
      </c>
      <c r="DB13" s="1">
        <f t="shared" si="26"/>
        <v>2024</v>
      </c>
      <c r="DC13" s="271">
        <f t="shared" si="19"/>
        <v>326.99583333333317</v>
      </c>
      <c r="DD13" s="271">
        <f t="shared" si="19"/>
        <v>252.9666666666667</v>
      </c>
      <c r="DE13" s="271">
        <f t="shared" si="19"/>
        <v>154.69166666666669</v>
      </c>
      <c r="DF13" s="271">
        <f t="shared" si="19"/>
        <v>41.093749999999993</v>
      </c>
      <c r="DG13" s="271">
        <f t="shared" si="19"/>
        <v>0</v>
      </c>
      <c r="DH13" s="271">
        <f t="shared" si="19"/>
        <v>0</v>
      </c>
      <c r="DI13" s="271">
        <f t="shared" si="19"/>
        <v>0</v>
      </c>
      <c r="DJ13" s="271">
        <f t="shared" si="19"/>
        <v>0</v>
      </c>
      <c r="DK13" s="271">
        <f t="shared" si="19"/>
        <v>0</v>
      </c>
      <c r="DL13" s="271">
        <f t="shared" si="19"/>
        <v>18.616666666666671</v>
      </c>
      <c r="DM13" s="271">
        <f t="shared" si="19"/>
        <v>93.433333333333351</v>
      </c>
      <c r="DN13" s="271">
        <f t="shared" si="19"/>
        <v>288.57499999999993</v>
      </c>
      <c r="DP13" s="18">
        <f>'Monthly Data'!F13</f>
        <v>40106687.746603891</v>
      </c>
      <c r="DQ13" s="18">
        <f>'Monthly Data'!J13</f>
        <v>11180504.450672537</v>
      </c>
      <c r="DR13" s="18">
        <f>'Monthly Data'!N13</f>
        <v>28956193.241493594</v>
      </c>
      <c r="DS13" s="4">
        <f>'Monthly Data'!S13</f>
        <v>6433930.9578759233</v>
      </c>
      <c r="DT13" s="4">
        <f>'Monthly Data'!V13</f>
        <v>2994161.9424792021</v>
      </c>
      <c r="DU13" s="18">
        <f t="shared" si="7"/>
        <v>39597631.087954842</v>
      </c>
      <c r="DV13" s="18">
        <f t="shared" si="8"/>
        <v>10745841.009867806</v>
      </c>
      <c r="DW13" s="18">
        <f t="shared" si="9"/>
        <v>26642400.628021087</v>
      </c>
      <c r="DX13" s="18">
        <f t="shared" si="10"/>
        <v>6832739.0338326525</v>
      </c>
      <c r="DY13" s="18">
        <f t="shared" si="11"/>
        <v>3149955.1344500128</v>
      </c>
      <c r="EK13" s="1" t="s">
        <v>146</v>
      </c>
      <c r="ER13" s="24">
        <f>'Monthly Data'!F13/'Monthly Data'!G13/'Monthly Data'!CD13</f>
        <v>25.137741093481065</v>
      </c>
      <c r="ES13" s="259">
        <f>'Monthly Data'!J13/'Monthly Data'!K13/'Monthly Data'!CD13</f>
        <v>88.527597911797372</v>
      </c>
      <c r="ET13" s="24">
        <f>'Monthly Data'!N13/'Monthly Data'!P13/'Monthly Data'!CD13</f>
        <v>1824.3569330578121</v>
      </c>
      <c r="EU13" s="24">
        <f>'Monthly Data'!Q13/'Monthly Data'!U13/'Monthly Data'!CD13</f>
        <v>14545.126118910161</v>
      </c>
      <c r="EV13" s="24">
        <f>'Monthly Data'!V13/'Monthly Data'!Z13/'Monthly Data'!CD13</f>
        <v>96585.869112232322</v>
      </c>
      <c r="EW13" s="24"/>
      <c r="FG13" s="24"/>
    </row>
    <row r="14" spans="1:163" x14ac:dyDescent="0.25">
      <c r="A14" s="3">
        <v>42370</v>
      </c>
      <c r="B14" s="1">
        <v>2016</v>
      </c>
      <c r="C14" s="1">
        <v>1</v>
      </c>
      <c r="D14" s="263">
        <v>-3.8025537634408595</v>
      </c>
      <c r="E14" s="263">
        <v>737.87916666666683</v>
      </c>
      <c r="F14" s="263">
        <v>0</v>
      </c>
      <c r="G14" s="263">
        <v>675.87916666666683</v>
      </c>
      <c r="H14" s="263">
        <v>0</v>
      </c>
      <c r="I14" s="263">
        <v>613.87916666666683</v>
      </c>
      <c r="J14" s="263">
        <v>0</v>
      </c>
      <c r="K14" s="263">
        <v>551.87916666666672</v>
      </c>
      <c r="L14" s="263">
        <v>0</v>
      </c>
      <c r="M14" s="263">
        <v>489.87916666666672</v>
      </c>
      <c r="N14" s="263">
        <v>0</v>
      </c>
      <c r="O14" s="263">
        <v>427.87916666666672</v>
      </c>
      <c r="P14" s="263">
        <v>0</v>
      </c>
      <c r="Q14" s="263">
        <v>365.87916666666672</v>
      </c>
      <c r="R14" s="263">
        <v>0</v>
      </c>
      <c r="U14" s="244">
        <f t="shared" si="20"/>
        <v>2025</v>
      </c>
      <c r="V14" s="412">
        <f>AVERAGE(V4:V13)</f>
        <v>759.33418478260865</v>
      </c>
      <c r="W14" s="412">
        <f>AVERAGE(W4:W13)</f>
        <v>680.85501811594202</v>
      </c>
      <c r="X14" s="412">
        <f>AVERAGE(X4:X13)</f>
        <v>608.13298913043479</v>
      </c>
      <c r="Y14" s="412">
        <f t="shared" ref="Y14:AG14" si="27">AVERAGE(Y4:Y13)</f>
        <v>412.37941287878795</v>
      </c>
      <c r="Z14" s="412">
        <f t="shared" si="27"/>
        <v>202.70273119310133</v>
      </c>
      <c r="AA14" s="412">
        <f t="shared" si="27"/>
        <v>66.09717382617383</v>
      </c>
      <c r="AB14" s="412">
        <f t="shared" si="27"/>
        <v>10.249063146997932</v>
      </c>
      <c r="AC14" s="412">
        <f t="shared" si="27"/>
        <v>21.194927536231887</v>
      </c>
      <c r="AD14" s="412">
        <f t="shared" si="27"/>
        <v>96.735690993788822</v>
      </c>
      <c r="AE14" s="412">
        <f t="shared" si="27"/>
        <v>298.21097826086958</v>
      </c>
      <c r="AF14" s="412">
        <f t="shared" si="27"/>
        <v>486.62991389045737</v>
      </c>
      <c r="AG14" s="412">
        <f t="shared" si="27"/>
        <v>639.92800724637686</v>
      </c>
      <c r="AJ14" s="244">
        <f t="shared" si="21"/>
        <v>2025</v>
      </c>
      <c r="AK14" s="412">
        <f>AVERAGE(AK4:AK13)</f>
        <v>697.33418478260876</v>
      </c>
      <c r="AL14" s="412">
        <f>AVERAGE(AL4:AL13)</f>
        <v>624.25501811594188</v>
      </c>
      <c r="AM14" s="412">
        <f>AVERAGE(AM4:AM13)</f>
        <v>546.13298913043491</v>
      </c>
      <c r="AN14" s="412">
        <f t="shared" ref="AN14:AV14" si="28">AVERAGE(AN4:AN13)</f>
        <v>352.41399621212122</v>
      </c>
      <c r="AO14" s="412">
        <f t="shared" si="28"/>
        <v>150.136897859768</v>
      </c>
      <c r="AP14" s="412">
        <f t="shared" si="28"/>
        <v>32.520923826173821</v>
      </c>
      <c r="AQ14" s="412">
        <f t="shared" si="28"/>
        <v>1.6179166666666653</v>
      </c>
      <c r="AR14" s="412">
        <f t="shared" si="28"/>
        <v>5.6499999999999977</v>
      </c>
      <c r="AS14" s="412">
        <f t="shared" si="28"/>
        <v>54.959440993788824</v>
      </c>
      <c r="AT14" s="412">
        <f t="shared" si="28"/>
        <v>237.89681159420289</v>
      </c>
      <c r="AU14" s="412">
        <f t="shared" si="28"/>
        <v>426.62991389045737</v>
      </c>
      <c r="AV14" s="412">
        <f t="shared" si="28"/>
        <v>577.92800724637686</v>
      </c>
      <c r="AW14" s="411">
        <f>SUM(AK14:AV14)</f>
        <v>3707.4761003185413</v>
      </c>
      <c r="AX14" s="244">
        <f t="shared" si="22"/>
        <v>2025</v>
      </c>
      <c r="AY14" s="412">
        <f>AVERAGE(AY4:AY13)</f>
        <v>635.33418478260876</v>
      </c>
      <c r="AZ14" s="412">
        <f>AVERAGE(AZ4:AZ13)</f>
        <v>567.65501811594208</v>
      </c>
      <c r="BA14" s="412">
        <f>AVERAGE(BA4:BA13)</f>
        <v>484.13298913043479</v>
      </c>
      <c r="BB14" s="412">
        <f t="shared" ref="BB14:BJ14" si="29">AVERAGE(BB4:BB13)</f>
        <v>292.81107954545462</v>
      </c>
      <c r="BC14" s="412">
        <f t="shared" si="29"/>
        <v>103.25939244851259</v>
      </c>
      <c r="BD14" s="412">
        <f t="shared" si="29"/>
        <v>11.89069871794872</v>
      </c>
      <c r="BE14" s="412">
        <f t="shared" si="29"/>
        <v>7.4583333333333002E-2</v>
      </c>
      <c r="BF14" s="412">
        <f t="shared" si="29"/>
        <v>0.75041666666666718</v>
      </c>
      <c r="BG14" s="412">
        <f t="shared" si="29"/>
        <v>26.342536231884061</v>
      </c>
      <c r="BH14" s="412">
        <f t="shared" si="29"/>
        <v>181.36347826086953</v>
      </c>
      <c r="BI14" s="412">
        <f t="shared" si="29"/>
        <v>366.78033055712399</v>
      </c>
      <c r="BJ14" s="412">
        <f t="shared" si="29"/>
        <v>515.92800724637686</v>
      </c>
      <c r="BL14" s="244">
        <f t="shared" si="23"/>
        <v>2025</v>
      </c>
      <c r="BM14" s="412">
        <f>AVERAGE(BM4:BM13)</f>
        <v>573.33418478260865</v>
      </c>
      <c r="BN14" s="412">
        <f>AVERAGE(BN4:BN13)</f>
        <v>511.05501811594206</v>
      </c>
      <c r="BO14" s="412">
        <f>AVERAGE(BO4:BO13)</f>
        <v>422.13298913043479</v>
      </c>
      <c r="BP14" s="412">
        <f t="shared" ref="BP14:BX14" si="30">AVERAGE(BP4:BP13)</f>
        <v>234.57024621212122</v>
      </c>
      <c r="BQ14" s="412">
        <f t="shared" si="30"/>
        <v>64.294809115179262</v>
      </c>
      <c r="BR14" s="412">
        <f t="shared" si="30"/>
        <v>3.2341666666666669</v>
      </c>
      <c r="BS14" s="412">
        <f t="shared" si="30"/>
        <v>0</v>
      </c>
      <c r="BT14" s="412">
        <f t="shared" si="30"/>
        <v>0</v>
      </c>
      <c r="BU14" s="412">
        <f t="shared" si="30"/>
        <v>10.413369565217392</v>
      </c>
      <c r="BV14" s="412">
        <f t="shared" si="30"/>
        <v>130.19639492753623</v>
      </c>
      <c r="BW14" s="412">
        <f t="shared" si="30"/>
        <v>307.43824722379077</v>
      </c>
      <c r="BX14" s="412">
        <f t="shared" si="30"/>
        <v>453.92800724637681</v>
      </c>
      <c r="BZ14" s="244">
        <f t="shared" si="24"/>
        <v>2025</v>
      </c>
      <c r="CA14" s="412">
        <f>AVERAGE(CA4:CA13)</f>
        <v>511.33418478260876</v>
      </c>
      <c r="CB14" s="412">
        <f t="shared" ref="CB14:CL14" si="31">AVERAGE(CB4:CB13)</f>
        <v>454.45501811594193</v>
      </c>
      <c r="CC14" s="412">
        <f t="shared" si="31"/>
        <v>360.16257246376813</v>
      </c>
      <c r="CD14" s="412">
        <f t="shared" si="31"/>
        <v>178.02149621212124</v>
      </c>
      <c r="CE14" s="412">
        <f t="shared" si="31"/>
        <v>35.998420226290364</v>
      </c>
      <c r="CF14" s="412">
        <f t="shared" si="31"/>
        <v>0.5225000000000003</v>
      </c>
      <c r="CG14" s="412">
        <f t="shared" si="31"/>
        <v>0</v>
      </c>
      <c r="CH14" s="412">
        <f t="shared" si="31"/>
        <v>0</v>
      </c>
      <c r="CI14" s="412">
        <f t="shared" si="31"/>
        <v>2.6674999999999995</v>
      </c>
      <c r="CJ14" s="412">
        <f t="shared" si="31"/>
        <v>85.537644927536221</v>
      </c>
      <c r="CK14" s="412">
        <f t="shared" si="31"/>
        <v>248.90783055712399</v>
      </c>
      <c r="CL14" s="412">
        <f t="shared" si="31"/>
        <v>391.92800724637681</v>
      </c>
      <c r="CN14" s="244">
        <f t="shared" si="25"/>
        <v>2025</v>
      </c>
      <c r="CO14" s="412">
        <f>AVERAGE(CO4:CO13)</f>
        <v>449.33418478260865</v>
      </c>
      <c r="CP14" s="412">
        <f>AVERAGE(CP4:CP13)</f>
        <v>397.85501811594202</v>
      </c>
      <c r="CQ14" s="412">
        <f>AVERAGE(CQ4:CQ13)</f>
        <v>298.65173913043481</v>
      </c>
      <c r="CR14" s="412">
        <f t="shared" ref="CR14:CZ14" si="32">AVERAGE(CR4:CR13)</f>
        <v>125.17066287878788</v>
      </c>
      <c r="CS14" s="412">
        <f t="shared" si="32"/>
        <v>18.031833333333331</v>
      </c>
      <c r="CT14" s="412">
        <f t="shared" si="32"/>
        <v>9.7916666666666957E-2</v>
      </c>
      <c r="CU14" s="412">
        <f t="shared" si="32"/>
        <v>0</v>
      </c>
      <c r="CV14" s="412">
        <f t="shared" si="32"/>
        <v>0</v>
      </c>
      <c r="CW14" s="412">
        <f t="shared" si="32"/>
        <v>0.57166666666666666</v>
      </c>
      <c r="CX14" s="412">
        <f t="shared" si="32"/>
        <v>50.475978260869567</v>
      </c>
      <c r="CY14" s="412">
        <f t="shared" si="32"/>
        <v>192.26908055712403</v>
      </c>
      <c r="CZ14" s="412">
        <f t="shared" si="32"/>
        <v>330.0559239130435</v>
      </c>
      <c r="DB14" s="244">
        <f t="shared" si="26"/>
        <v>2025</v>
      </c>
      <c r="DC14" s="412">
        <f>AVERAGE(DC4:DC13)</f>
        <v>387.33418478260865</v>
      </c>
      <c r="DD14" s="412">
        <f>AVERAGE(DD4:DD13)</f>
        <v>341.39751811594203</v>
      </c>
      <c r="DE14" s="412">
        <f>AVERAGE(DE4:DE13)</f>
        <v>238.57840579710145</v>
      </c>
      <c r="DF14" s="412">
        <f t="shared" ref="DF14:DN14" si="33">AVERAGE(DF4:DF13)</f>
        <v>79.984412878787879</v>
      </c>
      <c r="DG14" s="412">
        <f t="shared" si="33"/>
        <v>7.2018333333333331</v>
      </c>
      <c r="DH14" s="412">
        <f t="shared" si="33"/>
        <v>0</v>
      </c>
      <c r="DI14" s="412">
        <f t="shared" si="33"/>
        <v>0</v>
      </c>
      <c r="DJ14" s="412">
        <f t="shared" si="33"/>
        <v>0</v>
      </c>
      <c r="DK14" s="412">
        <f t="shared" si="33"/>
        <v>0</v>
      </c>
      <c r="DL14" s="412">
        <f t="shared" si="33"/>
        <v>24.76139492753623</v>
      </c>
      <c r="DM14" s="412">
        <f t="shared" si="33"/>
        <v>140.02366389045739</v>
      </c>
      <c r="DN14" s="412">
        <f t="shared" si="33"/>
        <v>268.92048913043476</v>
      </c>
      <c r="DP14" s="18">
        <f>'Monthly Data'!F14</f>
        <v>44838756.596333042</v>
      </c>
      <c r="DQ14" s="18">
        <f>'Monthly Data'!J14</f>
        <v>12581251.383190688</v>
      </c>
      <c r="DR14" s="18">
        <f>'Monthly Data'!N14</f>
        <v>32424680.392063037</v>
      </c>
      <c r="DS14" s="4">
        <f>'Monthly Data'!S14</f>
        <v>7305107.8312721383</v>
      </c>
      <c r="DT14" s="4">
        <f>'Monthly Data'!V14</f>
        <v>3215727.4106118553</v>
      </c>
      <c r="DU14" s="18">
        <f t="shared" si="7"/>
        <v>46955499.855967805</v>
      </c>
      <c r="DV14" s="18">
        <f t="shared" si="8"/>
        <v>12078354.53410987</v>
      </c>
      <c r="DW14" s="18">
        <f t="shared" si="9"/>
        <v>31399505.460555904</v>
      </c>
      <c r="DX14" s="18">
        <f t="shared" si="10"/>
        <v>6873885.9478889257</v>
      </c>
      <c r="DY14" s="18">
        <f t="shared" si="11"/>
        <v>3200924.2415255629</v>
      </c>
      <c r="EK14" s="1" t="s">
        <v>147</v>
      </c>
      <c r="ER14" s="24">
        <f>'Monthly Data'!F14/'Monthly Data'!G14/'Monthly Data'!CD14</f>
        <v>31.295415273432805</v>
      </c>
      <c r="ES14" s="259">
        <f>'Monthly Data'!J14/'Monthly Data'!K14/'Monthly Data'!CD14</f>
        <v>99.423522492063412</v>
      </c>
      <c r="ET14" s="24">
        <f>'Monthly Data'!N14/'Monthly Data'!P14/'Monthly Data'!CD14</f>
        <v>2034.9366381362518</v>
      </c>
      <c r="EU14" s="24">
        <f>'Monthly Data'!Q14/'Monthly Data'!U14/'Monthly Data'!CD14</f>
        <v>16516.686356905797</v>
      </c>
      <c r="EV14" s="24">
        <f>'Monthly Data'!V14/'Monthly Data'!Z14/'Monthly Data'!CD14</f>
        <v>103733.14227780179</v>
      </c>
      <c r="EW14" s="24"/>
      <c r="FG14" s="24"/>
    </row>
    <row r="15" spans="1:163" x14ac:dyDescent="0.25">
      <c r="A15" s="3">
        <v>42401</v>
      </c>
      <c r="B15" s="1">
        <v>2016</v>
      </c>
      <c r="C15" s="1">
        <v>2</v>
      </c>
      <c r="D15" s="263">
        <v>-2.8175287356321834</v>
      </c>
      <c r="E15" s="263">
        <v>661.70833333333326</v>
      </c>
      <c r="F15" s="263">
        <v>0</v>
      </c>
      <c r="G15" s="263">
        <v>603.70833333333337</v>
      </c>
      <c r="H15" s="263">
        <v>0</v>
      </c>
      <c r="I15" s="263">
        <v>545.70833333333337</v>
      </c>
      <c r="J15" s="263">
        <v>0</v>
      </c>
      <c r="K15" s="263">
        <v>487.70833333333337</v>
      </c>
      <c r="L15" s="263">
        <v>0</v>
      </c>
      <c r="M15" s="263">
        <v>429.70833333333337</v>
      </c>
      <c r="N15" s="263">
        <v>0</v>
      </c>
      <c r="O15" s="263">
        <v>371.70833333333337</v>
      </c>
      <c r="P15" s="263">
        <v>0</v>
      </c>
      <c r="Q15" s="263">
        <v>313.70833333333326</v>
      </c>
      <c r="R15" s="263">
        <v>0</v>
      </c>
      <c r="U15" s="244">
        <f t="shared" si="20"/>
        <v>2026</v>
      </c>
      <c r="V15" s="412">
        <f>V14</f>
        <v>759.33418478260865</v>
      </c>
      <c r="W15" s="412">
        <f t="shared" ref="W15:AG15" si="34">W14</f>
        <v>680.85501811594202</v>
      </c>
      <c r="X15" s="412">
        <f t="shared" si="34"/>
        <v>608.13298913043479</v>
      </c>
      <c r="Y15" s="412">
        <f t="shared" si="34"/>
        <v>412.37941287878795</v>
      </c>
      <c r="Z15" s="412">
        <f t="shared" si="34"/>
        <v>202.70273119310133</v>
      </c>
      <c r="AA15" s="412">
        <f t="shared" si="34"/>
        <v>66.09717382617383</v>
      </c>
      <c r="AB15" s="412">
        <f t="shared" si="34"/>
        <v>10.249063146997932</v>
      </c>
      <c r="AC15" s="412">
        <f t="shared" si="34"/>
        <v>21.194927536231887</v>
      </c>
      <c r="AD15" s="412">
        <f t="shared" si="34"/>
        <v>96.735690993788822</v>
      </c>
      <c r="AE15" s="412">
        <f t="shared" si="34"/>
        <v>298.21097826086958</v>
      </c>
      <c r="AF15" s="412">
        <f t="shared" si="34"/>
        <v>486.62991389045737</v>
      </c>
      <c r="AG15" s="412">
        <f t="shared" si="34"/>
        <v>639.92800724637686</v>
      </c>
      <c r="AJ15" s="244">
        <f t="shared" si="21"/>
        <v>2026</v>
      </c>
      <c r="AK15" s="412">
        <f>AK14</f>
        <v>697.33418478260876</v>
      </c>
      <c r="AL15" s="412">
        <f t="shared" ref="AL15:AV15" si="35">AL14</f>
        <v>624.25501811594188</v>
      </c>
      <c r="AM15" s="412">
        <f t="shared" si="35"/>
        <v>546.13298913043491</v>
      </c>
      <c r="AN15" s="412">
        <f t="shared" si="35"/>
        <v>352.41399621212122</v>
      </c>
      <c r="AO15" s="412">
        <f t="shared" si="35"/>
        <v>150.136897859768</v>
      </c>
      <c r="AP15" s="412">
        <f t="shared" si="35"/>
        <v>32.520923826173821</v>
      </c>
      <c r="AQ15" s="412">
        <f t="shared" si="35"/>
        <v>1.6179166666666653</v>
      </c>
      <c r="AR15" s="412">
        <f t="shared" si="35"/>
        <v>5.6499999999999977</v>
      </c>
      <c r="AS15" s="412">
        <f t="shared" si="35"/>
        <v>54.959440993788824</v>
      </c>
      <c r="AT15" s="412">
        <f t="shared" si="35"/>
        <v>237.89681159420289</v>
      </c>
      <c r="AU15" s="412">
        <f t="shared" si="35"/>
        <v>426.62991389045737</v>
      </c>
      <c r="AV15" s="412">
        <f t="shared" si="35"/>
        <v>577.92800724637686</v>
      </c>
      <c r="AW15" s="411">
        <f>SUM(AK15:AV15)</f>
        <v>3707.4761003185413</v>
      </c>
      <c r="AX15" s="244">
        <f t="shared" si="22"/>
        <v>2026</v>
      </c>
      <c r="AY15" s="412">
        <f>AY14</f>
        <v>635.33418478260876</v>
      </c>
      <c r="AZ15" s="412">
        <f t="shared" ref="AZ15:BJ15" si="36">AZ14</f>
        <v>567.65501811594208</v>
      </c>
      <c r="BA15" s="412">
        <f t="shared" si="36"/>
        <v>484.13298913043479</v>
      </c>
      <c r="BB15" s="412">
        <f t="shared" si="36"/>
        <v>292.81107954545462</v>
      </c>
      <c r="BC15" s="412">
        <f t="shared" si="36"/>
        <v>103.25939244851259</v>
      </c>
      <c r="BD15" s="412">
        <f t="shared" si="36"/>
        <v>11.89069871794872</v>
      </c>
      <c r="BE15" s="412">
        <f t="shared" si="36"/>
        <v>7.4583333333333002E-2</v>
      </c>
      <c r="BF15" s="412">
        <f t="shared" si="36"/>
        <v>0.75041666666666718</v>
      </c>
      <c r="BG15" s="412">
        <f t="shared" si="36"/>
        <v>26.342536231884061</v>
      </c>
      <c r="BH15" s="412">
        <f t="shared" si="36"/>
        <v>181.36347826086953</v>
      </c>
      <c r="BI15" s="412">
        <f t="shared" si="36"/>
        <v>366.78033055712399</v>
      </c>
      <c r="BJ15" s="412">
        <f t="shared" si="36"/>
        <v>515.92800724637686</v>
      </c>
      <c r="BL15" s="244">
        <f t="shared" si="23"/>
        <v>2026</v>
      </c>
      <c r="BM15" s="412">
        <f>BM14</f>
        <v>573.33418478260865</v>
      </c>
      <c r="BN15" s="412">
        <f t="shared" ref="BN15:BX15" si="37">BN14</f>
        <v>511.05501811594206</v>
      </c>
      <c r="BO15" s="412">
        <f t="shared" si="37"/>
        <v>422.13298913043479</v>
      </c>
      <c r="BP15" s="412">
        <f t="shared" si="37"/>
        <v>234.57024621212122</v>
      </c>
      <c r="BQ15" s="412">
        <f t="shared" si="37"/>
        <v>64.294809115179262</v>
      </c>
      <c r="BR15" s="412">
        <f t="shared" si="37"/>
        <v>3.2341666666666669</v>
      </c>
      <c r="BS15" s="412">
        <f t="shared" si="37"/>
        <v>0</v>
      </c>
      <c r="BT15" s="412">
        <f t="shared" si="37"/>
        <v>0</v>
      </c>
      <c r="BU15" s="412">
        <f t="shared" si="37"/>
        <v>10.413369565217392</v>
      </c>
      <c r="BV15" s="412">
        <f t="shared" si="37"/>
        <v>130.19639492753623</v>
      </c>
      <c r="BW15" s="412">
        <f t="shared" si="37"/>
        <v>307.43824722379077</v>
      </c>
      <c r="BX15" s="412">
        <f t="shared" si="37"/>
        <v>453.92800724637681</v>
      </c>
      <c r="BZ15" s="244">
        <f t="shared" si="24"/>
        <v>2026</v>
      </c>
      <c r="CA15" s="412">
        <f t="shared" ref="CA15:CL15" si="38">CA14</f>
        <v>511.33418478260876</v>
      </c>
      <c r="CB15" s="412">
        <f t="shared" si="38"/>
        <v>454.45501811594193</v>
      </c>
      <c r="CC15" s="412">
        <f t="shared" si="38"/>
        <v>360.16257246376813</v>
      </c>
      <c r="CD15" s="412">
        <f t="shared" si="38"/>
        <v>178.02149621212124</v>
      </c>
      <c r="CE15" s="412">
        <f t="shared" si="38"/>
        <v>35.998420226290364</v>
      </c>
      <c r="CF15" s="412">
        <f t="shared" si="38"/>
        <v>0.5225000000000003</v>
      </c>
      <c r="CG15" s="412">
        <f t="shared" si="38"/>
        <v>0</v>
      </c>
      <c r="CH15" s="412">
        <f t="shared" si="38"/>
        <v>0</v>
      </c>
      <c r="CI15" s="412">
        <f t="shared" si="38"/>
        <v>2.6674999999999995</v>
      </c>
      <c r="CJ15" s="412">
        <f t="shared" si="38"/>
        <v>85.537644927536221</v>
      </c>
      <c r="CK15" s="412">
        <f t="shared" si="38"/>
        <v>248.90783055712399</v>
      </c>
      <c r="CL15" s="412">
        <f t="shared" si="38"/>
        <v>391.92800724637681</v>
      </c>
      <c r="CN15" s="244">
        <f t="shared" si="25"/>
        <v>2026</v>
      </c>
      <c r="CO15" s="412">
        <f t="shared" ref="CO15:CZ15" si="39">CO14</f>
        <v>449.33418478260865</v>
      </c>
      <c r="CP15" s="412">
        <f t="shared" si="39"/>
        <v>397.85501811594202</v>
      </c>
      <c r="CQ15" s="412">
        <f t="shared" si="39"/>
        <v>298.65173913043481</v>
      </c>
      <c r="CR15" s="412">
        <f t="shared" si="39"/>
        <v>125.17066287878788</v>
      </c>
      <c r="CS15" s="412">
        <f t="shared" si="39"/>
        <v>18.031833333333331</v>
      </c>
      <c r="CT15" s="412">
        <f t="shared" si="39"/>
        <v>9.7916666666666957E-2</v>
      </c>
      <c r="CU15" s="412">
        <f t="shared" si="39"/>
        <v>0</v>
      </c>
      <c r="CV15" s="412">
        <f t="shared" si="39"/>
        <v>0</v>
      </c>
      <c r="CW15" s="412">
        <f t="shared" si="39"/>
        <v>0.57166666666666666</v>
      </c>
      <c r="CX15" s="412">
        <f t="shared" si="39"/>
        <v>50.475978260869567</v>
      </c>
      <c r="CY15" s="412">
        <f t="shared" si="39"/>
        <v>192.26908055712403</v>
      </c>
      <c r="CZ15" s="412">
        <f t="shared" si="39"/>
        <v>330.0559239130435</v>
      </c>
      <c r="DB15" s="244">
        <f t="shared" si="26"/>
        <v>2026</v>
      </c>
      <c r="DC15" s="412">
        <f>DC14</f>
        <v>387.33418478260865</v>
      </c>
      <c r="DD15" s="412">
        <f t="shared" ref="DD15:DN15" si="40">DD14</f>
        <v>341.39751811594203</v>
      </c>
      <c r="DE15" s="412">
        <f t="shared" si="40"/>
        <v>238.57840579710145</v>
      </c>
      <c r="DF15" s="412">
        <f t="shared" si="40"/>
        <v>79.984412878787879</v>
      </c>
      <c r="DG15" s="412">
        <f t="shared" si="40"/>
        <v>7.2018333333333331</v>
      </c>
      <c r="DH15" s="412">
        <f t="shared" si="40"/>
        <v>0</v>
      </c>
      <c r="DI15" s="412">
        <f t="shared" si="40"/>
        <v>0</v>
      </c>
      <c r="DJ15" s="412">
        <f t="shared" si="40"/>
        <v>0</v>
      </c>
      <c r="DK15" s="412">
        <f t="shared" si="40"/>
        <v>0</v>
      </c>
      <c r="DL15" s="412">
        <f t="shared" si="40"/>
        <v>24.76139492753623</v>
      </c>
      <c r="DM15" s="412">
        <f t="shared" si="40"/>
        <v>140.02366389045739</v>
      </c>
      <c r="DN15" s="412">
        <f t="shared" si="40"/>
        <v>268.92048913043476</v>
      </c>
      <c r="DP15" s="18">
        <f>'Monthly Data'!F15</f>
        <v>44227635.344579577</v>
      </c>
      <c r="DQ15" s="18">
        <f>'Monthly Data'!J15</f>
        <v>11589929.271759877</v>
      </c>
      <c r="DR15" s="18">
        <f>'Monthly Data'!N15</f>
        <v>28882414.638769343</v>
      </c>
      <c r="DS15" s="4">
        <f>'Monthly Data'!S15</f>
        <v>7115237.8781808047</v>
      </c>
      <c r="DT15" s="4">
        <f>'Monthly Data'!V15</f>
        <v>3430298.1465842407</v>
      </c>
      <c r="DU15" s="18">
        <f t="shared" si="7"/>
        <v>44973740.745190352</v>
      </c>
      <c r="DV15" s="18">
        <f t="shared" si="8"/>
        <v>11697085.63964026</v>
      </c>
      <c r="DW15" s="18">
        <f t="shared" si="9"/>
        <v>30273870.950339552</v>
      </c>
      <c r="DX15" s="18">
        <f t="shared" si="10"/>
        <v>6863494.2995277457</v>
      </c>
      <c r="DY15" s="18">
        <f t="shared" si="11"/>
        <v>3188051.9994592909</v>
      </c>
      <c r="ER15" s="24">
        <f>'Monthly Data'!F15/'Monthly Data'!G15/'Monthly Data'!CD15</f>
        <v>32.70902230410114</v>
      </c>
      <c r="ES15" s="259">
        <f>'Monthly Data'!J15/'Monthly Data'!K15/'Monthly Data'!CD15</f>
        <v>96.791652581487341</v>
      </c>
      <c r="ET15" s="24">
        <f>'Monthly Data'!N15/'Monthly Data'!P15/'Monthly Data'!CD15</f>
        <v>1941.4139032580053</v>
      </c>
      <c r="EU15" s="24">
        <f>'Monthly Data'!Q15/'Monthly Data'!U15/'Monthly Data'!CD15</f>
        <v>17064.861127128912</v>
      </c>
      <c r="EV15" s="24">
        <f>'Monthly Data'!V15/'Monthly Data'!Z15/'Monthly Data'!CD15</f>
        <v>118286.14298566348</v>
      </c>
      <c r="EW15" s="24"/>
      <c r="FG15" s="24"/>
    </row>
    <row r="16" spans="1:163" x14ac:dyDescent="0.25">
      <c r="A16" s="3">
        <v>42430</v>
      </c>
      <c r="B16" s="1">
        <v>2016</v>
      </c>
      <c r="C16" s="1">
        <v>3</v>
      </c>
      <c r="D16" s="263">
        <v>1.3845371669004212</v>
      </c>
      <c r="E16" s="263">
        <v>577.07934782608709</v>
      </c>
      <c r="F16" s="263">
        <v>0</v>
      </c>
      <c r="G16" s="263">
        <v>515.07934782608686</v>
      </c>
      <c r="H16" s="263">
        <v>0</v>
      </c>
      <c r="I16" s="263">
        <v>453.07934782608692</v>
      </c>
      <c r="J16" s="263">
        <v>0</v>
      </c>
      <c r="K16" s="263">
        <v>391.07934782608697</v>
      </c>
      <c r="L16" s="263">
        <v>0</v>
      </c>
      <c r="M16" s="263">
        <v>329.07934782608692</v>
      </c>
      <c r="N16" s="263">
        <v>0</v>
      </c>
      <c r="O16" s="263">
        <v>267.07934782608692</v>
      </c>
      <c r="P16" s="263">
        <v>0</v>
      </c>
      <c r="Q16" s="263">
        <v>207.6751811594203</v>
      </c>
      <c r="R16" s="263">
        <v>2.595833333333335</v>
      </c>
      <c r="U16" s="1"/>
      <c r="DP16" s="18">
        <f>'Monthly Data'!F16</f>
        <v>38332383.641313039</v>
      </c>
      <c r="DQ16" s="18">
        <f>'Monthly Data'!J16</f>
        <v>11679242.54237907</v>
      </c>
      <c r="DR16" s="18">
        <f>'Monthly Data'!N16</f>
        <v>31071039.310371984</v>
      </c>
      <c r="DS16" s="4">
        <f>'Monthly Data'!S16</f>
        <v>7251476.8371827444</v>
      </c>
      <c r="DT16" s="4">
        <f>'Monthly Data'!V16</f>
        <v>3622320.7069886015</v>
      </c>
      <c r="DU16" s="18">
        <f t="shared" si="7"/>
        <v>41989591.055261105</v>
      </c>
      <c r="DV16" s="18">
        <f t="shared" si="8"/>
        <v>11179026.0946219</v>
      </c>
      <c r="DW16" s="18">
        <f t="shared" si="9"/>
        <v>28177160.079824608</v>
      </c>
      <c r="DX16" s="18">
        <f t="shared" si="10"/>
        <v>6846115.4304909706</v>
      </c>
      <c r="DY16" s="18">
        <f t="shared" si="11"/>
        <v>3166524.6150344005</v>
      </c>
      <c r="EL16" s="1" t="s">
        <v>148</v>
      </c>
      <c r="EM16" s="1" t="s">
        <v>149</v>
      </c>
      <c r="EN16" s="1" t="s">
        <v>150</v>
      </c>
      <c r="EO16" s="1" t="s">
        <v>151</v>
      </c>
      <c r="ER16" s="24">
        <f>'Monthly Data'!F16/'Monthly Data'!G16/'Monthly Data'!CD16</f>
        <v>26.32255842469527</v>
      </c>
      <c r="ES16" s="259">
        <f>'Monthly Data'!J16/'Monthly Data'!K16/'Monthly Data'!CD16</f>
        <v>90.848748355819367</v>
      </c>
      <c r="ET16" s="24">
        <f>'Monthly Data'!N16/'Monthly Data'!P16/'Monthly Data'!CD16</f>
        <v>1946.1972634119625</v>
      </c>
      <c r="EU16" s="24">
        <f>'Monthly Data'!Q16/'Monthly Data'!U16/'Monthly Data'!CD16</f>
        <v>16220.321588375775</v>
      </c>
      <c r="EV16" s="24">
        <f>'Monthly Data'!V16/'Monthly Data'!Z16/'Monthly Data'!CD16</f>
        <v>116849.05506414843</v>
      </c>
      <c r="EW16" s="24"/>
      <c r="FG16" s="24"/>
    </row>
    <row r="17" spans="1:163" x14ac:dyDescent="0.25">
      <c r="A17" s="3">
        <v>42461</v>
      </c>
      <c r="B17" s="1">
        <v>2016</v>
      </c>
      <c r="C17" s="1">
        <v>4</v>
      </c>
      <c r="D17" s="263">
        <v>4.4672222222222224</v>
      </c>
      <c r="E17" s="263">
        <v>465.98333333333341</v>
      </c>
      <c r="F17" s="263">
        <v>0</v>
      </c>
      <c r="G17" s="263">
        <v>405.98333333333341</v>
      </c>
      <c r="H17" s="263">
        <v>0</v>
      </c>
      <c r="I17" s="263">
        <v>345.98333333333335</v>
      </c>
      <c r="J17" s="263">
        <v>0</v>
      </c>
      <c r="K17" s="263">
        <v>286.81666666666661</v>
      </c>
      <c r="L17" s="263">
        <v>0.83333333333333393</v>
      </c>
      <c r="M17" s="263">
        <v>229.20416666666662</v>
      </c>
      <c r="N17" s="263">
        <v>3.2208333333333368</v>
      </c>
      <c r="O17" s="263">
        <v>175.33749999999998</v>
      </c>
      <c r="P17" s="263">
        <v>9.3541666666666732</v>
      </c>
      <c r="Q17" s="263">
        <v>127.94999999999997</v>
      </c>
      <c r="R17" s="263">
        <v>21.966666666666676</v>
      </c>
      <c r="U17" s="409" t="s">
        <v>52</v>
      </c>
      <c r="V17" s="410" t="s">
        <v>65</v>
      </c>
      <c r="W17" s="410" t="s">
        <v>66</v>
      </c>
      <c r="X17" s="410" t="s">
        <v>67</v>
      </c>
      <c r="Y17" s="410" t="s">
        <v>68</v>
      </c>
      <c r="Z17" s="410" t="s">
        <v>69</v>
      </c>
      <c r="AA17" s="410" t="s">
        <v>142</v>
      </c>
      <c r="AB17" s="410" t="s">
        <v>143</v>
      </c>
      <c r="AC17" s="410" t="s">
        <v>144</v>
      </c>
      <c r="AD17" s="410" t="s">
        <v>73</v>
      </c>
      <c r="AE17" s="410" t="s">
        <v>74</v>
      </c>
      <c r="AF17" s="410" t="s">
        <v>75</v>
      </c>
      <c r="AG17" s="410" t="s">
        <v>76</v>
      </c>
      <c r="AJ17" s="409" t="s">
        <v>54</v>
      </c>
      <c r="AK17" s="410" t="s">
        <v>65</v>
      </c>
      <c r="AL17" s="410" t="s">
        <v>66</v>
      </c>
      <c r="AM17" s="410" t="s">
        <v>67</v>
      </c>
      <c r="AN17" s="410" t="s">
        <v>68</v>
      </c>
      <c r="AO17" s="410" t="s">
        <v>69</v>
      </c>
      <c r="AP17" s="410" t="s">
        <v>142</v>
      </c>
      <c r="AQ17" s="410" t="s">
        <v>143</v>
      </c>
      <c r="AR17" s="410" t="s">
        <v>144</v>
      </c>
      <c r="AS17" s="410" t="s">
        <v>73</v>
      </c>
      <c r="AT17" s="410" t="s">
        <v>74</v>
      </c>
      <c r="AU17" s="410" t="s">
        <v>75</v>
      </c>
      <c r="AV17" s="410" t="s">
        <v>76</v>
      </c>
      <c r="AX17" s="409" t="s">
        <v>56</v>
      </c>
      <c r="AY17" s="410" t="s">
        <v>65</v>
      </c>
      <c r="AZ17" s="410" t="s">
        <v>66</v>
      </c>
      <c r="BA17" s="410" t="s">
        <v>67</v>
      </c>
      <c r="BB17" s="410" t="s">
        <v>68</v>
      </c>
      <c r="BC17" s="410" t="s">
        <v>69</v>
      </c>
      <c r="BD17" s="410" t="s">
        <v>142</v>
      </c>
      <c r="BE17" s="410" t="s">
        <v>143</v>
      </c>
      <c r="BF17" s="410" t="s">
        <v>144</v>
      </c>
      <c r="BG17" s="410" t="s">
        <v>73</v>
      </c>
      <c r="BH17" s="410" t="s">
        <v>74</v>
      </c>
      <c r="BI17" s="410" t="s">
        <v>75</v>
      </c>
      <c r="BJ17" s="410" t="s">
        <v>76</v>
      </c>
      <c r="BL17" s="409" t="s">
        <v>58</v>
      </c>
      <c r="BM17" s="410" t="s">
        <v>65</v>
      </c>
      <c r="BN17" s="410" t="s">
        <v>66</v>
      </c>
      <c r="BO17" s="410" t="s">
        <v>67</v>
      </c>
      <c r="BP17" s="410" t="s">
        <v>68</v>
      </c>
      <c r="BQ17" s="410" t="s">
        <v>69</v>
      </c>
      <c r="BR17" s="410" t="s">
        <v>142</v>
      </c>
      <c r="BS17" s="410" t="s">
        <v>143</v>
      </c>
      <c r="BT17" s="410" t="s">
        <v>144</v>
      </c>
      <c r="BU17" s="410" t="s">
        <v>73</v>
      </c>
      <c r="BV17" s="410" t="s">
        <v>74</v>
      </c>
      <c r="BW17" s="410" t="s">
        <v>75</v>
      </c>
      <c r="BX17" s="410" t="s">
        <v>76</v>
      </c>
      <c r="BZ17" s="409" t="s">
        <v>60</v>
      </c>
      <c r="CA17" s="410" t="s">
        <v>65</v>
      </c>
      <c r="CB17" s="410" t="s">
        <v>66</v>
      </c>
      <c r="CC17" s="410" t="s">
        <v>67</v>
      </c>
      <c r="CD17" s="410" t="s">
        <v>68</v>
      </c>
      <c r="CE17" s="410" t="s">
        <v>69</v>
      </c>
      <c r="CF17" s="410" t="s">
        <v>142</v>
      </c>
      <c r="CG17" s="410" t="s">
        <v>143</v>
      </c>
      <c r="CH17" s="410" t="s">
        <v>144</v>
      </c>
      <c r="CI17" s="410" t="s">
        <v>73</v>
      </c>
      <c r="CJ17" s="410" t="s">
        <v>74</v>
      </c>
      <c r="CK17" s="410" t="s">
        <v>75</v>
      </c>
      <c r="CL17" s="410" t="s">
        <v>76</v>
      </c>
      <c r="CN17" s="409" t="s">
        <v>62</v>
      </c>
      <c r="CO17" s="410" t="s">
        <v>65</v>
      </c>
      <c r="CP17" s="410" t="s">
        <v>66</v>
      </c>
      <c r="CQ17" s="410" t="s">
        <v>67</v>
      </c>
      <c r="CR17" s="410" t="s">
        <v>68</v>
      </c>
      <c r="CS17" s="410" t="s">
        <v>69</v>
      </c>
      <c r="CT17" s="410" t="s">
        <v>142</v>
      </c>
      <c r="CU17" s="410" t="s">
        <v>143</v>
      </c>
      <c r="CV17" s="410" t="s">
        <v>144</v>
      </c>
      <c r="CW17" s="410" t="s">
        <v>73</v>
      </c>
      <c r="CX17" s="410" t="s">
        <v>74</v>
      </c>
      <c r="CY17" s="410" t="s">
        <v>75</v>
      </c>
      <c r="CZ17" s="410" t="s">
        <v>76</v>
      </c>
      <c r="DB17" s="409" t="s">
        <v>64</v>
      </c>
      <c r="DC17" s="410" t="s">
        <v>65</v>
      </c>
      <c r="DD17" s="410" t="s">
        <v>66</v>
      </c>
      <c r="DE17" s="410" t="s">
        <v>67</v>
      </c>
      <c r="DF17" s="410" t="s">
        <v>68</v>
      </c>
      <c r="DG17" s="410" t="s">
        <v>69</v>
      </c>
      <c r="DH17" s="410" t="s">
        <v>142</v>
      </c>
      <c r="DI17" s="410" t="s">
        <v>143</v>
      </c>
      <c r="DJ17" s="410" t="s">
        <v>144</v>
      </c>
      <c r="DK17" s="410" t="s">
        <v>73</v>
      </c>
      <c r="DL17" s="410" t="s">
        <v>74</v>
      </c>
      <c r="DM17" s="410" t="s">
        <v>75</v>
      </c>
      <c r="DN17" s="410" t="s">
        <v>76</v>
      </c>
      <c r="DP17" s="18">
        <f>'Monthly Data'!F17</f>
        <v>36524120.843347013</v>
      </c>
      <c r="DQ17" s="18">
        <f>'Monthly Data'!J17</f>
        <v>10411421.117584607</v>
      </c>
      <c r="DR17" s="18">
        <f>'Monthly Data'!N17</f>
        <v>25693792.188505106</v>
      </c>
      <c r="DS17" s="4">
        <f>'Monthly Data'!S17</f>
        <v>7163584.4082842655</v>
      </c>
      <c r="DT17" s="4">
        <f>'Monthly Data'!V17</f>
        <v>3453242.8504224992</v>
      </c>
      <c r="DU17" s="18">
        <f t="shared" si="7"/>
        <v>38996198.234642431</v>
      </c>
      <c r="DV17" s="18">
        <f t="shared" si="8"/>
        <v>10591253.110112613</v>
      </c>
      <c r="DW17" s="18">
        <f t="shared" si="9"/>
        <v>26389011.530602071</v>
      </c>
      <c r="DX17" s="18">
        <f t="shared" si="10"/>
        <v>6834823.1657533348</v>
      </c>
      <c r="DY17" s="18">
        <f t="shared" si="11"/>
        <v>3146315.270307675</v>
      </c>
      <c r="EK17" s="1" t="s">
        <v>152</v>
      </c>
      <c r="EL17" s="1">
        <v>29912062.677759599</v>
      </c>
      <c r="EM17" s="1">
        <v>1224166.23514176</v>
      </c>
      <c r="EN17" s="1">
        <v>24.434641161537701</v>
      </c>
      <c r="EO17" s="274">
        <v>1.4593587571050301E-47</v>
      </c>
      <c r="ER17" s="24">
        <f>'Monthly Data'!F17/'Monthly Data'!G17/'Monthly Data'!CD17</f>
        <v>25.617479111588295</v>
      </c>
      <c r="ES17" s="259">
        <f>'Monthly Data'!J17/'Monthly Data'!K17/'Monthly Data'!CD17</f>
        <v>83.444907570606773</v>
      </c>
      <c r="ET17" s="24">
        <f>'Monthly Data'!N17/'Monthly Data'!P17/'Monthly Data'!CD17</f>
        <v>1659.8056969318543</v>
      </c>
      <c r="EU17" s="24">
        <f>'Monthly Data'!Q17/'Monthly Data'!U17/'Monthly Data'!CD17</f>
        <v>16451.269660007321</v>
      </c>
      <c r="EV17" s="24">
        <f>'Monthly Data'!V17/'Monthly Data'!Z17/'Monthly Data'!CD17</f>
        <v>115108.0950140833</v>
      </c>
      <c r="EW17" s="24"/>
      <c r="FG17" s="24"/>
    </row>
    <row r="18" spans="1:163" x14ac:dyDescent="0.25">
      <c r="A18" s="3">
        <v>42491</v>
      </c>
      <c r="B18" s="1">
        <v>2016</v>
      </c>
      <c r="C18" s="1">
        <v>5</v>
      </c>
      <c r="D18" s="263">
        <v>13.718055555555555</v>
      </c>
      <c r="E18" s="263">
        <v>203.72361111111115</v>
      </c>
      <c r="F18" s="263">
        <v>8.9833333333333307</v>
      </c>
      <c r="G18" s="263">
        <v>154.58611111111114</v>
      </c>
      <c r="H18" s="263">
        <v>21.845833333333335</v>
      </c>
      <c r="I18" s="263">
        <v>111.69444444444443</v>
      </c>
      <c r="J18" s="263">
        <v>40.95416666666668</v>
      </c>
      <c r="K18" s="263">
        <v>75.344444444444463</v>
      </c>
      <c r="L18" s="263">
        <v>66.604166666666671</v>
      </c>
      <c r="M18" s="263">
        <v>45.036111111111126</v>
      </c>
      <c r="N18" s="263">
        <v>98.295833333333348</v>
      </c>
      <c r="O18" s="263">
        <v>18.829166666666676</v>
      </c>
      <c r="P18" s="263">
        <v>134.0888888888889</v>
      </c>
      <c r="Q18" s="263">
        <v>4.2083333333333348</v>
      </c>
      <c r="R18" s="263">
        <v>181.46805555555554</v>
      </c>
      <c r="U18" s="1">
        <f>U4</f>
        <v>2015</v>
      </c>
      <c r="V18" s="263">
        <f t="shared" ref="V18:AG27" si="41">SUMIFS($F:$F,$B:$B,$U18,$C:$C,V$2)</f>
        <v>0</v>
      </c>
      <c r="W18" s="263">
        <f t="shared" si="41"/>
        <v>0</v>
      </c>
      <c r="X18" s="263">
        <f t="shared" si="41"/>
        <v>0</v>
      </c>
      <c r="Y18" s="263">
        <f t="shared" si="41"/>
        <v>0</v>
      </c>
      <c r="Z18" s="263">
        <f t="shared" si="41"/>
        <v>0.39999999999999503</v>
      </c>
      <c r="AA18" s="263">
        <f t="shared" si="41"/>
        <v>2.7499999999999964</v>
      </c>
      <c r="AB18" s="263">
        <f t="shared" si="41"/>
        <v>45.524999999999991</v>
      </c>
      <c r="AC18" s="263">
        <f t="shared" si="41"/>
        <v>22.12916666666667</v>
      </c>
      <c r="AD18" s="263">
        <f t="shared" si="41"/>
        <v>27.916666666666675</v>
      </c>
      <c r="AE18" s="263">
        <f t="shared" si="41"/>
        <v>0</v>
      </c>
      <c r="AF18" s="263">
        <f t="shared" si="41"/>
        <v>0</v>
      </c>
      <c r="AG18" s="263">
        <f t="shared" si="41"/>
        <v>0</v>
      </c>
      <c r="AJ18" s="1">
        <f>AJ4</f>
        <v>2015</v>
      </c>
      <c r="AK18" s="263">
        <f t="shared" ref="AK18:AV27" si="42">SUMIFS($H:$H,$B:$B,$AJ18,$C:$C,AK$2)</f>
        <v>0</v>
      </c>
      <c r="AL18" s="263">
        <f t="shared" si="42"/>
        <v>0</v>
      </c>
      <c r="AM18" s="263">
        <f t="shared" si="42"/>
        <v>0</v>
      </c>
      <c r="AN18" s="263">
        <f t="shared" si="42"/>
        <v>0</v>
      </c>
      <c r="AO18" s="263">
        <f t="shared" si="42"/>
        <v>11.524999999999999</v>
      </c>
      <c r="AP18" s="263">
        <f t="shared" si="42"/>
        <v>14.537499999999991</v>
      </c>
      <c r="AQ18" s="263">
        <f t="shared" si="42"/>
        <v>87.624999999999986</v>
      </c>
      <c r="AR18" s="263">
        <f t="shared" si="42"/>
        <v>53.358333333333334</v>
      </c>
      <c r="AS18" s="263">
        <f t="shared" si="42"/>
        <v>51.55416666666666</v>
      </c>
      <c r="AT18" s="263">
        <f t="shared" si="42"/>
        <v>0</v>
      </c>
      <c r="AU18" s="263">
        <f t="shared" si="42"/>
        <v>0</v>
      </c>
      <c r="AV18" s="263">
        <f t="shared" si="42"/>
        <v>0</v>
      </c>
      <c r="AW18" s="411">
        <f t="shared" ref="AW18:AW26" si="43">SUM(AK18:AV18)</f>
        <v>218.59999999999997</v>
      </c>
      <c r="AX18" s="1">
        <f>AX4</f>
        <v>2015</v>
      </c>
      <c r="AY18" s="263">
        <f t="shared" ref="AY18:BJ27" si="44">SUMIFS($J:$J,$B:$B,$AX18,$C:$C,AY$2)</f>
        <v>0</v>
      </c>
      <c r="AZ18" s="263">
        <f t="shared" si="44"/>
        <v>0</v>
      </c>
      <c r="BA18" s="263">
        <f t="shared" si="44"/>
        <v>0</v>
      </c>
      <c r="BB18" s="263">
        <f t="shared" si="44"/>
        <v>0</v>
      </c>
      <c r="BC18" s="263">
        <f t="shared" si="44"/>
        <v>32.514880952380949</v>
      </c>
      <c r="BD18" s="263">
        <f t="shared" si="44"/>
        <v>47.337499999999999</v>
      </c>
      <c r="BE18" s="263">
        <f t="shared" si="44"/>
        <v>143.53749999999999</v>
      </c>
      <c r="BF18" s="263">
        <f t="shared" si="44"/>
        <v>106.43333333333335</v>
      </c>
      <c r="BG18" s="263">
        <f t="shared" si="44"/>
        <v>87.618452380952391</v>
      </c>
      <c r="BH18" s="263">
        <f t="shared" si="44"/>
        <v>1</v>
      </c>
      <c r="BI18" s="263">
        <f t="shared" si="44"/>
        <v>0</v>
      </c>
      <c r="BJ18" s="263">
        <f t="shared" si="44"/>
        <v>0</v>
      </c>
      <c r="BL18" s="1">
        <f>BL4</f>
        <v>2015</v>
      </c>
      <c r="BM18" s="263">
        <f t="shared" ref="BM18:BX27" si="45">SUMIFS($L:$L,$B:$B,$BL18,$C:$C,BM$2)</f>
        <v>0</v>
      </c>
      <c r="BN18" s="263">
        <f t="shared" si="45"/>
        <v>0</v>
      </c>
      <c r="BO18" s="263">
        <f t="shared" si="45"/>
        <v>0</v>
      </c>
      <c r="BP18" s="263">
        <f t="shared" si="45"/>
        <v>0</v>
      </c>
      <c r="BQ18" s="263">
        <f t="shared" si="45"/>
        <v>62.881547619047637</v>
      </c>
      <c r="BR18" s="263">
        <f t="shared" si="45"/>
        <v>95.599999999999966</v>
      </c>
      <c r="BS18" s="263">
        <f t="shared" si="45"/>
        <v>205.53749999999997</v>
      </c>
      <c r="BT18" s="263">
        <f t="shared" si="45"/>
        <v>167.94166666666666</v>
      </c>
      <c r="BU18" s="263">
        <f t="shared" si="45"/>
        <v>134.9267857142857</v>
      </c>
      <c r="BV18" s="263">
        <f t="shared" si="45"/>
        <v>4.3583333333333325</v>
      </c>
      <c r="BW18" s="263">
        <f t="shared" si="45"/>
        <v>0.27083333333333393</v>
      </c>
      <c r="BX18" s="263">
        <f t="shared" si="45"/>
        <v>0</v>
      </c>
      <c r="BZ18" s="1">
        <f>BZ4</f>
        <v>2015</v>
      </c>
      <c r="CA18" s="263">
        <f t="shared" ref="CA18:CL27" si="46">SUMIFS($N:$N,$B:$B,$BZ18,$C:$C,CA$2)</f>
        <v>0</v>
      </c>
      <c r="CB18" s="263">
        <f t="shared" si="46"/>
        <v>0</v>
      </c>
      <c r="CC18" s="263">
        <f t="shared" si="46"/>
        <v>0</v>
      </c>
      <c r="CD18" s="263">
        <f t="shared" si="46"/>
        <v>1.5333333333333332</v>
      </c>
      <c r="CE18" s="263">
        <f t="shared" si="46"/>
        <v>105.49404761904762</v>
      </c>
      <c r="CF18" s="263">
        <f t="shared" si="46"/>
        <v>150.2583333333333</v>
      </c>
      <c r="CG18" s="263">
        <f t="shared" si="46"/>
        <v>267.53749999999997</v>
      </c>
      <c r="CH18" s="263">
        <f t="shared" si="46"/>
        <v>229.94166666666666</v>
      </c>
      <c r="CI18" s="263">
        <f t="shared" si="46"/>
        <v>188.96011904761906</v>
      </c>
      <c r="CJ18" s="263">
        <f t="shared" si="46"/>
        <v>13.895833333333337</v>
      </c>
      <c r="CK18" s="263">
        <f t="shared" si="46"/>
        <v>3.5374999999999979</v>
      </c>
      <c r="CL18" s="263">
        <f t="shared" si="46"/>
        <v>0</v>
      </c>
      <c r="CN18" s="1">
        <f>CN4</f>
        <v>2015</v>
      </c>
      <c r="CO18" s="263">
        <f t="shared" ref="CO18:CZ27" si="47">SUMIFS($P:$P,$B:$B,$CN18,$C:$C,CO$2)</f>
        <v>0</v>
      </c>
      <c r="CP18" s="263">
        <f t="shared" si="47"/>
        <v>0</v>
      </c>
      <c r="CQ18" s="263">
        <f t="shared" si="47"/>
        <v>0</v>
      </c>
      <c r="CR18" s="263">
        <f t="shared" si="47"/>
        <v>9.8333333333333321</v>
      </c>
      <c r="CS18" s="263">
        <f t="shared" si="47"/>
        <v>155.69477225672881</v>
      </c>
      <c r="CT18" s="263">
        <f t="shared" si="47"/>
        <v>209.61250000000001</v>
      </c>
      <c r="CU18" s="263">
        <f t="shared" si="47"/>
        <v>329.53750000000002</v>
      </c>
      <c r="CV18" s="263">
        <f t="shared" si="47"/>
        <v>291.94166666666666</v>
      </c>
      <c r="CW18" s="263">
        <f t="shared" si="47"/>
        <v>248.92261904761907</v>
      </c>
      <c r="CX18" s="263">
        <f t="shared" si="47"/>
        <v>32.275000000000006</v>
      </c>
      <c r="CY18" s="263">
        <f t="shared" si="47"/>
        <v>11.908333333333333</v>
      </c>
      <c r="CZ18" s="263">
        <f t="shared" si="47"/>
        <v>0.86666666666666714</v>
      </c>
      <c r="DB18" s="1">
        <f>DB4</f>
        <v>2015</v>
      </c>
      <c r="DC18" s="263">
        <f t="shared" ref="DC18:DN27" si="48">SUMIFS($R:$R,$B:$B,$DB18,$C:$C,DC$2)</f>
        <v>0</v>
      </c>
      <c r="DD18" s="263">
        <f t="shared" si="48"/>
        <v>0</v>
      </c>
      <c r="DE18" s="263">
        <f t="shared" si="48"/>
        <v>0</v>
      </c>
      <c r="DF18" s="263">
        <f t="shared" si="48"/>
        <v>26.112499999999997</v>
      </c>
      <c r="DG18" s="263">
        <f t="shared" si="48"/>
        <v>213.30310559006219</v>
      </c>
      <c r="DH18" s="263">
        <f t="shared" si="48"/>
        <v>269.61250000000001</v>
      </c>
      <c r="DI18" s="263">
        <f t="shared" si="48"/>
        <v>391.53750000000014</v>
      </c>
      <c r="DJ18" s="263">
        <f t="shared" si="48"/>
        <v>353.94166666666678</v>
      </c>
      <c r="DK18" s="263">
        <f t="shared" si="48"/>
        <v>308.92261904761898</v>
      </c>
      <c r="DL18" s="263">
        <f t="shared" si="48"/>
        <v>66.941666666666677</v>
      </c>
      <c r="DM18" s="263">
        <f t="shared" si="48"/>
        <v>28.199999999999996</v>
      </c>
      <c r="DN18" s="263">
        <f t="shared" si="48"/>
        <v>6.8248188405797094</v>
      </c>
      <c r="DP18" s="18">
        <f>'Monthly Data'!F18</f>
        <v>31953380.148771688</v>
      </c>
      <c r="DQ18" s="18">
        <f>'Monthly Data'!J18</f>
        <v>10228476.858936716</v>
      </c>
      <c r="DR18" s="18">
        <f>'Monthly Data'!N18</f>
        <v>25563625.514173936</v>
      </c>
      <c r="DS18" s="4">
        <f>'Monthly Data'!S18</f>
        <v>7587662.1759159202</v>
      </c>
      <c r="DT18" s="4">
        <f>'Monthly Data'!V18</f>
        <v>3397618.0244841203</v>
      </c>
      <c r="DU18" s="18">
        <f t="shared" si="7"/>
        <v>39151538.867063969</v>
      </c>
      <c r="DV18" s="18">
        <f t="shared" si="8"/>
        <v>10164746.144510783</v>
      </c>
      <c r="DW18" s="18">
        <f t="shared" si="9"/>
        <v>24737775.667545468</v>
      </c>
      <c r="DX18" s="18">
        <f t="shared" si="10"/>
        <v>7273127.3826822899</v>
      </c>
      <c r="DY18" s="18">
        <f t="shared" si="11"/>
        <v>3198215.3505950226</v>
      </c>
      <c r="EK18" s="1" t="s">
        <v>57</v>
      </c>
      <c r="EL18" s="1">
        <v>30882.552210024602</v>
      </c>
      <c r="EM18" s="1">
        <v>3057.0778480474901</v>
      </c>
      <c r="EN18" s="1">
        <v>10.1019842297274</v>
      </c>
      <c r="EO18" s="274">
        <v>1.354745431413E-17</v>
      </c>
      <c r="ER18" s="24">
        <f>'Monthly Data'!F18/'Monthly Data'!G18/'Monthly Data'!CD18</f>
        <v>21.48613174801396</v>
      </c>
      <c r="ES18" s="259">
        <f>'Monthly Data'!J18/'Monthly Data'!K18/'Monthly Data'!CD18</f>
        <v>79.391450052289088</v>
      </c>
      <c r="ET18" s="24">
        <f>'Monthly Data'!N18/'Monthly Data'!P18/'Monthly Data'!CD18</f>
        <v>1604.3445157633951</v>
      </c>
      <c r="EU18" s="24">
        <f>'Monthly Data'!Q18/'Monthly Data'!U18/'Monthly Data'!CD18</f>
        <v>16891.243005509696</v>
      </c>
      <c r="EV18" s="24">
        <f>'Monthly Data'!V18/'Monthly Data'!Z18/'Monthly Data'!CD18</f>
        <v>109600.58143497162</v>
      </c>
      <c r="EW18" s="24"/>
      <c r="FG18" s="24"/>
    </row>
    <row r="19" spans="1:163" x14ac:dyDescent="0.25">
      <c r="A19" s="3">
        <v>42522</v>
      </c>
      <c r="B19" s="1">
        <v>2016</v>
      </c>
      <c r="C19" s="1">
        <v>6</v>
      </c>
      <c r="D19" s="263">
        <v>18.773472222222221</v>
      </c>
      <c r="E19" s="263">
        <v>56.883333333333326</v>
      </c>
      <c r="F19" s="263">
        <v>20.087500000000002</v>
      </c>
      <c r="G19" s="263">
        <v>30.204166666666669</v>
      </c>
      <c r="H19" s="263">
        <v>53.40833333333336</v>
      </c>
      <c r="I19" s="263">
        <v>14.133333333333335</v>
      </c>
      <c r="J19" s="263">
        <v>97.33750000000002</v>
      </c>
      <c r="K19" s="263">
        <v>3.9749999999999996</v>
      </c>
      <c r="L19" s="263">
        <v>147.17916666666667</v>
      </c>
      <c r="M19" s="263">
        <v>0.65000000000000036</v>
      </c>
      <c r="N19" s="263">
        <v>203.85416666666669</v>
      </c>
      <c r="O19" s="263">
        <v>0</v>
      </c>
      <c r="P19" s="263">
        <v>263.20416666666671</v>
      </c>
      <c r="Q19" s="263">
        <v>0</v>
      </c>
      <c r="R19" s="263">
        <v>323.20416666666671</v>
      </c>
      <c r="U19" s="1">
        <f t="shared" ref="U19:U29" si="49">U18+1</f>
        <v>2016</v>
      </c>
      <c r="V19" s="263">
        <f t="shared" si="41"/>
        <v>0</v>
      </c>
      <c r="W19" s="263">
        <f t="shared" si="41"/>
        <v>0</v>
      </c>
      <c r="X19" s="263">
        <f t="shared" si="41"/>
        <v>0</v>
      </c>
      <c r="Y19" s="263">
        <f t="shared" si="41"/>
        <v>0</v>
      </c>
      <c r="Z19" s="263">
        <f t="shared" si="41"/>
        <v>8.9833333333333307</v>
      </c>
      <c r="AA19" s="263">
        <f t="shared" si="41"/>
        <v>20.087500000000002</v>
      </c>
      <c r="AB19" s="263">
        <f t="shared" si="41"/>
        <v>73.983333333333334</v>
      </c>
      <c r="AC19" s="263">
        <f t="shared" si="41"/>
        <v>84.054166666666674</v>
      </c>
      <c r="AD19" s="263">
        <f t="shared" si="41"/>
        <v>15.887500000000006</v>
      </c>
      <c r="AE19" s="263">
        <f t="shared" si="41"/>
        <v>0</v>
      </c>
      <c r="AF19" s="263">
        <f t="shared" si="41"/>
        <v>0</v>
      </c>
      <c r="AG19" s="263">
        <f t="shared" si="41"/>
        <v>0</v>
      </c>
      <c r="AJ19" s="1">
        <f t="shared" ref="AJ19:AJ29" si="50">AJ18+1</f>
        <v>2016</v>
      </c>
      <c r="AK19" s="263">
        <f t="shared" si="42"/>
        <v>0</v>
      </c>
      <c r="AL19" s="263">
        <f t="shared" si="42"/>
        <v>0</v>
      </c>
      <c r="AM19" s="263">
        <f t="shared" si="42"/>
        <v>0</v>
      </c>
      <c r="AN19" s="263">
        <f t="shared" si="42"/>
        <v>0</v>
      </c>
      <c r="AO19" s="263">
        <f t="shared" si="42"/>
        <v>21.845833333333335</v>
      </c>
      <c r="AP19" s="263">
        <f t="shared" si="42"/>
        <v>53.40833333333336</v>
      </c>
      <c r="AQ19" s="263">
        <f t="shared" si="42"/>
        <v>128.88749999999999</v>
      </c>
      <c r="AR19" s="263">
        <f t="shared" si="42"/>
        <v>143.1541666666667</v>
      </c>
      <c r="AS19" s="263">
        <f t="shared" si="42"/>
        <v>36.670833333333334</v>
      </c>
      <c r="AT19" s="263">
        <f t="shared" si="42"/>
        <v>0.93750000000000355</v>
      </c>
      <c r="AU19" s="263">
        <f t="shared" si="42"/>
        <v>0</v>
      </c>
      <c r="AV19" s="263">
        <f t="shared" si="42"/>
        <v>0</v>
      </c>
      <c r="AW19" s="411">
        <f t="shared" si="43"/>
        <v>384.9041666666667</v>
      </c>
      <c r="AX19" s="1">
        <f t="shared" ref="AX19:AX29" si="51">AX18+1</f>
        <v>2016</v>
      </c>
      <c r="AY19" s="263">
        <f t="shared" si="44"/>
        <v>0</v>
      </c>
      <c r="AZ19" s="263">
        <f t="shared" si="44"/>
        <v>0</v>
      </c>
      <c r="BA19" s="263">
        <f t="shared" si="44"/>
        <v>0</v>
      </c>
      <c r="BB19" s="263">
        <f t="shared" si="44"/>
        <v>0</v>
      </c>
      <c r="BC19" s="263">
        <f t="shared" si="44"/>
        <v>40.95416666666668</v>
      </c>
      <c r="BD19" s="263">
        <f t="shared" si="44"/>
        <v>97.33750000000002</v>
      </c>
      <c r="BE19" s="263">
        <f t="shared" si="44"/>
        <v>189.22916666666666</v>
      </c>
      <c r="BF19" s="263">
        <f t="shared" si="44"/>
        <v>204.02500000000006</v>
      </c>
      <c r="BG19" s="263">
        <f t="shared" si="44"/>
        <v>71.529166666666654</v>
      </c>
      <c r="BH19" s="263">
        <f t="shared" si="44"/>
        <v>7.2541666666666735</v>
      </c>
      <c r="BI19" s="263">
        <f t="shared" si="44"/>
        <v>0</v>
      </c>
      <c r="BJ19" s="263">
        <f t="shared" si="44"/>
        <v>0</v>
      </c>
      <c r="BL19" s="1">
        <f t="shared" ref="BL19:BL29" si="52">BL18+1</f>
        <v>2016</v>
      </c>
      <c r="BM19" s="263">
        <f t="shared" si="45"/>
        <v>0</v>
      </c>
      <c r="BN19" s="263">
        <f t="shared" si="45"/>
        <v>0</v>
      </c>
      <c r="BO19" s="263">
        <f t="shared" si="45"/>
        <v>0</v>
      </c>
      <c r="BP19" s="263">
        <f t="shared" si="45"/>
        <v>0.83333333333333393</v>
      </c>
      <c r="BQ19" s="263">
        <f t="shared" si="45"/>
        <v>66.604166666666671</v>
      </c>
      <c r="BR19" s="263">
        <f t="shared" si="45"/>
        <v>147.17916666666667</v>
      </c>
      <c r="BS19" s="263">
        <f t="shared" si="45"/>
        <v>251.2291666666666</v>
      </c>
      <c r="BT19" s="263">
        <f t="shared" si="45"/>
        <v>266.02500000000003</v>
      </c>
      <c r="BU19" s="263">
        <f t="shared" si="45"/>
        <v>120.65416666666664</v>
      </c>
      <c r="BV19" s="263">
        <f t="shared" si="45"/>
        <v>24.770833333333336</v>
      </c>
      <c r="BW19" s="263">
        <f t="shared" si="45"/>
        <v>0</v>
      </c>
      <c r="BX19" s="263">
        <f t="shared" si="45"/>
        <v>0</v>
      </c>
      <c r="BZ19" s="1">
        <f t="shared" ref="BZ19:BZ29" si="53">BZ18+1</f>
        <v>2016</v>
      </c>
      <c r="CA19" s="263">
        <f t="shared" si="46"/>
        <v>0</v>
      </c>
      <c r="CB19" s="263">
        <f t="shared" si="46"/>
        <v>0</v>
      </c>
      <c r="CC19" s="263">
        <f t="shared" si="46"/>
        <v>0</v>
      </c>
      <c r="CD19" s="263">
        <f t="shared" si="46"/>
        <v>3.2208333333333368</v>
      </c>
      <c r="CE19" s="263">
        <f t="shared" si="46"/>
        <v>98.295833333333348</v>
      </c>
      <c r="CF19" s="263">
        <f t="shared" si="46"/>
        <v>203.85416666666669</v>
      </c>
      <c r="CG19" s="263">
        <f t="shared" si="46"/>
        <v>313.22916666666657</v>
      </c>
      <c r="CH19" s="263">
        <f t="shared" si="46"/>
        <v>328.02499999999998</v>
      </c>
      <c r="CI19" s="263">
        <f t="shared" si="46"/>
        <v>176.5541666666667</v>
      </c>
      <c r="CJ19" s="263">
        <f t="shared" si="46"/>
        <v>52.383333333333333</v>
      </c>
      <c r="CK19" s="263">
        <f t="shared" si="46"/>
        <v>1.3291666666666675</v>
      </c>
      <c r="CL19" s="263">
        <f t="shared" si="46"/>
        <v>0</v>
      </c>
      <c r="CN19" s="1">
        <f t="shared" ref="CN19:CN29" si="54">CN18+1</f>
        <v>2016</v>
      </c>
      <c r="CO19" s="263">
        <f t="shared" si="47"/>
        <v>0</v>
      </c>
      <c r="CP19" s="263">
        <f t="shared" si="47"/>
        <v>0</v>
      </c>
      <c r="CQ19" s="263">
        <f t="shared" si="47"/>
        <v>0</v>
      </c>
      <c r="CR19" s="263">
        <f t="shared" si="47"/>
        <v>9.3541666666666732</v>
      </c>
      <c r="CS19" s="263">
        <f t="shared" si="47"/>
        <v>134.0888888888889</v>
      </c>
      <c r="CT19" s="263">
        <f t="shared" si="47"/>
        <v>263.20416666666671</v>
      </c>
      <c r="CU19" s="263">
        <f t="shared" si="47"/>
        <v>375.22916666666669</v>
      </c>
      <c r="CV19" s="263">
        <f t="shared" si="47"/>
        <v>390.02499999999998</v>
      </c>
      <c r="CW19" s="263">
        <f t="shared" si="47"/>
        <v>235.7416666666667</v>
      </c>
      <c r="CX19" s="263">
        <f t="shared" si="47"/>
        <v>85.800000000000011</v>
      </c>
      <c r="CY19" s="263">
        <f t="shared" si="47"/>
        <v>3.6666666666666679</v>
      </c>
      <c r="CZ19" s="263">
        <f t="shared" si="47"/>
        <v>0</v>
      </c>
      <c r="DB19" s="1">
        <f t="shared" ref="DB19:DB29" si="55">DB18+1</f>
        <v>2016</v>
      </c>
      <c r="DC19" s="263">
        <f t="shared" si="48"/>
        <v>0</v>
      </c>
      <c r="DD19" s="263">
        <f t="shared" si="48"/>
        <v>0</v>
      </c>
      <c r="DE19" s="263">
        <f t="shared" si="48"/>
        <v>2.595833333333335</v>
      </c>
      <c r="DF19" s="263">
        <f t="shared" si="48"/>
        <v>21.966666666666676</v>
      </c>
      <c r="DG19" s="263">
        <f t="shared" si="48"/>
        <v>181.46805555555554</v>
      </c>
      <c r="DH19" s="263">
        <f t="shared" si="48"/>
        <v>323.20416666666671</v>
      </c>
      <c r="DI19" s="263">
        <f t="shared" si="48"/>
        <v>437.22916666666669</v>
      </c>
      <c r="DJ19" s="263">
        <f t="shared" si="48"/>
        <v>452.02499999999998</v>
      </c>
      <c r="DK19" s="263">
        <f t="shared" si="48"/>
        <v>295.74166666666667</v>
      </c>
      <c r="DL19" s="263">
        <f t="shared" si="48"/>
        <v>122.05416666666669</v>
      </c>
      <c r="DM19" s="263">
        <f t="shared" si="48"/>
        <v>11.895833333333334</v>
      </c>
      <c r="DN19" s="263">
        <f t="shared" si="48"/>
        <v>0</v>
      </c>
      <c r="DP19" s="18">
        <f>'Monthly Data'!F19</f>
        <v>38776341.079345882</v>
      </c>
      <c r="DQ19" s="18">
        <f>'Monthly Data'!J19</f>
        <v>10465207.773663962</v>
      </c>
      <c r="DR19" s="18">
        <f>'Monthly Data'!N19</f>
        <v>24988466.374266114</v>
      </c>
      <c r="DS19" s="4">
        <f>'Monthly Data'!S19</f>
        <v>8266801.9215084706</v>
      </c>
      <c r="DT19" s="4">
        <f>'Monthly Data'!V19</f>
        <v>3372600.7862359551</v>
      </c>
      <c r="DU19" s="18">
        <f t="shared" si="7"/>
        <v>44370850.515978768</v>
      </c>
      <c r="DV19" s="18">
        <f t="shared" si="8"/>
        <v>10701876.165723311</v>
      </c>
      <c r="DW19" s="18">
        <f t="shared" si="9"/>
        <v>26009313.200074203</v>
      </c>
      <c r="DX19" s="18">
        <f t="shared" si="10"/>
        <v>7841388.0888783857</v>
      </c>
      <c r="DY19" s="18">
        <f t="shared" si="11"/>
        <v>3300568.9302579351</v>
      </c>
      <c r="EK19" s="1" t="s">
        <v>60</v>
      </c>
      <c r="EL19" s="1">
        <v>70324.928489815793</v>
      </c>
      <c r="EM19" s="1">
        <v>5843.5126969571302</v>
      </c>
      <c r="EN19" s="1">
        <v>12.0347010671228</v>
      </c>
      <c r="EO19" s="274">
        <v>3.8287630606597699E-22</v>
      </c>
      <c r="ER19" s="24">
        <f>'Monthly Data'!F19/'Monthly Data'!G19/'Monthly Data'!CD19</f>
        <v>26.467046904841975</v>
      </c>
      <c r="ES19" s="259">
        <f>'Monthly Data'!J19/'Monthly Data'!K19/'Monthly Data'!CD19</f>
        <v>83.997172916477737</v>
      </c>
      <c r="ET19" s="24">
        <f>'Monthly Data'!N19/'Monthly Data'!P19/'Monthly Data'!CD19</f>
        <v>1608.0094191934436</v>
      </c>
      <c r="EU19" s="24">
        <f>'Monthly Data'!Q19/'Monthly Data'!U19/'Monthly Data'!CD19</f>
        <v>19111.304289740652</v>
      </c>
      <c r="EV19" s="24">
        <f>'Monthly Data'!V19/'Monthly Data'!Z19/'Monthly Data'!CD19</f>
        <v>112420.02620786517</v>
      </c>
      <c r="EW19" s="24"/>
      <c r="FG19" s="24"/>
    </row>
    <row r="20" spans="1:163" x14ac:dyDescent="0.25">
      <c r="A20" s="3">
        <v>42552</v>
      </c>
      <c r="B20" s="1">
        <v>2016</v>
      </c>
      <c r="C20" s="1">
        <v>7</v>
      </c>
      <c r="D20" s="263">
        <v>22.104166666666661</v>
      </c>
      <c r="E20" s="263">
        <v>8.75416666666667</v>
      </c>
      <c r="F20" s="263">
        <v>73.983333333333334</v>
      </c>
      <c r="G20" s="263">
        <v>1.6583333333333314</v>
      </c>
      <c r="H20" s="263">
        <v>128.88749999999999</v>
      </c>
      <c r="I20" s="263">
        <v>0</v>
      </c>
      <c r="J20" s="263">
        <v>189.22916666666666</v>
      </c>
      <c r="K20" s="263">
        <v>0</v>
      </c>
      <c r="L20" s="263">
        <v>251.2291666666666</v>
      </c>
      <c r="M20" s="263">
        <v>0</v>
      </c>
      <c r="N20" s="263">
        <v>313.22916666666657</v>
      </c>
      <c r="O20" s="263">
        <v>0</v>
      </c>
      <c r="P20" s="263">
        <v>375.22916666666669</v>
      </c>
      <c r="Q20" s="263">
        <v>0</v>
      </c>
      <c r="R20" s="263">
        <v>437.22916666666669</v>
      </c>
      <c r="U20" s="1">
        <f t="shared" si="49"/>
        <v>2017</v>
      </c>
      <c r="V20" s="263">
        <f t="shared" si="41"/>
        <v>0</v>
      </c>
      <c r="W20" s="263">
        <f t="shared" si="41"/>
        <v>0</v>
      </c>
      <c r="X20" s="263">
        <f t="shared" si="41"/>
        <v>0</v>
      </c>
      <c r="Y20" s="263">
        <f t="shared" si="41"/>
        <v>0</v>
      </c>
      <c r="Z20" s="263">
        <f t="shared" si="41"/>
        <v>1.4083333333333314</v>
      </c>
      <c r="AA20" s="263">
        <f t="shared" si="41"/>
        <v>14.074999999999999</v>
      </c>
      <c r="AB20" s="263">
        <f t="shared" si="41"/>
        <v>26.579166666666627</v>
      </c>
      <c r="AC20" s="263">
        <f t="shared" si="41"/>
        <v>16.01159420289855</v>
      </c>
      <c r="AD20" s="263">
        <f t="shared" si="41"/>
        <v>15.912499999999994</v>
      </c>
      <c r="AE20" s="263">
        <f t="shared" si="41"/>
        <v>0</v>
      </c>
      <c r="AF20" s="263">
        <f t="shared" si="41"/>
        <v>0</v>
      </c>
      <c r="AG20" s="263">
        <f t="shared" si="41"/>
        <v>0</v>
      </c>
      <c r="AJ20" s="1">
        <f t="shared" si="50"/>
        <v>2017</v>
      </c>
      <c r="AK20" s="263">
        <f t="shared" si="42"/>
        <v>0</v>
      </c>
      <c r="AL20" s="263">
        <f t="shared" si="42"/>
        <v>0</v>
      </c>
      <c r="AM20" s="263">
        <f t="shared" si="42"/>
        <v>0</v>
      </c>
      <c r="AN20" s="263">
        <f t="shared" si="42"/>
        <v>0.34583333333333854</v>
      </c>
      <c r="AO20" s="263">
        <f t="shared" si="42"/>
        <v>4.8791666666666664</v>
      </c>
      <c r="AP20" s="263">
        <f t="shared" si="42"/>
        <v>36.354166666666671</v>
      </c>
      <c r="AQ20" s="263">
        <f t="shared" si="42"/>
        <v>75.970833333333289</v>
      </c>
      <c r="AR20" s="263">
        <f t="shared" si="42"/>
        <v>49.374094202898547</v>
      </c>
      <c r="AS20" s="263">
        <f t="shared" si="42"/>
        <v>41.54583333333332</v>
      </c>
      <c r="AT20" s="263">
        <f t="shared" si="42"/>
        <v>3.2250000000000014</v>
      </c>
      <c r="AU20" s="263">
        <f t="shared" si="42"/>
        <v>0</v>
      </c>
      <c r="AV20" s="263">
        <f t="shared" si="42"/>
        <v>0</v>
      </c>
      <c r="AW20" s="411">
        <f t="shared" si="43"/>
        <v>211.69492753623183</v>
      </c>
      <c r="AX20" s="1">
        <f t="shared" si="51"/>
        <v>2017</v>
      </c>
      <c r="AY20" s="263">
        <f t="shared" si="44"/>
        <v>0</v>
      </c>
      <c r="AZ20" s="263">
        <f t="shared" si="44"/>
        <v>0</v>
      </c>
      <c r="BA20" s="263">
        <f t="shared" si="44"/>
        <v>0</v>
      </c>
      <c r="BB20" s="263">
        <f t="shared" si="44"/>
        <v>2.3458333333333385</v>
      </c>
      <c r="BC20" s="263">
        <f t="shared" si="44"/>
        <v>13.075000000000003</v>
      </c>
      <c r="BD20" s="263">
        <f t="shared" si="44"/>
        <v>68.909166666666678</v>
      </c>
      <c r="BE20" s="263">
        <f t="shared" si="44"/>
        <v>136.16666666666663</v>
      </c>
      <c r="BF20" s="263">
        <f t="shared" si="44"/>
        <v>97.06576086956521</v>
      </c>
      <c r="BG20" s="263">
        <f t="shared" si="44"/>
        <v>73.237499999999983</v>
      </c>
      <c r="BH20" s="263">
        <f t="shared" si="44"/>
        <v>10.279166666666672</v>
      </c>
      <c r="BI20" s="263">
        <f t="shared" si="44"/>
        <v>0</v>
      </c>
      <c r="BJ20" s="263">
        <f t="shared" si="44"/>
        <v>0</v>
      </c>
      <c r="BL20" s="1">
        <f t="shared" si="52"/>
        <v>2017</v>
      </c>
      <c r="BM20" s="263">
        <f t="shared" si="45"/>
        <v>0</v>
      </c>
      <c r="BN20" s="263">
        <f t="shared" si="45"/>
        <v>0</v>
      </c>
      <c r="BO20" s="263">
        <f t="shared" si="45"/>
        <v>0</v>
      </c>
      <c r="BP20" s="263">
        <f t="shared" si="45"/>
        <v>5.6500000000000057</v>
      </c>
      <c r="BQ20" s="263">
        <f t="shared" si="45"/>
        <v>28.370833333333344</v>
      </c>
      <c r="BR20" s="263">
        <f t="shared" si="45"/>
        <v>112.71333333333334</v>
      </c>
      <c r="BS20" s="263">
        <f t="shared" si="45"/>
        <v>198.16666666666666</v>
      </c>
      <c r="BT20" s="263">
        <f t="shared" si="45"/>
        <v>155.42409420289857</v>
      </c>
      <c r="BU20" s="263">
        <f t="shared" si="45"/>
        <v>112.67916666666666</v>
      </c>
      <c r="BV20" s="263">
        <f t="shared" si="45"/>
        <v>29.654166666666669</v>
      </c>
      <c r="BW20" s="263">
        <f t="shared" si="45"/>
        <v>0</v>
      </c>
      <c r="BX20" s="263">
        <f t="shared" si="45"/>
        <v>0</v>
      </c>
      <c r="BZ20" s="1">
        <f t="shared" si="53"/>
        <v>2017</v>
      </c>
      <c r="CA20" s="263">
        <f t="shared" si="46"/>
        <v>0</v>
      </c>
      <c r="CB20" s="263">
        <f t="shared" si="46"/>
        <v>0</v>
      </c>
      <c r="CC20" s="263">
        <f t="shared" si="46"/>
        <v>0</v>
      </c>
      <c r="CD20" s="263">
        <f t="shared" si="46"/>
        <v>12.412500000000001</v>
      </c>
      <c r="CE20" s="263">
        <f t="shared" si="46"/>
        <v>54.529166666666683</v>
      </c>
      <c r="CF20" s="263">
        <f t="shared" si="46"/>
        <v>168.62166666666667</v>
      </c>
      <c r="CG20" s="263">
        <f t="shared" si="46"/>
        <v>260.16666666666657</v>
      </c>
      <c r="CH20" s="263">
        <f t="shared" si="46"/>
        <v>217.42409420289852</v>
      </c>
      <c r="CI20" s="263">
        <f t="shared" si="46"/>
        <v>161.3125</v>
      </c>
      <c r="CJ20" s="263">
        <f t="shared" si="46"/>
        <v>59.400000000000006</v>
      </c>
      <c r="CK20" s="263">
        <f t="shared" si="46"/>
        <v>0</v>
      </c>
      <c r="CL20" s="263">
        <f t="shared" si="46"/>
        <v>0</v>
      </c>
      <c r="CN20" s="1">
        <f t="shared" si="54"/>
        <v>2017</v>
      </c>
      <c r="CO20" s="263">
        <f t="shared" si="47"/>
        <v>0</v>
      </c>
      <c r="CP20" s="263">
        <f t="shared" si="47"/>
        <v>0</v>
      </c>
      <c r="CQ20" s="263">
        <f t="shared" si="47"/>
        <v>0</v>
      </c>
      <c r="CR20" s="263">
        <f t="shared" si="47"/>
        <v>24.758333333333333</v>
      </c>
      <c r="CS20" s="263">
        <f t="shared" si="47"/>
        <v>90.983333333333348</v>
      </c>
      <c r="CT20" s="263">
        <f t="shared" si="47"/>
        <v>228.62166666666667</v>
      </c>
      <c r="CU20" s="263">
        <f t="shared" si="47"/>
        <v>322.16666666666657</v>
      </c>
      <c r="CV20" s="263">
        <f t="shared" si="47"/>
        <v>279.42409420289852</v>
      </c>
      <c r="CW20" s="263">
        <f t="shared" si="47"/>
        <v>217.22916666666663</v>
      </c>
      <c r="CX20" s="263">
        <f t="shared" si="47"/>
        <v>98.274999999999977</v>
      </c>
      <c r="CY20" s="263">
        <f t="shared" si="47"/>
        <v>1.2958333333333325</v>
      </c>
      <c r="CZ20" s="263">
        <f t="shared" si="47"/>
        <v>0</v>
      </c>
      <c r="DB20" s="1">
        <f t="shared" si="55"/>
        <v>2017</v>
      </c>
      <c r="DC20" s="263">
        <f t="shared" si="48"/>
        <v>0</v>
      </c>
      <c r="DD20" s="263">
        <f t="shared" si="48"/>
        <v>1.3416666666666668</v>
      </c>
      <c r="DE20" s="263">
        <f t="shared" si="48"/>
        <v>0.99999999999999645</v>
      </c>
      <c r="DF20" s="263">
        <f t="shared" si="48"/>
        <v>46.308333333333337</v>
      </c>
      <c r="DG20" s="263">
        <f t="shared" si="48"/>
        <v>136.28750000000002</v>
      </c>
      <c r="DH20" s="263">
        <f t="shared" si="48"/>
        <v>288.62166666666667</v>
      </c>
      <c r="DI20" s="263">
        <f t="shared" si="48"/>
        <v>384.16666666666657</v>
      </c>
      <c r="DJ20" s="263">
        <f t="shared" si="48"/>
        <v>341.42409420289852</v>
      </c>
      <c r="DK20" s="263">
        <f t="shared" si="48"/>
        <v>275.8458333333333</v>
      </c>
      <c r="DL20" s="263">
        <f t="shared" si="48"/>
        <v>145.13749999999999</v>
      </c>
      <c r="DM20" s="263">
        <f t="shared" si="48"/>
        <v>5.4124999999999979</v>
      </c>
      <c r="DN20" s="263">
        <f t="shared" si="48"/>
        <v>0</v>
      </c>
      <c r="DP20" s="18">
        <f>'Monthly Data'!F20</f>
        <v>47218565.56540361</v>
      </c>
      <c r="DQ20" s="18">
        <f>'Monthly Data'!J20</f>
        <v>11859424.861319741</v>
      </c>
      <c r="DR20" s="18">
        <f>'Monthly Data'!N20</f>
        <v>30177913.769882832</v>
      </c>
      <c r="DS20" s="4">
        <f>'Monthly Data'!S20</f>
        <v>9257660.4062251002</v>
      </c>
      <c r="DT20" s="4">
        <f>'Monthly Data'!V20</f>
        <v>3721310.9432763467</v>
      </c>
      <c r="DU20" s="18">
        <f t="shared" si="7"/>
        <v>51939881.42451752</v>
      </c>
      <c r="DV20" s="18">
        <f t="shared" si="8"/>
        <v>12021063.990057852</v>
      </c>
      <c r="DW20" s="18">
        <f t="shared" si="9"/>
        <v>27717795.408302061</v>
      </c>
      <c r="DX20" s="18">
        <f t="shared" si="10"/>
        <v>8584994.4917142317</v>
      </c>
      <c r="DY20" s="18">
        <f t="shared" si="11"/>
        <v>3444865.382833383</v>
      </c>
      <c r="ER20" s="24">
        <f>'Monthly Data'!F20/'Monthly Data'!G20/'Monthly Data'!CD20</f>
        <v>30.843583637774554</v>
      </c>
      <c r="ES20" s="259">
        <f>'Monthly Data'!J20/'Monthly Data'!K20/'Monthly Data'!CD20</f>
        <v>91.587764496202254</v>
      </c>
      <c r="ET20" s="24">
        <f>'Monthly Data'!N20/'Monthly Data'!P20/'Monthly Data'!CD20</f>
        <v>1879.3071222993417</v>
      </c>
      <c r="EU20" s="24">
        <f>'Monthly Data'!Q20/'Monthly Data'!U20/'Monthly Data'!CD20</f>
        <v>20871.873831020795</v>
      </c>
      <c r="EV20" s="24">
        <f>'Monthly Data'!V20/'Monthly Data'!Z20/'Monthly Data'!CD20</f>
        <v>120042.28849278537</v>
      </c>
      <c r="EW20" s="24"/>
      <c r="FG20" s="24"/>
    </row>
    <row r="21" spans="1:163" x14ac:dyDescent="0.25">
      <c r="A21" s="3">
        <v>42583</v>
      </c>
      <c r="B21" s="1">
        <v>2016</v>
      </c>
      <c r="C21" s="1">
        <v>8</v>
      </c>
      <c r="D21" s="263">
        <v>22.581451612903233</v>
      </c>
      <c r="E21" s="263">
        <v>4.029166666666665</v>
      </c>
      <c r="F21" s="263">
        <v>84.054166666666674</v>
      </c>
      <c r="G21" s="263">
        <v>1.1291666666666664</v>
      </c>
      <c r="H21" s="263">
        <v>143.1541666666667</v>
      </c>
      <c r="I21" s="263">
        <v>0</v>
      </c>
      <c r="J21" s="263">
        <v>204.02500000000006</v>
      </c>
      <c r="K21" s="263">
        <v>0</v>
      </c>
      <c r="L21" s="263">
        <v>266.02500000000003</v>
      </c>
      <c r="M21" s="263">
        <v>0</v>
      </c>
      <c r="N21" s="263">
        <v>328.02499999999998</v>
      </c>
      <c r="O21" s="263">
        <v>0</v>
      </c>
      <c r="P21" s="263">
        <v>390.02499999999998</v>
      </c>
      <c r="Q21" s="263">
        <v>0</v>
      </c>
      <c r="R21" s="263">
        <v>452.02499999999998</v>
      </c>
      <c r="U21" s="1">
        <f t="shared" si="49"/>
        <v>2018</v>
      </c>
      <c r="V21" s="263">
        <f t="shared" si="41"/>
        <v>0</v>
      </c>
      <c r="W21" s="263">
        <f t="shared" si="41"/>
        <v>0</v>
      </c>
      <c r="X21" s="263">
        <f t="shared" si="41"/>
        <v>0</v>
      </c>
      <c r="Y21" s="263">
        <f t="shared" si="41"/>
        <v>0</v>
      </c>
      <c r="Z21" s="263">
        <f t="shared" si="41"/>
        <v>13.3827380952381</v>
      </c>
      <c r="AA21" s="263">
        <f t="shared" si="41"/>
        <v>21.662499999999998</v>
      </c>
      <c r="AB21" s="263">
        <f t="shared" si="41"/>
        <v>75.365513833992097</v>
      </c>
      <c r="AC21" s="263">
        <f t="shared" si="41"/>
        <v>73.474999999999994</v>
      </c>
      <c r="AD21" s="263">
        <f t="shared" si="41"/>
        <v>33.737500000000011</v>
      </c>
      <c r="AE21" s="263">
        <f t="shared" si="41"/>
        <v>1.6666666666665719E-2</v>
      </c>
      <c r="AF21" s="263">
        <f t="shared" si="41"/>
        <v>0</v>
      </c>
      <c r="AG21" s="263">
        <f t="shared" si="41"/>
        <v>0</v>
      </c>
      <c r="AJ21" s="1">
        <f t="shared" si="50"/>
        <v>2018</v>
      </c>
      <c r="AK21" s="263">
        <f t="shared" si="42"/>
        <v>0</v>
      </c>
      <c r="AL21" s="263">
        <f t="shared" si="42"/>
        <v>0</v>
      </c>
      <c r="AM21" s="263">
        <f t="shared" si="42"/>
        <v>0</v>
      </c>
      <c r="AN21" s="263">
        <f t="shared" si="42"/>
        <v>0</v>
      </c>
      <c r="AO21" s="263">
        <f t="shared" si="42"/>
        <v>29.9452380952381</v>
      </c>
      <c r="AP21" s="263">
        <f t="shared" si="42"/>
        <v>41.254166666666663</v>
      </c>
      <c r="AQ21" s="263">
        <f t="shared" si="42"/>
        <v>132.59861424807079</v>
      </c>
      <c r="AR21" s="263">
        <f t="shared" si="42"/>
        <v>129.1541666666667</v>
      </c>
      <c r="AS21" s="263">
        <f t="shared" si="42"/>
        <v>60.55416666666666</v>
      </c>
      <c r="AT21" s="263">
        <f t="shared" si="42"/>
        <v>2.30833333333333</v>
      </c>
      <c r="AU21" s="263">
        <f t="shared" si="42"/>
        <v>0</v>
      </c>
      <c r="AV21" s="263">
        <f t="shared" si="42"/>
        <v>0</v>
      </c>
      <c r="AW21" s="411">
        <f t="shared" si="43"/>
        <v>395.81468567664223</v>
      </c>
      <c r="AX21" s="1">
        <f t="shared" si="51"/>
        <v>2018</v>
      </c>
      <c r="AY21" s="263">
        <f t="shared" si="44"/>
        <v>0</v>
      </c>
      <c r="AZ21" s="263">
        <f t="shared" si="44"/>
        <v>0</v>
      </c>
      <c r="BA21" s="263">
        <f t="shared" si="44"/>
        <v>0</v>
      </c>
      <c r="BB21" s="263">
        <f t="shared" si="44"/>
        <v>0</v>
      </c>
      <c r="BC21" s="263">
        <f t="shared" si="44"/>
        <v>50.000541125541133</v>
      </c>
      <c r="BD21" s="263">
        <f t="shared" si="44"/>
        <v>85.839772727272717</v>
      </c>
      <c r="BE21" s="263">
        <f t="shared" si="44"/>
        <v>194.39861424807077</v>
      </c>
      <c r="BF21" s="263">
        <f t="shared" si="44"/>
        <v>190.24583333333339</v>
      </c>
      <c r="BG21" s="263">
        <f t="shared" si="44"/>
        <v>94.645833333333329</v>
      </c>
      <c r="BH21" s="263">
        <f t="shared" si="44"/>
        <v>8.0958333333333314</v>
      </c>
      <c r="BI21" s="263">
        <f t="shared" si="44"/>
        <v>0</v>
      </c>
      <c r="BJ21" s="263">
        <f t="shared" si="44"/>
        <v>0</v>
      </c>
      <c r="BL21" s="1">
        <f t="shared" si="52"/>
        <v>2018</v>
      </c>
      <c r="BM21" s="263">
        <f t="shared" si="45"/>
        <v>0</v>
      </c>
      <c r="BN21" s="263">
        <f t="shared" si="45"/>
        <v>0</v>
      </c>
      <c r="BO21" s="263">
        <f t="shared" si="45"/>
        <v>0</v>
      </c>
      <c r="BP21" s="263">
        <f t="shared" si="45"/>
        <v>0</v>
      </c>
      <c r="BQ21" s="263">
        <f t="shared" si="45"/>
        <v>80.600541125541127</v>
      </c>
      <c r="BR21" s="263">
        <f t="shared" si="45"/>
        <v>141.51477272727271</v>
      </c>
      <c r="BS21" s="263">
        <f t="shared" si="45"/>
        <v>256.39861424807077</v>
      </c>
      <c r="BT21" s="263">
        <f t="shared" si="45"/>
        <v>252.24583333333339</v>
      </c>
      <c r="BU21" s="263">
        <f t="shared" si="45"/>
        <v>135.06250000000003</v>
      </c>
      <c r="BV21" s="263">
        <f t="shared" si="45"/>
        <v>15.387500000000001</v>
      </c>
      <c r="BW21" s="263">
        <f t="shared" si="45"/>
        <v>0</v>
      </c>
      <c r="BX21" s="263">
        <f t="shared" si="45"/>
        <v>0</v>
      </c>
      <c r="BZ21" s="1">
        <f t="shared" si="53"/>
        <v>2018</v>
      </c>
      <c r="CA21" s="263">
        <f t="shared" si="46"/>
        <v>0</v>
      </c>
      <c r="CB21" s="263">
        <f t="shared" si="46"/>
        <v>0</v>
      </c>
      <c r="CC21" s="263">
        <f t="shared" si="46"/>
        <v>0</v>
      </c>
      <c r="CD21" s="263">
        <f t="shared" si="46"/>
        <v>0</v>
      </c>
      <c r="CE21" s="263">
        <f t="shared" si="46"/>
        <v>127.46720779220779</v>
      </c>
      <c r="CF21" s="263">
        <f t="shared" si="46"/>
        <v>198.19393939393944</v>
      </c>
      <c r="CG21" s="263">
        <f t="shared" si="46"/>
        <v>318.39861424807077</v>
      </c>
      <c r="CH21" s="263">
        <f t="shared" si="46"/>
        <v>314.24583333333334</v>
      </c>
      <c r="CI21" s="263">
        <f t="shared" si="46"/>
        <v>183.48333333333329</v>
      </c>
      <c r="CJ21" s="263">
        <f t="shared" si="46"/>
        <v>25.358333333333334</v>
      </c>
      <c r="CK21" s="263">
        <f t="shared" si="46"/>
        <v>0</v>
      </c>
      <c r="CL21" s="263">
        <f t="shared" si="46"/>
        <v>0</v>
      </c>
      <c r="CN21" s="1">
        <f t="shared" si="54"/>
        <v>2018</v>
      </c>
      <c r="CO21" s="263">
        <f t="shared" si="47"/>
        <v>0</v>
      </c>
      <c r="CP21" s="263">
        <f t="shared" si="47"/>
        <v>0</v>
      </c>
      <c r="CQ21" s="263">
        <f t="shared" si="47"/>
        <v>0</v>
      </c>
      <c r="CR21" s="263">
        <f t="shared" si="47"/>
        <v>6.2499999999998224E-2</v>
      </c>
      <c r="CS21" s="263">
        <f t="shared" si="47"/>
        <v>185.32554112554109</v>
      </c>
      <c r="CT21" s="263">
        <f t="shared" si="47"/>
        <v>258.19393939393944</v>
      </c>
      <c r="CU21" s="263">
        <f t="shared" si="47"/>
        <v>380.39861424807083</v>
      </c>
      <c r="CV21" s="263">
        <f t="shared" si="47"/>
        <v>376.24583333333334</v>
      </c>
      <c r="CW21" s="263">
        <f t="shared" si="47"/>
        <v>241.36666666666665</v>
      </c>
      <c r="CX21" s="263">
        <f t="shared" si="47"/>
        <v>41.524999999999999</v>
      </c>
      <c r="CY21" s="263">
        <f t="shared" si="47"/>
        <v>0.34166666666666856</v>
      </c>
      <c r="CZ21" s="263">
        <f t="shared" si="47"/>
        <v>0</v>
      </c>
      <c r="DB21" s="1">
        <f t="shared" si="55"/>
        <v>2018</v>
      </c>
      <c r="DC21" s="263">
        <f t="shared" si="48"/>
        <v>0</v>
      </c>
      <c r="DD21" s="263">
        <f t="shared" si="48"/>
        <v>0</v>
      </c>
      <c r="DE21" s="263">
        <f t="shared" si="48"/>
        <v>0</v>
      </c>
      <c r="DF21" s="263">
        <f t="shared" si="48"/>
        <v>6.15</v>
      </c>
      <c r="DG21" s="263">
        <f t="shared" si="48"/>
        <v>245.04220779220779</v>
      </c>
      <c r="DH21" s="263">
        <f t="shared" si="48"/>
        <v>318.19393939393939</v>
      </c>
      <c r="DI21" s="263">
        <f t="shared" si="48"/>
        <v>442.39861424807088</v>
      </c>
      <c r="DJ21" s="263">
        <f t="shared" si="48"/>
        <v>438.24583333333322</v>
      </c>
      <c r="DK21" s="263">
        <f t="shared" si="48"/>
        <v>301.3666666666665</v>
      </c>
      <c r="DL21" s="263">
        <f t="shared" si="48"/>
        <v>62.774999999999991</v>
      </c>
      <c r="DM21" s="263">
        <f t="shared" si="48"/>
        <v>2.7208333333333368</v>
      </c>
      <c r="DN21" s="263">
        <f t="shared" si="48"/>
        <v>0</v>
      </c>
      <c r="DP21" s="18">
        <f>'Monthly Data'!F21</f>
        <v>52195914.613973007</v>
      </c>
      <c r="DQ21" s="18">
        <f>'Monthly Data'!J21</f>
        <v>12306932.672611248</v>
      </c>
      <c r="DR21" s="18">
        <f>'Monthly Data'!N21</f>
        <v>30103803.929514974</v>
      </c>
      <c r="DS21" s="4">
        <f>'Monthly Data'!S21</f>
        <v>9581497.8125995416</v>
      </c>
      <c r="DT21" s="4">
        <f>'Monthly Data'!V21</f>
        <v>3656370.200016906</v>
      </c>
      <c r="DU21" s="18">
        <f t="shared" si="7"/>
        <v>52980397.345631421</v>
      </c>
      <c r="DV21" s="18">
        <f t="shared" si="8"/>
        <v>12219891.744300377</v>
      </c>
      <c r="DW21" s="18">
        <f t="shared" si="9"/>
        <v>27948912.372927472</v>
      </c>
      <c r="DX21" s="18">
        <f t="shared" si="10"/>
        <v>8690750.7370912284</v>
      </c>
      <c r="DY21" s="18">
        <f t="shared" si="11"/>
        <v>3465404.0053555537</v>
      </c>
      <c r="EK21" s="1" t="s">
        <v>153</v>
      </c>
      <c r="ER21" s="24">
        <f>'Monthly Data'!F21/'Monthly Data'!G21/'Monthly Data'!CD21</f>
        <v>33.540621137368596</v>
      </c>
      <c r="ES21" s="259">
        <f>'Monthly Data'!J21/'Monthly Data'!K21/'Monthly Data'!CD21</f>
        <v>95.317605798019187</v>
      </c>
      <c r="ET21" s="24">
        <f>'Monthly Data'!N21/'Monthly Data'!P21/'Monthly Data'!CD21</f>
        <v>1867.4816333446013</v>
      </c>
      <c r="EU21" s="24">
        <f>'Monthly Data'!Q21/'Monthly Data'!U21/'Monthly Data'!CD21</f>
        <v>21593.797906852906</v>
      </c>
      <c r="EV21" s="24">
        <f>'Monthly Data'!V21/'Monthly Data'!Z21/'Monthly Data'!CD21</f>
        <v>117947.42580699697</v>
      </c>
      <c r="EW21" s="24"/>
      <c r="FG21" s="24"/>
    </row>
    <row r="22" spans="1:163" x14ac:dyDescent="0.25">
      <c r="A22" s="3">
        <v>42614</v>
      </c>
      <c r="B22" s="1">
        <v>2016</v>
      </c>
      <c r="C22" s="1">
        <v>9</v>
      </c>
      <c r="D22" s="263">
        <v>17.858055555555556</v>
      </c>
      <c r="E22" s="263">
        <v>80.145833333333343</v>
      </c>
      <c r="F22" s="263">
        <v>15.887500000000006</v>
      </c>
      <c r="G22" s="263">
        <v>40.929166666666667</v>
      </c>
      <c r="H22" s="263">
        <v>36.670833333333334</v>
      </c>
      <c r="I22" s="263">
        <v>15.7875</v>
      </c>
      <c r="J22" s="263">
        <v>71.529166666666654</v>
      </c>
      <c r="K22" s="263">
        <v>4.9124999999999979</v>
      </c>
      <c r="L22" s="263">
        <v>120.65416666666664</v>
      </c>
      <c r="M22" s="263">
        <v>0.8125</v>
      </c>
      <c r="N22" s="263">
        <v>176.5541666666667</v>
      </c>
      <c r="O22" s="263">
        <v>0</v>
      </c>
      <c r="P22" s="263">
        <v>235.7416666666667</v>
      </c>
      <c r="Q22" s="263">
        <v>0</v>
      </c>
      <c r="R22" s="263">
        <v>295.74166666666667</v>
      </c>
      <c r="U22" s="1">
        <f t="shared" si="49"/>
        <v>2019</v>
      </c>
      <c r="V22" s="263">
        <f t="shared" si="41"/>
        <v>0</v>
      </c>
      <c r="W22" s="263">
        <f t="shared" si="41"/>
        <v>0</v>
      </c>
      <c r="X22" s="263">
        <f t="shared" si="41"/>
        <v>0</v>
      </c>
      <c r="Y22" s="263">
        <f t="shared" si="41"/>
        <v>0</v>
      </c>
      <c r="Z22" s="263">
        <f t="shared" si="41"/>
        <v>0</v>
      </c>
      <c r="AA22" s="263">
        <f t="shared" si="41"/>
        <v>10.4375</v>
      </c>
      <c r="AB22" s="263">
        <f t="shared" si="41"/>
        <v>74.574999999999989</v>
      </c>
      <c r="AC22" s="263">
        <f t="shared" si="41"/>
        <v>23.162500000000009</v>
      </c>
      <c r="AD22" s="263">
        <f t="shared" si="41"/>
        <v>5.0833333333333286</v>
      </c>
      <c r="AE22" s="263">
        <f t="shared" si="41"/>
        <v>0</v>
      </c>
      <c r="AF22" s="263">
        <f t="shared" si="41"/>
        <v>0</v>
      </c>
      <c r="AG22" s="263">
        <f t="shared" si="41"/>
        <v>0</v>
      </c>
      <c r="AJ22" s="1">
        <f t="shared" si="50"/>
        <v>2019</v>
      </c>
      <c r="AK22" s="263">
        <f t="shared" si="42"/>
        <v>0</v>
      </c>
      <c r="AL22" s="263">
        <f t="shared" si="42"/>
        <v>0</v>
      </c>
      <c r="AM22" s="263">
        <f t="shared" si="42"/>
        <v>0</v>
      </c>
      <c r="AN22" s="263">
        <f t="shared" si="42"/>
        <v>0</v>
      </c>
      <c r="AO22" s="263">
        <f t="shared" si="42"/>
        <v>0</v>
      </c>
      <c r="AP22" s="263">
        <f t="shared" si="42"/>
        <v>35.862499999999976</v>
      </c>
      <c r="AQ22" s="263">
        <f t="shared" si="42"/>
        <v>135.6</v>
      </c>
      <c r="AR22" s="263">
        <f t="shared" si="42"/>
        <v>70.716666666666669</v>
      </c>
      <c r="AS22" s="263">
        <f t="shared" si="42"/>
        <v>13.570833333333326</v>
      </c>
      <c r="AT22" s="263">
        <f t="shared" si="42"/>
        <v>1.8125000000000036</v>
      </c>
      <c r="AU22" s="263">
        <f t="shared" si="42"/>
        <v>0</v>
      </c>
      <c r="AV22" s="263">
        <f t="shared" si="42"/>
        <v>0</v>
      </c>
      <c r="AW22" s="411">
        <f t="shared" si="43"/>
        <v>257.5625</v>
      </c>
      <c r="AX22" s="1">
        <f t="shared" si="51"/>
        <v>2019</v>
      </c>
      <c r="AY22" s="263">
        <f t="shared" si="44"/>
        <v>0</v>
      </c>
      <c r="AZ22" s="263">
        <f t="shared" si="44"/>
        <v>0</v>
      </c>
      <c r="BA22" s="263">
        <f t="shared" si="44"/>
        <v>0</v>
      </c>
      <c r="BB22" s="263">
        <f t="shared" si="44"/>
        <v>0</v>
      </c>
      <c r="BC22" s="263">
        <f t="shared" si="44"/>
        <v>2.4041666666666686</v>
      </c>
      <c r="BD22" s="263">
        <f t="shared" si="44"/>
        <v>71.666666666666629</v>
      </c>
      <c r="BE22" s="263">
        <f t="shared" si="44"/>
        <v>197.60000000000005</v>
      </c>
      <c r="BF22" s="263">
        <f t="shared" si="44"/>
        <v>128.07083333333338</v>
      </c>
      <c r="BG22" s="263">
        <f t="shared" si="44"/>
        <v>32.520833333333329</v>
      </c>
      <c r="BH22" s="263">
        <f t="shared" si="44"/>
        <v>3.8125000000000036</v>
      </c>
      <c r="BI22" s="263">
        <f t="shared" si="44"/>
        <v>0</v>
      </c>
      <c r="BJ22" s="263">
        <f t="shared" si="44"/>
        <v>0</v>
      </c>
      <c r="BL22" s="1">
        <f t="shared" si="52"/>
        <v>2019</v>
      </c>
      <c r="BM22" s="263">
        <f t="shared" si="45"/>
        <v>0</v>
      </c>
      <c r="BN22" s="263">
        <f t="shared" si="45"/>
        <v>0</v>
      </c>
      <c r="BO22" s="263">
        <f t="shared" si="45"/>
        <v>0</v>
      </c>
      <c r="BP22" s="263">
        <f t="shared" si="45"/>
        <v>0</v>
      </c>
      <c r="BQ22" s="263">
        <f t="shared" si="45"/>
        <v>11.208333333333332</v>
      </c>
      <c r="BR22" s="263">
        <f t="shared" si="45"/>
        <v>118.81666666666663</v>
      </c>
      <c r="BS22" s="263">
        <f t="shared" si="45"/>
        <v>259.60000000000008</v>
      </c>
      <c r="BT22" s="263">
        <f t="shared" si="45"/>
        <v>190.07083333333335</v>
      </c>
      <c r="BU22" s="263">
        <f t="shared" si="45"/>
        <v>76.5</v>
      </c>
      <c r="BV22" s="263">
        <f t="shared" si="45"/>
        <v>7.3333333333333357</v>
      </c>
      <c r="BW22" s="263">
        <f t="shared" si="45"/>
        <v>0</v>
      </c>
      <c r="BX22" s="263">
        <f t="shared" si="45"/>
        <v>0</v>
      </c>
      <c r="BZ22" s="1">
        <f t="shared" si="53"/>
        <v>2019</v>
      </c>
      <c r="CA22" s="263">
        <f t="shared" si="46"/>
        <v>0</v>
      </c>
      <c r="CB22" s="263">
        <f t="shared" si="46"/>
        <v>0</v>
      </c>
      <c r="CC22" s="263">
        <f t="shared" si="46"/>
        <v>0</v>
      </c>
      <c r="CD22" s="263">
        <f t="shared" si="46"/>
        <v>0.84583333333333144</v>
      </c>
      <c r="CE22" s="263">
        <f t="shared" si="46"/>
        <v>27.579166666666666</v>
      </c>
      <c r="CF22" s="263">
        <f t="shared" si="46"/>
        <v>173.67083333333326</v>
      </c>
      <c r="CG22" s="263">
        <f t="shared" si="46"/>
        <v>321.60000000000002</v>
      </c>
      <c r="CH22" s="263">
        <f t="shared" si="46"/>
        <v>252.07083333333335</v>
      </c>
      <c r="CI22" s="263">
        <f t="shared" si="46"/>
        <v>131.93750000000003</v>
      </c>
      <c r="CJ22" s="263">
        <f t="shared" si="46"/>
        <v>16.670833333333334</v>
      </c>
      <c r="CK22" s="263">
        <f t="shared" si="46"/>
        <v>0</v>
      </c>
      <c r="CL22" s="263">
        <f t="shared" si="46"/>
        <v>0</v>
      </c>
      <c r="CN22" s="1">
        <f t="shared" si="54"/>
        <v>2019</v>
      </c>
      <c r="CO22" s="263">
        <f t="shared" si="47"/>
        <v>0</v>
      </c>
      <c r="CP22" s="263">
        <f t="shared" si="47"/>
        <v>0</v>
      </c>
      <c r="CQ22" s="263">
        <f t="shared" si="47"/>
        <v>0</v>
      </c>
      <c r="CR22" s="263">
        <f t="shared" si="47"/>
        <v>2.8791666666666664</v>
      </c>
      <c r="CS22" s="263">
        <f t="shared" si="47"/>
        <v>63.802850877192981</v>
      </c>
      <c r="CT22" s="263">
        <f t="shared" si="47"/>
        <v>230.72083333333327</v>
      </c>
      <c r="CU22" s="263">
        <f t="shared" si="47"/>
        <v>383.6</v>
      </c>
      <c r="CV22" s="263">
        <f t="shared" si="47"/>
        <v>314.07083333333338</v>
      </c>
      <c r="CW22" s="263">
        <f t="shared" si="47"/>
        <v>191.51666666666671</v>
      </c>
      <c r="CX22" s="263">
        <f t="shared" si="47"/>
        <v>37.229166666666664</v>
      </c>
      <c r="CY22" s="263">
        <f t="shared" si="47"/>
        <v>0</v>
      </c>
      <c r="CZ22" s="263">
        <f t="shared" si="47"/>
        <v>0</v>
      </c>
      <c r="DB22" s="1">
        <f t="shared" si="55"/>
        <v>2019</v>
      </c>
      <c r="DC22" s="263">
        <f t="shared" si="48"/>
        <v>0</v>
      </c>
      <c r="DD22" s="263">
        <f t="shared" si="48"/>
        <v>0</v>
      </c>
      <c r="DE22" s="263">
        <f t="shared" si="48"/>
        <v>0</v>
      </c>
      <c r="DF22" s="263">
        <f t="shared" si="48"/>
        <v>14.591666666666663</v>
      </c>
      <c r="DG22" s="263">
        <f t="shared" si="48"/>
        <v>109.86951754385964</v>
      </c>
      <c r="DH22" s="263">
        <f t="shared" si="48"/>
        <v>289.74166666666656</v>
      </c>
      <c r="DI22" s="263">
        <f t="shared" si="48"/>
        <v>445.60000000000008</v>
      </c>
      <c r="DJ22" s="263">
        <f t="shared" si="48"/>
        <v>376.07083333333338</v>
      </c>
      <c r="DK22" s="263">
        <f t="shared" si="48"/>
        <v>251.51666666666671</v>
      </c>
      <c r="DL22" s="263">
        <f t="shared" si="48"/>
        <v>76.099999999999994</v>
      </c>
      <c r="DM22" s="263">
        <f t="shared" si="48"/>
        <v>0</v>
      </c>
      <c r="DN22" s="263">
        <f t="shared" si="48"/>
        <v>0</v>
      </c>
      <c r="DP22" s="18">
        <f>'Monthly Data'!F22</f>
        <v>42103147.773135491</v>
      </c>
      <c r="DQ22" s="18">
        <f>'Monthly Data'!J22</f>
        <v>10662137.575885922</v>
      </c>
      <c r="DR22" s="18">
        <f>'Monthly Data'!N22</f>
        <v>25339421.831471663</v>
      </c>
      <c r="DS22" s="4">
        <f>'Monthly Data'!S22</f>
        <v>8742623.7867525965</v>
      </c>
      <c r="DT22" s="4">
        <f>'Monthly Data'!V22</f>
        <v>3775313.6989102969</v>
      </c>
      <c r="DU22" s="18">
        <f t="shared" si="7"/>
        <v>42479932.360903695</v>
      </c>
      <c r="DV22" s="18">
        <f t="shared" si="8"/>
        <v>10354682.300396537</v>
      </c>
      <c r="DW22" s="18">
        <f t="shared" si="9"/>
        <v>25582876.040900532</v>
      </c>
      <c r="DX22" s="18">
        <f t="shared" si="10"/>
        <v>7651823.2895827238</v>
      </c>
      <c r="DY22" s="18">
        <f t="shared" si="11"/>
        <v>3263783.3976349891</v>
      </c>
      <c r="EK22" s="1" t="s">
        <v>154</v>
      </c>
      <c r="EL22" s="274">
        <v>1875050727490400</v>
      </c>
      <c r="EM22" s="1" t="s">
        <v>155</v>
      </c>
      <c r="EN22" s="1">
        <v>4020476.3908522101</v>
      </c>
      <c r="ER22" s="24">
        <f>'Monthly Data'!F22/'Monthly Data'!G22/'Monthly Data'!CD22</f>
        <v>27.532433379850833</v>
      </c>
      <c r="ES22" s="259">
        <f>'Monthly Data'!J22/'Monthly Data'!K22/'Monthly Data'!CD22</f>
        <v>85.086087111051967</v>
      </c>
      <c r="ET22" s="24">
        <f>'Monthly Data'!N22/'Monthly Data'!P22/'Monthly Data'!CD22</f>
        <v>1624.3219122738244</v>
      </c>
      <c r="EU22" s="24">
        <f>'Monthly Data'!Q22/'Monthly Data'!U22/'Monthly Data'!CD22</f>
        <v>20078.268017437622</v>
      </c>
      <c r="EV22" s="24">
        <f>'Monthly Data'!V22/'Monthly Data'!Z22/'Monthly Data'!CD22</f>
        <v>125843.78996367657</v>
      </c>
      <c r="EW22" s="24"/>
      <c r="FG22" s="24"/>
    </row>
    <row r="23" spans="1:163" x14ac:dyDescent="0.25">
      <c r="A23" s="3">
        <v>42644</v>
      </c>
      <c r="B23" s="1">
        <v>2016</v>
      </c>
      <c r="C23" s="1">
        <v>10</v>
      </c>
      <c r="D23" s="263">
        <v>10.864650537634409</v>
      </c>
      <c r="E23" s="263">
        <v>283.19583333333327</v>
      </c>
      <c r="F23" s="263">
        <v>0</v>
      </c>
      <c r="G23" s="263">
        <v>222.13333333333333</v>
      </c>
      <c r="H23" s="263">
        <v>0.93750000000000355</v>
      </c>
      <c r="I23" s="263">
        <v>166.45</v>
      </c>
      <c r="J23" s="263">
        <v>7.2541666666666735</v>
      </c>
      <c r="K23" s="263">
        <v>121.96666666666667</v>
      </c>
      <c r="L23" s="263">
        <v>24.770833333333336</v>
      </c>
      <c r="M23" s="263">
        <v>87.579166666666666</v>
      </c>
      <c r="N23" s="263">
        <v>52.383333333333333</v>
      </c>
      <c r="O23" s="263">
        <v>58.995833333333337</v>
      </c>
      <c r="P23" s="263">
        <v>85.800000000000011</v>
      </c>
      <c r="Q23" s="263">
        <v>33.25</v>
      </c>
      <c r="R23" s="263">
        <v>122.05416666666669</v>
      </c>
      <c r="U23" s="1">
        <f t="shared" si="49"/>
        <v>2020</v>
      </c>
      <c r="V23" s="263">
        <f t="shared" si="41"/>
        <v>0</v>
      </c>
      <c r="W23" s="263">
        <f t="shared" si="41"/>
        <v>0</v>
      </c>
      <c r="X23" s="263">
        <f t="shared" si="41"/>
        <v>0</v>
      </c>
      <c r="Y23" s="263">
        <f t="shared" si="41"/>
        <v>0</v>
      </c>
      <c r="Z23" s="263">
        <f t="shared" si="41"/>
        <v>7.9916666666666636</v>
      </c>
      <c r="AA23" s="263">
        <f t="shared" si="41"/>
        <v>35.811231884057946</v>
      </c>
      <c r="AB23" s="263">
        <f t="shared" si="41"/>
        <v>122.88750000000002</v>
      </c>
      <c r="AC23" s="263">
        <f t="shared" si="41"/>
        <v>50.651893939393972</v>
      </c>
      <c r="AD23" s="263">
        <f t="shared" si="41"/>
        <v>4.6041666666666714</v>
      </c>
      <c r="AE23" s="263">
        <f t="shared" si="41"/>
        <v>0</v>
      </c>
      <c r="AF23" s="263">
        <f t="shared" si="41"/>
        <v>0</v>
      </c>
      <c r="AG23" s="263">
        <f t="shared" si="41"/>
        <v>0</v>
      </c>
      <c r="AJ23" s="1">
        <f t="shared" si="50"/>
        <v>2020</v>
      </c>
      <c r="AK23" s="263">
        <f t="shared" si="42"/>
        <v>0</v>
      </c>
      <c r="AL23" s="263">
        <f t="shared" si="42"/>
        <v>0</v>
      </c>
      <c r="AM23" s="263">
        <f t="shared" si="42"/>
        <v>0</v>
      </c>
      <c r="AN23" s="263">
        <f t="shared" si="42"/>
        <v>0</v>
      </c>
      <c r="AO23" s="263">
        <f t="shared" si="42"/>
        <v>17.587499999999995</v>
      </c>
      <c r="AP23" s="263">
        <f t="shared" si="42"/>
        <v>72.269565217391289</v>
      </c>
      <c r="AQ23" s="263">
        <f t="shared" si="42"/>
        <v>184.88749999999999</v>
      </c>
      <c r="AR23" s="263">
        <f t="shared" si="42"/>
        <v>96.418560606060637</v>
      </c>
      <c r="AS23" s="263">
        <f t="shared" si="42"/>
        <v>16.887500000000003</v>
      </c>
      <c r="AT23" s="263">
        <f t="shared" si="42"/>
        <v>0</v>
      </c>
      <c r="AU23" s="263">
        <f t="shared" si="42"/>
        <v>0</v>
      </c>
      <c r="AV23" s="263">
        <f t="shared" si="42"/>
        <v>0</v>
      </c>
      <c r="AW23" s="411">
        <f t="shared" si="43"/>
        <v>388.05062582345187</v>
      </c>
      <c r="AX23" s="1">
        <f t="shared" si="51"/>
        <v>2020</v>
      </c>
      <c r="AY23" s="263">
        <f t="shared" si="44"/>
        <v>0</v>
      </c>
      <c r="AZ23" s="263">
        <f t="shared" si="44"/>
        <v>0</v>
      </c>
      <c r="BA23" s="263">
        <f t="shared" si="44"/>
        <v>0</v>
      </c>
      <c r="BB23" s="263">
        <f t="shared" si="44"/>
        <v>0</v>
      </c>
      <c r="BC23" s="263">
        <f t="shared" si="44"/>
        <v>31.450595238095232</v>
      </c>
      <c r="BD23" s="263">
        <f t="shared" si="44"/>
        <v>115.68206521739128</v>
      </c>
      <c r="BE23" s="263">
        <f t="shared" si="44"/>
        <v>246.88749999999999</v>
      </c>
      <c r="BF23" s="263">
        <f t="shared" si="44"/>
        <v>154.93106060606064</v>
      </c>
      <c r="BG23" s="263">
        <f t="shared" si="44"/>
        <v>37.879166666666663</v>
      </c>
      <c r="BH23" s="263">
        <f t="shared" si="44"/>
        <v>0.22916666666666785</v>
      </c>
      <c r="BI23" s="263">
        <f t="shared" si="44"/>
        <v>0</v>
      </c>
      <c r="BJ23" s="263">
        <f t="shared" si="44"/>
        <v>0</v>
      </c>
      <c r="BL23" s="1">
        <f t="shared" si="52"/>
        <v>2020</v>
      </c>
      <c r="BM23" s="263">
        <f t="shared" si="45"/>
        <v>0</v>
      </c>
      <c r="BN23" s="263">
        <f t="shared" si="45"/>
        <v>0</v>
      </c>
      <c r="BO23" s="263">
        <f t="shared" si="45"/>
        <v>0</v>
      </c>
      <c r="BP23" s="263">
        <f t="shared" si="45"/>
        <v>0</v>
      </c>
      <c r="BQ23" s="263">
        <f t="shared" si="45"/>
        <v>50.900595238095221</v>
      </c>
      <c r="BR23" s="263">
        <f t="shared" si="45"/>
        <v>165.96956521739128</v>
      </c>
      <c r="BS23" s="263">
        <f t="shared" si="45"/>
        <v>308.88750000000005</v>
      </c>
      <c r="BT23" s="263">
        <f t="shared" si="45"/>
        <v>216.93106060606064</v>
      </c>
      <c r="BU23" s="263">
        <f t="shared" si="45"/>
        <v>75.812499999999972</v>
      </c>
      <c r="BV23" s="263">
        <f t="shared" si="45"/>
        <v>3.9291666666666654</v>
      </c>
      <c r="BW23" s="263">
        <f t="shared" si="45"/>
        <v>0</v>
      </c>
      <c r="BX23" s="263">
        <f t="shared" si="45"/>
        <v>0</v>
      </c>
      <c r="BZ23" s="1">
        <f t="shared" si="53"/>
        <v>2020</v>
      </c>
      <c r="CA23" s="263">
        <f t="shared" si="46"/>
        <v>0</v>
      </c>
      <c r="CB23" s="263">
        <f t="shared" si="46"/>
        <v>0</v>
      </c>
      <c r="CC23" s="263">
        <f t="shared" si="46"/>
        <v>0</v>
      </c>
      <c r="CD23" s="263">
        <f t="shared" si="46"/>
        <v>0</v>
      </c>
      <c r="CE23" s="263">
        <f t="shared" si="46"/>
        <v>77.750595238095229</v>
      </c>
      <c r="CF23" s="263">
        <f t="shared" si="46"/>
        <v>222.53623188405788</v>
      </c>
      <c r="CG23" s="263">
        <f t="shared" si="46"/>
        <v>370.88750000000005</v>
      </c>
      <c r="CH23" s="263">
        <f t="shared" si="46"/>
        <v>278.93106060606061</v>
      </c>
      <c r="CI23" s="263">
        <f t="shared" si="46"/>
        <v>120.81213768115938</v>
      </c>
      <c r="CJ23" s="263">
        <f t="shared" si="46"/>
        <v>10.262500000000003</v>
      </c>
      <c r="CK23" s="263">
        <f t="shared" si="46"/>
        <v>1.8291666666666622</v>
      </c>
      <c r="CL23" s="263">
        <f t="shared" si="46"/>
        <v>0</v>
      </c>
      <c r="CN23" s="1">
        <f t="shared" si="54"/>
        <v>2020</v>
      </c>
      <c r="CO23" s="263">
        <f t="shared" si="47"/>
        <v>0</v>
      </c>
      <c r="CP23" s="263">
        <f t="shared" si="47"/>
        <v>0</v>
      </c>
      <c r="CQ23" s="263">
        <f t="shared" si="47"/>
        <v>3.7499999999999645E-2</v>
      </c>
      <c r="CR23" s="263">
        <f t="shared" si="47"/>
        <v>2.1541666666666721</v>
      </c>
      <c r="CS23" s="263">
        <f t="shared" si="47"/>
        <v>111.87976190476191</v>
      </c>
      <c r="CT23" s="263">
        <f t="shared" si="47"/>
        <v>282.53623188405788</v>
      </c>
      <c r="CU23" s="263">
        <f t="shared" si="47"/>
        <v>432.88750000000005</v>
      </c>
      <c r="CV23" s="263">
        <f t="shared" si="47"/>
        <v>340.93106060606056</v>
      </c>
      <c r="CW23" s="263">
        <f t="shared" si="47"/>
        <v>174.07880434782609</v>
      </c>
      <c r="CX23" s="263">
        <f t="shared" si="47"/>
        <v>31.466666666666676</v>
      </c>
      <c r="CY23" s="263">
        <f t="shared" si="47"/>
        <v>9.9624999999999932</v>
      </c>
      <c r="CZ23" s="263">
        <f t="shared" si="47"/>
        <v>0</v>
      </c>
      <c r="DB23" s="1">
        <f t="shared" si="55"/>
        <v>2020</v>
      </c>
      <c r="DC23" s="263">
        <f t="shared" si="48"/>
        <v>0</v>
      </c>
      <c r="DD23" s="263">
        <f t="shared" si="48"/>
        <v>0</v>
      </c>
      <c r="DE23" s="263">
        <f t="shared" si="48"/>
        <v>2.9041666666666668</v>
      </c>
      <c r="DF23" s="263">
        <f t="shared" si="48"/>
        <v>9.5083333333333364</v>
      </c>
      <c r="DG23" s="263">
        <f t="shared" si="48"/>
        <v>151.37559523809523</v>
      </c>
      <c r="DH23" s="263">
        <f t="shared" si="48"/>
        <v>342.536231884058</v>
      </c>
      <c r="DI23" s="263">
        <f t="shared" si="48"/>
        <v>494.88750000000005</v>
      </c>
      <c r="DJ23" s="263">
        <f t="shared" si="48"/>
        <v>402.93106060606067</v>
      </c>
      <c r="DK23" s="263">
        <f t="shared" si="48"/>
        <v>231.84547101449272</v>
      </c>
      <c r="DL23" s="263">
        <f t="shared" si="48"/>
        <v>60.620833333333344</v>
      </c>
      <c r="DM23" s="263">
        <f t="shared" si="48"/>
        <v>26.574999999999996</v>
      </c>
      <c r="DN23" s="263">
        <f t="shared" si="48"/>
        <v>0</v>
      </c>
      <c r="DP23" s="18">
        <f>'Monthly Data'!F23</f>
        <v>31899084.21183715</v>
      </c>
      <c r="DQ23" s="18">
        <f>'Monthly Data'!J23</f>
        <v>10050178.546894442</v>
      </c>
      <c r="DR23" s="18">
        <f>'Monthly Data'!N23</f>
        <v>26431491.689325772</v>
      </c>
      <c r="DS23" s="4">
        <f>'Monthly Data'!S23</f>
        <v>7674378.604801679</v>
      </c>
      <c r="DT23" s="4">
        <f>'Monthly Data'!V23</f>
        <v>3484851.2475000508</v>
      </c>
      <c r="DU23" s="18">
        <f t="shared" si="7"/>
        <v>37362558.799700454</v>
      </c>
      <c r="DV23" s="18">
        <f t="shared" si="8"/>
        <v>9908825.3329624534</v>
      </c>
      <c r="DW23" s="18">
        <f t="shared" si="9"/>
        <v>24825522.920280278</v>
      </c>
      <c r="DX23" s="18">
        <f t="shared" si="10"/>
        <v>6981462.3638093574</v>
      </c>
      <c r="DY23" s="18">
        <f t="shared" si="11"/>
        <v>3149246.1747523062</v>
      </c>
      <c r="EK23" s="1" t="s">
        <v>156</v>
      </c>
      <c r="EL23" s="1">
        <v>0.62965665653476899</v>
      </c>
      <c r="EM23" s="1" t="s">
        <v>157</v>
      </c>
      <c r="EN23" s="1">
        <v>0.62327142647502398</v>
      </c>
      <c r="ER23" s="24">
        <f>'Monthly Data'!F23/'Monthly Data'!G23/'Monthly Data'!CD23</f>
        <v>19.910658007988928</v>
      </c>
      <c r="ES23" s="259">
        <f>'Monthly Data'!J23/'Monthly Data'!K23/'Monthly Data'!CD23</f>
        <v>78.045090988044507</v>
      </c>
      <c r="ET23" s="24">
        <f>'Monthly Data'!N23/'Monthly Data'!P23/'Monthly Data'!CD23</f>
        <v>1636.5235396771577</v>
      </c>
      <c r="EU23" s="24">
        <f>'Monthly Data'!Q23/'Monthly Data'!U23/'Monthly Data'!CD23</f>
        <v>16698.206801577304</v>
      </c>
      <c r="EV23" s="24">
        <f>'Monthly Data'!V23/'Monthly Data'!Z23/'Monthly Data'!CD23</f>
        <v>112414.55637096938</v>
      </c>
      <c r="EW23" s="24"/>
      <c r="FG23" s="24"/>
    </row>
    <row r="24" spans="1:163" x14ac:dyDescent="0.25">
      <c r="A24" s="3">
        <v>42675</v>
      </c>
      <c r="B24" s="1">
        <v>2016</v>
      </c>
      <c r="C24" s="1">
        <v>11</v>
      </c>
      <c r="D24" s="263">
        <v>5.4221626984126994</v>
      </c>
      <c r="E24" s="263">
        <v>437.33511904761912</v>
      </c>
      <c r="F24" s="263">
        <v>0</v>
      </c>
      <c r="G24" s="263">
        <v>377.33511904761912</v>
      </c>
      <c r="H24" s="263">
        <v>0</v>
      </c>
      <c r="I24" s="263">
        <v>317.335119047619</v>
      </c>
      <c r="J24" s="263">
        <v>0</v>
      </c>
      <c r="K24" s="263">
        <v>257.33511904761906</v>
      </c>
      <c r="L24" s="263">
        <v>0</v>
      </c>
      <c r="M24" s="263">
        <v>198.66428571428571</v>
      </c>
      <c r="N24" s="263">
        <v>1.3291666666666675</v>
      </c>
      <c r="O24" s="263">
        <v>141.00178571428572</v>
      </c>
      <c r="P24" s="263">
        <v>3.6666666666666679</v>
      </c>
      <c r="Q24" s="263">
        <v>89.230952380952388</v>
      </c>
      <c r="R24" s="263">
        <v>11.895833333333334</v>
      </c>
      <c r="U24" s="1">
        <f t="shared" si="49"/>
        <v>2021</v>
      </c>
      <c r="V24" s="263">
        <f t="shared" si="41"/>
        <v>0</v>
      </c>
      <c r="W24" s="263">
        <f t="shared" si="41"/>
        <v>0</v>
      </c>
      <c r="X24" s="263">
        <f t="shared" si="41"/>
        <v>0</v>
      </c>
      <c r="Y24" s="263">
        <f t="shared" si="41"/>
        <v>0</v>
      </c>
      <c r="Z24" s="263">
        <f t="shared" si="41"/>
        <v>6.4541666666666622</v>
      </c>
      <c r="AA24" s="263">
        <f t="shared" si="41"/>
        <v>37.74166666666666</v>
      </c>
      <c r="AB24" s="263">
        <f t="shared" si="41"/>
        <v>32.391666666666652</v>
      </c>
      <c r="AC24" s="263">
        <f t="shared" si="41"/>
        <v>88.587499999999991</v>
      </c>
      <c r="AD24" s="263">
        <f t="shared" si="41"/>
        <v>2.37916666666667</v>
      </c>
      <c r="AE24" s="263">
        <f t="shared" si="41"/>
        <v>0</v>
      </c>
      <c r="AF24" s="263">
        <f t="shared" si="41"/>
        <v>0</v>
      </c>
      <c r="AG24" s="263">
        <f t="shared" si="41"/>
        <v>0</v>
      </c>
      <c r="AJ24" s="1">
        <f t="shared" si="50"/>
        <v>2021</v>
      </c>
      <c r="AK24" s="263">
        <f t="shared" si="42"/>
        <v>0</v>
      </c>
      <c r="AL24" s="263">
        <f t="shared" si="42"/>
        <v>0</v>
      </c>
      <c r="AM24" s="263">
        <f t="shared" si="42"/>
        <v>0</v>
      </c>
      <c r="AN24" s="263">
        <f t="shared" si="42"/>
        <v>0</v>
      </c>
      <c r="AO24" s="263">
        <f t="shared" si="42"/>
        <v>20.174999999999997</v>
      </c>
      <c r="AP24" s="263">
        <f t="shared" si="42"/>
        <v>75.92916666666666</v>
      </c>
      <c r="AQ24" s="263">
        <f t="shared" si="42"/>
        <v>74.229166666666615</v>
      </c>
      <c r="AR24" s="263">
        <f t="shared" si="42"/>
        <v>142.75416666666666</v>
      </c>
      <c r="AS24" s="263">
        <f t="shared" si="42"/>
        <v>14.954166666666683</v>
      </c>
      <c r="AT24" s="263">
        <f t="shared" si="42"/>
        <v>1.2875000000000014</v>
      </c>
      <c r="AU24" s="263">
        <f t="shared" si="42"/>
        <v>0</v>
      </c>
      <c r="AV24" s="263">
        <f t="shared" si="42"/>
        <v>0</v>
      </c>
      <c r="AW24" s="411">
        <f t="shared" si="43"/>
        <v>329.32916666666665</v>
      </c>
      <c r="AX24" s="1">
        <f t="shared" si="51"/>
        <v>2021</v>
      </c>
      <c r="AY24" s="263">
        <f t="shared" si="44"/>
        <v>0</v>
      </c>
      <c r="AZ24" s="263">
        <f t="shared" si="44"/>
        <v>0</v>
      </c>
      <c r="BA24" s="263">
        <f t="shared" si="44"/>
        <v>0</v>
      </c>
      <c r="BB24" s="263">
        <f t="shared" si="44"/>
        <v>0.21249999999999858</v>
      </c>
      <c r="BC24" s="263">
        <f t="shared" si="44"/>
        <v>35.574999999999996</v>
      </c>
      <c r="BD24" s="263">
        <f t="shared" si="44"/>
        <v>124.94583333333331</v>
      </c>
      <c r="BE24" s="263">
        <f t="shared" si="44"/>
        <v>131.62083333333331</v>
      </c>
      <c r="BF24" s="263">
        <f t="shared" si="44"/>
        <v>204.06249999999994</v>
      </c>
      <c r="BG24" s="263">
        <f t="shared" si="44"/>
        <v>49.341666666666683</v>
      </c>
      <c r="BH24" s="263">
        <f t="shared" si="44"/>
        <v>18.245833333333344</v>
      </c>
      <c r="BI24" s="263">
        <f t="shared" si="44"/>
        <v>0</v>
      </c>
      <c r="BJ24" s="263">
        <f t="shared" si="44"/>
        <v>0</v>
      </c>
      <c r="BL24" s="1">
        <f t="shared" si="52"/>
        <v>2021</v>
      </c>
      <c r="BM24" s="263">
        <f t="shared" si="45"/>
        <v>0</v>
      </c>
      <c r="BN24" s="263">
        <f t="shared" si="45"/>
        <v>0</v>
      </c>
      <c r="BO24" s="263">
        <f t="shared" si="45"/>
        <v>0</v>
      </c>
      <c r="BP24" s="263">
        <f t="shared" si="45"/>
        <v>3.7083333333333339</v>
      </c>
      <c r="BQ24" s="263">
        <f t="shared" si="45"/>
        <v>53.908333333333317</v>
      </c>
      <c r="BR24" s="263">
        <f t="shared" si="45"/>
        <v>181.67499999999995</v>
      </c>
      <c r="BS24" s="263">
        <f t="shared" si="45"/>
        <v>192.87499999999994</v>
      </c>
      <c r="BT24" s="263">
        <f t="shared" si="45"/>
        <v>266.0625</v>
      </c>
      <c r="BU24" s="263">
        <f t="shared" si="45"/>
        <v>95.25833333333334</v>
      </c>
      <c r="BV24" s="263">
        <f t="shared" si="45"/>
        <v>44.562500000000028</v>
      </c>
      <c r="BW24" s="263">
        <f t="shared" si="45"/>
        <v>0</v>
      </c>
      <c r="BX24" s="263">
        <f t="shared" si="45"/>
        <v>0</v>
      </c>
      <c r="BZ24" s="1">
        <f t="shared" si="53"/>
        <v>2021</v>
      </c>
      <c r="CA24" s="263">
        <f t="shared" si="46"/>
        <v>0</v>
      </c>
      <c r="CB24" s="263">
        <f t="shared" si="46"/>
        <v>0</v>
      </c>
      <c r="CC24" s="263">
        <f t="shared" si="46"/>
        <v>0.29583333333332895</v>
      </c>
      <c r="CD24" s="263">
        <f t="shared" si="46"/>
        <v>11.054166666666664</v>
      </c>
      <c r="CE24" s="263">
        <f t="shared" si="46"/>
        <v>83.256944444444414</v>
      </c>
      <c r="CF24" s="263">
        <f t="shared" si="46"/>
        <v>241.67500000000001</v>
      </c>
      <c r="CG24" s="263">
        <f t="shared" si="46"/>
        <v>254.87499999999994</v>
      </c>
      <c r="CH24" s="263">
        <f t="shared" si="46"/>
        <v>328.06249999999989</v>
      </c>
      <c r="CI24" s="263">
        <f t="shared" si="46"/>
        <v>149.55833333333328</v>
      </c>
      <c r="CJ24" s="263">
        <f t="shared" si="46"/>
        <v>77.979166666666686</v>
      </c>
      <c r="CK24" s="263">
        <f t="shared" si="46"/>
        <v>0</v>
      </c>
      <c r="CL24" s="263">
        <f t="shared" si="46"/>
        <v>0</v>
      </c>
      <c r="CN24" s="1">
        <f t="shared" si="54"/>
        <v>2021</v>
      </c>
      <c r="CO24" s="263">
        <f t="shared" si="47"/>
        <v>0</v>
      </c>
      <c r="CP24" s="263">
        <f t="shared" si="47"/>
        <v>0</v>
      </c>
      <c r="CQ24" s="263">
        <f t="shared" si="47"/>
        <v>5.1499999999999932</v>
      </c>
      <c r="CR24" s="263">
        <f t="shared" si="47"/>
        <v>22.362499999999997</v>
      </c>
      <c r="CS24" s="263">
        <f t="shared" si="47"/>
        <v>120.51527777777777</v>
      </c>
      <c r="CT24" s="263">
        <f t="shared" si="47"/>
        <v>301.67500000000001</v>
      </c>
      <c r="CU24" s="263">
        <f t="shared" si="47"/>
        <v>316.87499999999994</v>
      </c>
      <c r="CV24" s="263">
        <f t="shared" si="47"/>
        <v>390.06249999999989</v>
      </c>
      <c r="CW24" s="263">
        <f t="shared" si="47"/>
        <v>209.27500000000001</v>
      </c>
      <c r="CX24" s="263">
        <f t="shared" si="47"/>
        <v>118.07916666666668</v>
      </c>
      <c r="CY24" s="263">
        <f t="shared" si="47"/>
        <v>0</v>
      </c>
      <c r="CZ24" s="263">
        <f t="shared" si="47"/>
        <v>0.41249999999999964</v>
      </c>
      <c r="DB24" s="1">
        <f t="shared" si="55"/>
        <v>2021</v>
      </c>
      <c r="DC24" s="263">
        <f t="shared" si="48"/>
        <v>0</v>
      </c>
      <c r="DD24" s="263">
        <f t="shared" si="48"/>
        <v>0</v>
      </c>
      <c r="DE24" s="263">
        <f t="shared" si="48"/>
        <v>12.05416666666666</v>
      </c>
      <c r="DF24" s="263">
        <f t="shared" si="48"/>
        <v>40.658333333333331</v>
      </c>
      <c r="DG24" s="263">
        <f t="shared" si="48"/>
        <v>164.65694444444446</v>
      </c>
      <c r="DH24" s="263">
        <f t="shared" si="48"/>
        <v>361.67500000000001</v>
      </c>
      <c r="DI24" s="263">
        <f t="shared" si="48"/>
        <v>378.87499999999994</v>
      </c>
      <c r="DJ24" s="263">
        <f t="shared" si="48"/>
        <v>452.06249999999989</v>
      </c>
      <c r="DK24" s="263">
        <f t="shared" si="48"/>
        <v>269.27499999999998</v>
      </c>
      <c r="DL24" s="263">
        <f t="shared" si="48"/>
        <v>164.47916666666669</v>
      </c>
      <c r="DM24" s="263">
        <f t="shared" si="48"/>
        <v>2.1916666666666682</v>
      </c>
      <c r="DN24" s="263">
        <f t="shared" si="48"/>
        <v>2.4124999999999996</v>
      </c>
      <c r="DP24" s="18">
        <f>'Monthly Data'!F24</f>
        <v>35135197.641628094</v>
      </c>
      <c r="DQ24" s="18">
        <f>'Monthly Data'!J24</f>
        <v>10467644.593618168</v>
      </c>
      <c r="DR24" s="18">
        <f>'Monthly Data'!N24</f>
        <v>26484968.386753168</v>
      </c>
      <c r="DS24" s="4">
        <f>'Monthly Data'!S24</f>
        <v>7232382.6811063746</v>
      </c>
      <c r="DT24" s="4">
        <f>'Monthly Data'!V24</f>
        <v>3264640.2214974263</v>
      </c>
      <c r="DU24" s="18">
        <f t="shared" si="7"/>
        <v>37952701.47800497</v>
      </c>
      <c r="DV24" s="18">
        <f t="shared" si="8"/>
        <v>10419829.683101879</v>
      </c>
      <c r="DW24" s="18">
        <f t="shared" si="9"/>
        <v>25671392.930415846</v>
      </c>
      <c r="DX24" s="18">
        <f t="shared" si="10"/>
        <v>6823592.4340258958</v>
      </c>
      <c r="DY24" s="18">
        <f t="shared" si="11"/>
        <v>3138625.1468769424</v>
      </c>
      <c r="EK24" s="1" t="s">
        <v>158</v>
      </c>
      <c r="EL24" s="1">
        <v>81.203833988886203</v>
      </c>
      <c r="EM24" s="1" t="s">
        <v>159</v>
      </c>
      <c r="EN24" s="274">
        <v>8.8522609322873005E-23</v>
      </c>
      <c r="ER24" s="24">
        <f>'Monthly Data'!F24/'Monthly Data'!G24/'Monthly Data'!CD24</f>
        <v>22.392941907820816</v>
      </c>
      <c r="ES24" s="259">
        <f>'Monthly Data'!J24/'Monthly Data'!K24/'Monthly Data'!CD24</f>
        <v>84.118005413196457</v>
      </c>
      <c r="ET24" s="24">
        <f>'Monthly Data'!N24/'Monthly Data'!P24/'Monthly Data'!CD24</f>
        <v>1694.4957381160057</v>
      </c>
      <c r="EU24" s="24">
        <f>'Monthly Data'!Q24/'Monthly Data'!U24/'Monthly Data'!CD24</f>
        <v>17373.553926461795</v>
      </c>
      <c r="EV24" s="24">
        <f>'Monthly Data'!V24/'Monthly Data'!Z24/'Monthly Data'!CD24</f>
        <v>108821.34071658087</v>
      </c>
      <c r="EW24" s="24"/>
      <c r="FG24" s="24"/>
    </row>
    <row r="25" spans="1:163" x14ac:dyDescent="0.25">
      <c r="A25" s="3">
        <v>42705</v>
      </c>
      <c r="B25" s="1">
        <v>2016</v>
      </c>
      <c r="C25" s="1">
        <v>12</v>
      </c>
      <c r="D25" s="263">
        <v>-1.8926075268817202</v>
      </c>
      <c r="E25" s="263">
        <v>678.67083333333323</v>
      </c>
      <c r="F25" s="263">
        <v>0</v>
      </c>
      <c r="G25" s="263">
        <v>616.67083333333335</v>
      </c>
      <c r="H25" s="263">
        <v>0</v>
      </c>
      <c r="I25" s="263">
        <v>554.67083333333346</v>
      </c>
      <c r="J25" s="263">
        <v>0</v>
      </c>
      <c r="K25" s="263">
        <v>492.67083333333335</v>
      </c>
      <c r="L25" s="263">
        <v>0</v>
      </c>
      <c r="M25" s="263">
        <v>430.67083333333341</v>
      </c>
      <c r="N25" s="263">
        <v>0</v>
      </c>
      <c r="O25" s="263">
        <v>368.67083333333341</v>
      </c>
      <c r="P25" s="263">
        <v>0</v>
      </c>
      <c r="Q25" s="263">
        <v>306.67083333333341</v>
      </c>
      <c r="R25" s="263">
        <v>0</v>
      </c>
      <c r="U25" s="1">
        <f t="shared" si="49"/>
        <v>2022</v>
      </c>
      <c r="V25" s="263">
        <f t="shared" si="41"/>
        <v>0</v>
      </c>
      <c r="W25" s="263">
        <f t="shared" si="41"/>
        <v>0</v>
      </c>
      <c r="X25" s="263">
        <f t="shared" si="41"/>
        <v>0</v>
      </c>
      <c r="Y25" s="263">
        <f t="shared" si="41"/>
        <v>0</v>
      </c>
      <c r="Z25" s="263">
        <f t="shared" si="41"/>
        <v>6.0166666666666657</v>
      </c>
      <c r="AA25" s="263">
        <f t="shared" si="41"/>
        <v>16.451515151515149</v>
      </c>
      <c r="AB25" s="263">
        <f t="shared" si="41"/>
        <v>44.848903508771912</v>
      </c>
      <c r="AC25" s="263">
        <f t="shared" si="41"/>
        <v>49.674999999999997</v>
      </c>
      <c r="AD25" s="263">
        <f t="shared" si="41"/>
        <v>3.0124999999999957</v>
      </c>
      <c r="AE25" s="263">
        <f t="shared" si="41"/>
        <v>0</v>
      </c>
      <c r="AF25" s="263">
        <f t="shared" si="41"/>
        <v>0</v>
      </c>
      <c r="AG25" s="263">
        <f t="shared" si="41"/>
        <v>0</v>
      </c>
      <c r="AJ25" s="1">
        <f t="shared" si="50"/>
        <v>2022</v>
      </c>
      <c r="AK25" s="263">
        <f t="shared" si="42"/>
        <v>0</v>
      </c>
      <c r="AL25" s="263">
        <f t="shared" si="42"/>
        <v>0</v>
      </c>
      <c r="AM25" s="263">
        <f t="shared" si="42"/>
        <v>0</v>
      </c>
      <c r="AN25" s="263">
        <f t="shared" si="42"/>
        <v>0</v>
      </c>
      <c r="AO25" s="263">
        <f t="shared" si="42"/>
        <v>18.545833333333334</v>
      </c>
      <c r="AP25" s="263">
        <f t="shared" si="42"/>
        <v>37.089015151515156</v>
      </c>
      <c r="AQ25" s="263">
        <f t="shared" si="42"/>
        <v>98.475171624713937</v>
      </c>
      <c r="AR25" s="263">
        <f t="shared" si="42"/>
        <v>105.04583333333332</v>
      </c>
      <c r="AS25" s="263">
        <f t="shared" si="42"/>
        <v>22.633333333333329</v>
      </c>
      <c r="AT25" s="263">
        <f t="shared" si="42"/>
        <v>0</v>
      </c>
      <c r="AU25" s="263">
        <f t="shared" si="42"/>
        <v>0</v>
      </c>
      <c r="AV25" s="263">
        <f t="shared" si="42"/>
        <v>0</v>
      </c>
      <c r="AW25" s="411">
        <f t="shared" si="43"/>
        <v>281.78918677622903</v>
      </c>
      <c r="AX25" s="1">
        <f t="shared" si="51"/>
        <v>2022</v>
      </c>
      <c r="AY25" s="263">
        <f t="shared" si="44"/>
        <v>0</v>
      </c>
      <c r="AZ25" s="263">
        <f t="shared" si="44"/>
        <v>0</v>
      </c>
      <c r="BA25" s="263">
        <f t="shared" si="44"/>
        <v>0</v>
      </c>
      <c r="BB25" s="263">
        <f t="shared" si="44"/>
        <v>0</v>
      </c>
      <c r="BC25" s="263">
        <f t="shared" si="44"/>
        <v>41.6875</v>
      </c>
      <c r="BD25" s="263">
        <f t="shared" si="44"/>
        <v>67.11282467532466</v>
      </c>
      <c r="BE25" s="263">
        <f t="shared" si="44"/>
        <v>159.8543382913806</v>
      </c>
      <c r="BF25" s="263">
        <f t="shared" si="44"/>
        <v>166.28333333333327</v>
      </c>
      <c r="BG25" s="263">
        <f t="shared" si="44"/>
        <v>56.250000000000007</v>
      </c>
      <c r="BH25" s="263">
        <f t="shared" si="44"/>
        <v>0</v>
      </c>
      <c r="BI25" s="263">
        <f t="shared" si="44"/>
        <v>0</v>
      </c>
      <c r="BJ25" s="263">
        <f t="shared" si="44"/>
        <v>0</v>
      </c>
      <c r="BL25" s="1">
        <f t="shared" si="52"/>
        <v>2022</v>
      </c>
      <c r="BM25" s="263">
        <f t="shared" si="45"/>
        <v>0</v>
      </c>
      <c r="BN25" s="263">
        <f t="shared" si="45"/>
        <v>0</v>
      </c>
      <c r="BO25" s="263">
        <f t="shared" si="45"/>
        <v>0</v>
      </c>
      <c r="BP25" s="263">
        <f t="shared" si="45"/>
        <v>0</v>
      </c>
      <c r="BQ25" s="263">
        <f t="shared" si="45"/>
        <v>72.362499999999997</v>
      </c>
      <c r="BR25" s="263">
        <f t="shared" si="45"/>
        <v>120.92250416250417</v>
      </c>
      <c r="BS25" s="263">
        <f t="shared" si="45"/>
        <v>221.8543382913806</v>
      </c>
      <c r="BT25" s="263">
        <f t="shared" si="45"/>
        <v>228.28333333333333</v>
      </c>
      <c r="BU25" s="263">
        <f t="shared" si="45"/>
        <v>94.054166666666674</v>
      </c>
      <c r="BV25" s="263">
        <f t="shared" si="45"/>
        <v>2.4208333333333307</v>
      </c>
      <c r="BW25" s="263">
        <f t="shared" si="45"/>
        <v>2.3083333333333318</v>
      </c>
      <c r="BX25" s="263">
        <f t="shared" si="45"/>
        <v>0</v>
      </c>
      <c r="BZ25" s="1">
        <f t="shared" si="53"/>
        <v>2022</v>
      </c>
      <c r="CA25" s="263">
        <f t="shared" si="46"/>
        <v>0</v>
      </c>
      <c r="CB25" s="263">
        <f t="shared" si="46"/>
        <v>0</v>
      </c>
      <c r="CC25" s="263">
        <f t="shared" si="46"/>
        <v>0</v>
      </c>
      <c r="CD25" s="263">
        <f t="shared" si="46"/>
        <v>2.2541666666666629</v>
      </c>
      <c r="CE25" s="263">
        <f t="shared" si="46"/>
        <v>109.43749999999997</v>
      </c>
      <c r="CF25" s="263">
        <f t="shared" si="46"/>
        <v>180.92250416250408</v>
      </c>
      <c r="CG25" s="263">
        <f t="shared" si="46"/>
        <v>283.8543382913806</v>
      </c>
      <c r="CH25" s="263">
        <f t="shared" si="46"/>
        <v>290.28333333333336</v>
      </c>
      <c r="CI25" s="263">
        <f t="shared" si="46"/>
        <v>139.79166666666663</v>
      </c>
      <c r="CJ25" s="263">
        <f t="shared" si="46"/>
        <v>11.604166666666668</v>
      </c>
      <c r="CK25" s="263">
        <f t="shared" si="46"/>
        <v>6.5791666666666675</v>
      </c>
      <c r="CL25" s="263">
        <f t="shared" si="46"/>
        <v>0</v>
      </c>
      <c r="CN25" s="1">
        <f t="shared" si="54"/>
        <v>2022</v>
      </c>
      <c r="CO25" s="263">
        <f t="shared" si="47"/>
        <v>0</v>
      </c>
      <c r="CP25" s="263">
        <f t="shared" si="47"/>
        <v>0</v>
      </c>
      <c r="CQ25" s="263">
        <f t="shared" si="47"/>
        <v>0</v>
      </c>
      <c r="CR25" s="263">
        <f t="shared" si="47"/>
        <v>8.7083333333333286</v>
      </c>
      <c r="CS25" s="263">
        <f t="shared" si="47"/>
        <v>157.97083333333333</v>
      </c>
      <c r="CT25" s="263">
        <f t="shared" si="47"/>
        <v>240.92250416250408</v>
      </c>
      <c r="CU25" s="263">
        <f t="shared" si="47"/>
        <v>345.85433829138066</v>
      </c>
      <c r="CV25" s="263">
        <f t="shared" si="47"/>
        <v>352.28333333333342</v>
      </c>
      <c r="CW25" s="263">
        <f t="shared" si="47"/>
        <v>193.32083333333327</v>
      </c>
      <c r="CX25" s="263">
        <f t="shared" si="47"/>
        <v>32</v>
      </c>
      <c r="CY25" s="263">
        <f t="shared" si="47"/>
        <v>13.824999999999999</v>
      </c>
      <c r="CZ25" s="263">
        <f t="shared" si="47"/>
        <v>0</v>
      </c>
      <c r="DB25" s="1">
        <f t="shared" si="55"/>
        <v>2022</v>
      </c>
      <c r="DC25" s="263">
        <f t="shared" si="48"/>
        <v>0</v>
      </c>
      <c r="DD25" s="263">
        <f t="shared" si="48"/>
        <v>0</v>
      </c>
      <c r="DE25" s="263">
        <f t="shared" si="48"/>
        <v>1.3208333333333311</v>
      </c>
      <c r="DF25" s="263">
        <f t="shared" si="48"/>
        <v>21.24166666666666</v>
      </c>
      <c r="DG25" s="263">
        <f t="shared" si="48"/>
        <v>219.03749999999999</v>
      </c>
      <c r="DH25" s="263">
        <f t="shared" si="48"/>
        <v>300.92250416250414</v>
      </c>
      <c r="DI25" s="263">
        <f t="shared" si="48"/>
        <v>407.8543382913806</v>
      </c>
      <c r="DJ25" s="263">
        <f t="shared" si="48"/>
        <v>414.28333333333336</v>
      </c>
      <c r="DK25" s="263">
        <f t="shared" si="48"/>
        <v>251.2208333333333</v>
      </c>
      <c r="DL25" s="263">
        <f t="shared" si="48"/>
        <v>64.804166666666674</v>
      </c>
      <c r="DM25" s="263">
        <f t="shared" si="48"/>
        <v>26.966666666666669</v>
      </c>
      <c r="DN25" s="263">
        <f t="shared" si="48"/>
        <v>0</v>
      </c>
      <c r="DP25" s="18">
        <f>'Monthly Data'!F25</f>
        <v>42452801.040332444</v>
      </c>
      <c r="DQ25" s="18">
        <f>'Monthly Data'!J25</f>
        <v>11890572.967155561</v>
      </c>
      <c r="DR25" s="18">
        <f>'Monthly Data'!N25</f>
        <v>31221242.491340503</v>
      </c>
      <c r="DS25" s="4">
        <f>'Monthly Data'!S25</f>
        <v>7259200.5747319283</v>
      </c>
      <c r="DT25" s="4">
        <f>'Monthly Data'!V25</f>
        <v>3043951.7634717003</v>
      </c>
      <c r="DU25" s="18">
        <f t="shared" si="7"/>
        <v>45126995.410532594</v>
      </c>
      <c r="DV25" s="18">
        <f t="shared" si="8"/>
        <v>11747211.511653228</v>
      </c>
      <c r="DW25" s="18">
        <f t="shared" si="9"/>
        <v>30213001.017994195</v>
      </c>
      <c r="DX25" s="18">
        <f t="shared" si="10"/>
        <v>6863660.5256042937</v>
      </c>
      <c r="DY25" s="18">
        <f t="shared" si="11"/>
        <v>3188257.9054157557</v>
      </c>
      <c r="EK25" s="1" t="s">
        <v>160</v>
      </c>
      <c r="EL25" s="1">
        <v>-5.7324566368539102E-2</v>
      </c>
      <c r="EM25" s="1" t="s">
        <v>161</v>
      </c>
      <c r="EN25" s="1">
        <v>2.1118012741938101</v>
      </c>
      <c r="ER25" s="24">
        <f>'Monthly Data'!F25/'Monthly Data'!G25/'Monthly Data'!CD25</f>
        <v>26.197945303491931</v>
      </c>
      <c r="ES25" s="259">
        <f>'Monthly Data'!J25/'Monthly Data'!K25/'Monthly Data'!CD25</f>
        <v>92.425751785119004</v>
      </c>
      <c r="ET25" s="24">
        <f>'Monthly Data'!N25/'Monthly Data'!P25/'Monthly Data'!CD25</f>
        <v>1933.0841738183706</v>
      </c>
      <c r="EU25" s="24">
        <f>'Monthly Data'!Q25/'Monthly Data'!U25/'Monthly Data'!CD25</f>
        <v>16796.761568112091</v>
      </c>
      <c r="EV25" s="24">
        <f>'Monthly Data'!V25/'Monthly Data'!Z25/'Monthly Data'!CD25</f>
        <v>98191.992370054853</v>
      </c>
      <c r="EW25" s="24"/>
      <c r="FG25" s="24"/>
    </row>
    <row r="26" spans="1:163" x14ac:dyDescent="0.25">
      <c r="A26" s="3">
        <v>42736</v>
      </c>
      <c r="B26" s="1">
        <v>2017</v>
      </c>
      <c r="C26" s="1">
        <v>1</v>
      </c>
      <c r="D26" s="263">
        <v>-2.0069892473118278</v>
      </c>
      <c r="E26" s="263">
        <v>682.2166666666667</v>
      </c>
      <c r="F26" s="263">
        <v>0</v>
      </c>
      <c r="G26" s="263">
        <v>620.2166666666667</v>
      </c>
      <c r="H26" s="263">
        <v>0</v>
      </c>
      <c r="I26" s="263">
        <v>558.21666666666658</v>
      </c>
      <c r="J26" s="263">
        <v>0</v>
      </c>
      <c r="K26" s="263">
        <v>496.21666666666664</v>
      </c>
      <c r="L26" s="263">
        <v>0</v>
      </c>
      <c r="M26" s="263">
        <v>434.21666666666664</v>
      </c>
      <c r="N26" s="263">
        <v>0</v>
      </c>
      <c r="O26" s="263">
        <v>372.2166666666667</v>
      </c>
      <c r="P26" s="263">
        <v>0</v>
      </c>
      <c r="Q26" s="263">
        <v>310.2166666666667</v>
      </c>
      <c r="R26" s="263">
        <v>0</v>
      </c>
      <c r="U26" s="1">
        <f t="shared" si="49"/>
        <v>2023</v>
      </c>
      <c r="V26" s="263">
        <f t="shared" si="41"/>
        <v>0</v>
      </c>
      <c r="W26" s="263">
        <f t="shared" si="41"/>
        <v>0</v>
      </c>
      <c r="X26" s="263">
        <f t="shared" si="41"/>
        <v>0</v>
      </c>
      <c r="Y26" s="263">
        <f t="shared" si="41"/>
        <v>0</v>
      </c>
      <c r="Z26" s="263">
        <f t="shared" si="41"/>
        <v>1.6166666666666636</v>
      </c>
      <c r="AA26" s="263">
        <f t="shared" si="41"/>
        <v>21.141666666666666</v>
      </c>
      <c r="AB26" s="263">
        <f t="shared" si="41"/>
        <v>45.099999999999966</v>
      </c>
      <c r="AC26" s="263">
        <f t="shared" si="41"/>
        <v>12.016666666666676</v>
      </c>
      <c r="AD26" s="263">
        <f t="shared" si="41"/>
        <v>18.212499999999995</v>
      </c>
      <c r="AE26" s="263">
        <f t="shared" si="41"/>
        <v>0</v>
      </c>
      <c r="AF26" s="263">
        <f t="shared" si="41"/>
        <v>0</v>
      </c>
      <c r="AG26" s="263">
        <f t="shared" si="41"/>
        <v>0</v>
      </c>
      <c r="AJ26" s="1">
        <f t="shared" si="50"/>
        <v>2023</v>
      </c>
      <c r="AK26" s="263">
        <f t="shared" si="42"/>
        <v>0</v>
      </c>
      <c r="AL26" s="263">
        <f t="shared" si="42"/>
        <v>0</v>
      </c>
      <c r="AM26" s="263">
        <f t="shared" si="42"/>
        <v>0</v>
      </c>
      <c r="AN26" s="263">
        <f t="shared" si="42"/>
        <v>0</v>
      </c>
      <c r="AO26" s="263">
        <f t="shared" si="42"/>
        <v>8.1333333333333258</v>
      </c>
      <c r="AP26" s="263">
        <f t="shared" si="42"/>
        <v>46.983333333333334</v>
      </c>
      <c r="AQ26" s="263">
        <f t="shared" si="42"/>
        <v>99.908333333333317</v>
      </c>
      <c r="AR26" s="263">
        <f t="shared" si="42"/>
        <v>51.079891304347839</v>
      </c>
      <c r="AS26" s="263">
        <f t="shared" si="42"/>
        <v>30.583333333333329</v>
      </c>
      <c r="AT26" s="263">
        <f t="shared" si="42"/>
        <v>7.3041666666666707</v>
      </c>
      <c r="AU26" s="263">
        <f t="shared" si="42"/>
        <v>0</v>
      </c>
      <c r="AV26" s="263">
        <f t="shared" si="42"/>
        <v>0</v>
      </c>
      <c r="AW26" s="411">
        <f t="shared" si="43"/>
        <v>243.99239130434779</v>
      </c>
      <c r="AX26" s="1">
        <f t="shared" si="51"/>
        <v>2023</v>
      </c>
      <c r="AY26" s="263">
        <f t="shared" si="44"/>
        <v>0</v>
      </c>
      <c r="AZ26" s="263">
        <f t="shared" si="44"/>
        <v>0</v>
      </c>
      <c r="BA26" s="263">
        <f t="shared" si="44"/>
        <v>0</v>
      </c>
      <c r="BB26" s="263">
        <f t="shared" si="44"/>
        <v>1.75833333333334</v>
      </c>
      <c r="BC26" s="263">
        <f t="shared" si="44"/>
        <v>19.570833333333329</v>
      </c>
      <c r="BD26" s="263">
        <f t="shared" si="44"/>
        <v>89.8125</v>
      </c>
      <c r="BE26" s="263">
        <f t="shared" si="44"/>
        <v>161.78333333333336</v>
      </c>
      <c r="BF26" s="263">
        <f t="shared" si="44"/>
        <v>105.41739130434784</v>
      </c>
      <c r="BG26" s="263">
        <f t="shared" si="44"/>
        <v>58.208333333333314</v>
      </c>
      <c r="BH26" s="263">
        <f t="shared" si="44"/>
        <v>19.579166666666676</v>
      </c>
      <c r="BI26" s="263">
        <f t="shared" si="44"/>
        <v>0</v>
      </c>
      <c r="BJ26" s="263">
        <f t="shared" si="44"/>
        <v>0</v>
      </c>
      <c r="BL26" s="1">
        <f t="shared" si="52"/>
        <v>2023</v>
      </c>
      <c r="BM26" s="263">
        <f t="shared" si="45"/>
        <v>0</v>
      </c>
      <c r="BN26" s="263">
        <f t="shared" si="45"/>
        <v>0</v>
      </c>
      <c r="BO26" s="263">
        <f t="shared" si="45"/>
        <v>0</v>
      </c>
      <c r="BP26" s="263">
        <f t="shared" si="45"/>
        <v>11.71666666666667</v>
      </c>
      <c r="BQ26" s="263">
        <f t="shared" si="45"/>
        <v>37.345833333333331</v>
      </c>
      <c r="BR26" s="263">
        <f t="shared" si="45"/>
        <v>145.54166666666666</v>
      </c>
      <c r="BS26" s="263">
        <f t="shared" si="45"/>
        <v>223.78333333333336</v>
      </c>
      <c r="BT26" s="263">
        <f t="shared" si="45"/>
        <v>165.80489130434788</v>
      </c>
      <c r="BU26" s="263">
        <f t="shared" si="45"/>
        <v>105.35</v>
      </c>
      <c r="BV26" s="263">
        <f t="shared" si="45"/>
        <v>35.333333333333343</v>
      </c>
      <c r="BW26" s="263">
        <f t="shared" si="45"/>
        <v>0</v>
      </c>
      <c r="BX26" s="263">
        <f t="shared" si="45"/>
        <v>0</v>
      </c>
      <c r="BZ26" s="1">
        <f t="shared" si="53"/>
        <v>2023</v>
      </c>
      <c r="CA26" s="263">
        <f t="shared" si="46"/>
        <v>0</v>
      </c>
      <c r="CB26" s="263">
        <f t="shared" si="46"/>
        <v>0</v>
      </c>
      <c r="CC26" s="263">
        <f t="shared" si="46"/>
        <v>0</v>
      </c>
      <c r="CD26" s="263">
        <f t="shared" si="46"/>
        <v>22.716666666666676</v>
      </c>
      <c r="CE26" s="263">
        <f t="shared" si="46"/>
        <v>68.049999999999983</v>
      </c>
      <c r="CF26" s="263">
        <f t="shared" si="46"/>
        <v>205.54166666666669</v>
      </c>
      <c r="CG26" s="263">
        <f t="shared" si="46"/>
        <v>285.78333333333342</v>
      </c>
      <c r="CH26" s="263">
        <f t="shared" si="46"/>
        <v>227.80489130434788</v>
      </c>
      <c r="CI26" s="263">
        <f t="shared" si="46"/>
        <v>162.99166666666662</v>
      </c>
      <c r="CJ26" s="263">
        <f t="shared" si="46"/>
        <v>54.625</v>
      </c>
      <c r="CK26" s="263">
        <f t="shared" si="46"/>
        <v>0</v>
      </c>
      <c r="CL26" s="263">
        <f t="shared" si="46"/>
        <v>0</v>
      </c>
      <c r="CN26" s="1">
        <f t="shared" si="54"/>
        <v>2023</v>
      </c>
      <c r="CO26" s="263">
        <f t="shared" si="47"/>
        <v>0</v>
      </c>
      <c r="CP26" s="263">
        <f t="shared" si="47"/>
        <v>0</v>
      </c>
      <c r="CQ26" s="263">
        <f t="shared" si="47"/>
        <v>0</v>
      </c>
      <c r="CR26" s="263">
        <f t="shared" si="47"/>
        <v>37.175000000000004</v>
      </c>
      <c r="CS26" s="263">
        <f t="shared" si="47"/>
        <v>112.85416666666666</v>
      </c>
      <c r="CT26" s="263">
        <f t="shared" si="47"/>
        <v>265.54166666666669</v>
      </c>
      <c r="CU26" s="263">
        <f t="shared" si="47"/>
        <v>347.78333333333342</v>
      </c>
      <c r="CV26" s="263">
        <f t="shared" si="47"/>
        <v>289.8048913043479</v>
      </c>
      <c r="CW26" s="263">
        <f t="shared" si="47"/>
        <v>222.99166666666656</v>
      </c>
      <c r="CX26" s="263">
        <f t="shared" si="47"/>
        <v>85.929166666666674</v>
      </c>
      <c r="CY26" s="263">
        <f t="shared" si="47"/>
        <v>0.36249999999999893</v>
      </c>
      <c r="CZ26" s="263">
        <f t="shared" si="47"/>
        <v>0</v>
      </c>
      <c r="DB26" s="1">
        <f t="shared" si="55"/>
        <v>2023</v>
      </c>
      <c r="DC26" s="263">
        <f t="shared" si="48"/>
        <v>0</v>
      </c>
      <c r="DD26" s="263">
        <f t="shared" si="48"/>
        <v>8.3333333333332149E-2</v>
      </c>
      <c r="DE26" s="263">
        <f t="shared" si="48"/>
        <v>0</v>
      </c>
      <c r="DF26" s="263">
        <f t="shared" si="48"/>
        <v>56.716666666666676</v>
      </c>
      <c r="DG26" s="263">
        <f t="shared" si="48"/>
        <v>161.77500000000001</v>
      </c>
      <c r="DH26" s="263">
        <f t="shared" si="48"/>
        <v>325.54166666666669</v>
      </c>
      <c r="DI26" s="263">
        <f t="shared" si="48"/>
        <v>409.7833333333333</v>
      </c>
      <c r="DJ26" s="263">
        <f t="shared" si="48"/>
        <v>351.80489130434785</v>
      </c>
      <c r="DK26" s="263">
        <f t="shared" si="48"/>
        <v>282.99166666666656</v>
      </c>
      <c r="DL26" s="263">
        <f t="shared" si="48"/>
        <v>127.93333333333337</v>
      </c>
      <c r="DM26" s="263">
        <f t="shared" si="48"/>
        <v>2.8333333333333304</v>
      </c>
      <c r="DN26" s="263">
        <f t="shared" si="48"/>
        <v>0.68750000000000178</v>
      </c>
      <c r="DP26" s="18">
        <f>'Monthly Data'!F26</f>
        <v>46444289.199650407</v>
      </c>
      <c r="DQ26" s="18">
        <f>'Monthly Data'!J26</f>
        <v>12355535.106722897</v>
      </c>
      <c r="DR26" s="18">
        <f>'Monthly Data'!N26</f>
        <v>34806736.410082474</v>
      </c>
      <c r="DS26" s="4">
        <f>'Monthly Data'!S26</f>
        <v>7748576.2980715707</v>
      </c>
      <c r="DT26" s="4">
        <f>'Monthly Data'!V26</f>
        <v>3134927.0234779711</v>
      </c>
      <c r="DU26" s="18">
        <f t="shared" si="7"/>
        <v>45236499.793577306</v>
      </c>
      <c r="DV26" s="18">
        <f t="shared" si="8"/>
        <v>11767042.807368258</v>
      </c>
      <c r="DW26" s="18">
        <f t="shared" si="9"/>
        <v>30284057.687988568</v>
      </c>
      <c r="DX26" s="18">
        <f t="shared" si="10"/>
        <v>6864272.8995919237</v>
      </c>
      <c r="DY26" s="18">
        <f t="shared" si="11"/>
        <v>3189016.4593939008</v>
      </c>
      <c r="ER26" s="24">
        <f>'Monthly Data'!F26/'Monthly Data'!G26/'Monthly Data'!CD26</f>
        <v>28.647422031589691</v>
      </c>
      <c r="ES26" s="259">
        <f>'Monthly Data'!J26/'Monthly Data'!K26/'Monthly Data'!CD26</f>
        <v>96.039915326256491</v>
      </c>
      <c r="ET26" s="24">
        <f>'Monthly Data'!N26/'Monthly Data'!P26/'Monthly Data'!CD26</f>
        <v>2142.7441769319425</v>
      </c>
      <c r="EU26" s="24">
        <f>'Monthly Data'!Q26/'Monthly Data'!U26/'Monthly Data'!CD26</f>
        <v>18559.029621303183</v>
      </c>
      <c r="EV26" s="24">
        <f>'Monthly Data'!V26/'Monthly Data'!Z26/'Monthly Data'!CD26</f>
        <v>101126.67817670874</v>
      </c>
      <c r="EW26" s="24"/>
      <c r="FG26" s="24"/>
    </row>
    <row r="27" spans="1:163" x14ac:dyDescent="0.25">
      <c r="A27" s="3">
        <v>42767</v>
      </c>
      <c r="B27" s="1">
        <v>2017</v>
      </c>
      <c r="C27" s="1">
        <v>2</v>
      </c>
      <c r="D27" s="263">
        <v>-0.93154761904761851</v>
      </c>
      <c r="E27" s="263">
        <v>586.08333333333337</v>
      </c>
      <c r="F27" s="263">
        <v>0</v>
      </c>
      <c r="G27" s="263">
        <v>530.08333333333337</v>
      </c>
      <c r="H27" s="263">
        <v>0</v>
      </c>
      <c r="I27" s="263">
        <v>474.08333333333337</v>
      </c>
      <c r="J27" s="263">
        <v>0</v>
      </c>
      <c r="K27" s="263">
        <v>418.08333333333331</v>
      </c>
      <c r="L27" s="263">
        <v>0</v>
      </c>
      <c r="M27" s="263">
        <v>362.08333333333331</v>
      </c>
      <c r="N27" s="263">
        <v>0</v>
      </c>
      <c r="O27" s="263">
        <v>306.08333333333326</v>
      </c>
      <c r="P27" s="263">
        <v>0</v>
      </c>
      <c r="Q27" s="263">
        <v>251.42499999999998</v>
      </c>
      <c r="R27" s="263">
        <v>1.3416666666666668</v>
      </c>
      <c r="U27" s="1">
        <f t="shared" si="49"/>
        <v>2024</v>
      </c>
      <c r="V27" s="263">
        <f t="shared" si="41"/>
        <v>0</v>
      </c>
      <c r="W27" s="263">
        <f t="shared" si="41"/>
        <v>0</v>
      </c>
      <c r="X27" s="263">
        <f t="shared" si="41"/>
        <v>0</v>
      </c>
      <c r="Y27" s="263">
        <f t="shared" si="41"/>
        <v>0</v>
      </c>
      <c r="Z27" s="263">
        <f t="shared" si="41"/>
        <v>2.6999999999999957</v>
      </c>
      <c r="AA27" s="263">
        <f t="shared" si="41"/>
        <v>25.01666666666668</v>
      </c>
      <c r="AB27" s="263">
        <f t="shared" si="41"/>
        <v>60.708333333333343</v>
      </c>
      <c r="AC27" s="263">
        <f t="shared" si="41"/>
        <v>41.841666666666654</v>
      </c>
      <c r="AD27" s="263">
        <f t="shared" si="41"/>
        <v>0.63750000000000284</v>
      </c>
      <c r="AE27" s="263">
        <f t="shared" si="41"/>
        <v>0</v>
      </c>
      <c r="AF27" s="263">
        <f t="shared" si="41"/>
        <v>0</v>
      </c>
      <c r="AG27" s="263">
        <f t="shared" si="41"/>
        <v>0</v>
      </c>
      <c r="AJ27" s="1">
        <f t="shared" si="50"/>
        <v>2024</v>
      </c>
      <c r="AK27" s="263">
        <f t="shared" si="42"/>
        <v>0</v>
      </c>
      <c r="AL27" s="263">
        <f t="shared" si="42"/>
        <v>0</v>
      </c>
      <c r="AM27" s="263">
        <f t="shared" si="42"/>
        <v>0</v>
      </c>
      <c r="AN27" s="263">
        <f t="shared" si="42"/>
        <v>0</v>
      </c>
      <c r="AO27" s="263">
        <f t="shared" si="42"/>
        <v>10.658333333333328</v>
      </c>
      <c r="AP27" s="263">
        <f t="shared" si="42"/>
        <v>55.725000000000009</v>
      </c>
      <c r="AQ27" s="263">
        <f t="shared" si="42"/>
        <v>117.47083333333335</v>
      </c>
      <c r="AR27" s="263">
        <f t="shared" si="42"/>
        <v>85.09999999999998</v>
      </c>
      <c r="AS27" s="263">
        <f t="shared" si="42"/>
        <v>20.666666666666679</v>
      </c>
      <c r="AT27" s="263">
        <f t="shared" si="42"/>
        <v>0</v>
      </c>
      <c r="AU27" s="263">
        <f t="shared" si="42"/>
        <v>0</v>
      </c>
      <c r="AV27" s="263">
        <f t="shared" si="42"/>
        <v>0</v>
      </c>
      <c r="AW27" s="411">
        <f>SUM(AK27:AV27)</f>
        <v>289.62083333333334</v>
      </c>
      <c r="AX27" s="1">
        <f t="shared" si="51"/>
        <v>2024</v>
      </c>
      <c r="AY27" s="263">
        <f t="shared" si="44"/>
        <v>0</v>
      </c>
      <c r="AZ27" s="263">
        <f t="shared" si="44"/>
        <v>0</v>
      </c>
      <c r="BA27" s="263">
        <f t="shared" si="44"/>
        <v>0</v>
      </c>
      <c r="BB27" s="263">
        <f t="shared" si="44"/>
        <v>0</v>
      </c>
      <c r="BC27" s="263">
        <f t="shared" si="44"/>
        <v>27.287500000000005</v>
      </c>
      <c r="BD27" s="263">
        <f t="shared" si="44"/>
        <v>94.466666666666669</v>
      </c>
      <c r="BE27" s="263">
        <f t="shared" si="44"/>
        <v>179.14166666666668</v>
      </c>
      <c r="BF27" s="263">
        <f t="shared" si="44"/>
        <v>140.625</v>
      </c>
      <c r="BG27" s="263">
        <f t="shared" si="44"/>
        <v>62.220833333333331</v>
      </c>
      <c r="BH27" s="263">
        <f t="shared" si="44"/>
        <v>3.0458333333333378</v>
      </c>
      <c r="BI27" s="263">
        <f t="shared" si="44"/>
        <v>1.5041666666666629</v>
      </c>
      <c r="BJ27" s="263">
        <f t="shared" si="44"/>
        <v>0</v>
      </c>
      <c r="BL27" s="1">
        <f t="shared" si="52"/>
        <v>2024</v>
      </c>
      <c r="BM27" s="263">
        <f t="shared" si="45"/>
        <v>0</v>
      </c>
      <c r="BN27" s="263">
        <f t="shared" si="45"/>
        <v>0</v>
      </c>
      <c r="BO27" s="263">
        <f t="shared" si="45"/>
        <v>0</v>
      </c>
      <c r="BP27" s="263">
        <f t="shared" si="45"/>
        <v>0</v>
      </c>
      <c r="BQ27" s="263">
        <f t="shared" si="45"/>
        <v>60.691666666666663</v>
      </c>
      <c r="BR27" s="263">
        <f t="shared" si="45"/>
        <v>146.61250000000007</v>
      </c>
      <c r="BS27" s="263">
        <f t="shared" si="45"/>
        <v>241.14166666666668</v>
      </c>
      <c r="BT27" s="263">
        <f t="shared" si="45"/>
        <v>200.86666666666665</v>
      </c>
      <c r="BU27" s="263">
        <f t="shared" si="45"/>
        <v>113.86250000000001</v>
      </c>
      <c r="BV27" s="263">
        <f t="shared" si="45"/>
        <v>12.120833333333337</v>
      </c>
      <c r="BW27" s="263">
        <f t="shared" si="45"/>
        <v>5.5041666666666629</v>
      </c>
      <c r="BX27" s="263">
        <f t="shared" si="45"/>
        <v>0</v>
      </c>
      <c r="BZ27" s="1">
        <f t="shared" si="53"/>
        <v>2024</v>
      </c>
      <c r="CA27" s="263">
        <f t="shared" si="46"/>
        <v>0</v>
      </c>
      <c r="CB27" s="263">
        <f t="shared" si="46"/>
        <v>0</v>
      </c>
      <c r="CC27" s="263">
        <f t="shared" si="46"/>
        <v>0</v>
      </c>
      <c r="CD27" s="263">
        <f t="shared" si="46"/>
        <v>2.3833333333333346</v>
      </c>
      <c r="CE27" s="263">
        <f t="shared" si="46"/>
        <v>110.05000000000001</v>
      </c>
      <c r="CF27" s="263">
        <f t="shared" si="46"/>
        <v>204.15416666666667</v>
      </c>
      <c r="CG27" s="263">
        <f t="shared" si="46"/>
        <v>303.14166666666665</v>
      </c>
      <c r="CH27" s="263">
        <f t="shared" si="46"/>
        <v>262.86666666666667</v>
      </c>
      <c r="CI27" s="263">
        <f t="shared" si="46"/>
        <v>171.29999999999998</v>
      </c>
      <c r="CJ27" s="263">
        <f t="shared" si="46"/>
        <v>31.104166666666679</v>
      </c>
      <c r="CK27" s="263">
        <f t="shared" si="46"/>
        <v>9.5041666666666629</v>
      </c>
      <c r="CL27" s="263">
        <f t="shared" si="46"/>
        <v>0</v>
      </c>
      <c r="CN27" s="1">
        <f t="shared" si="54"/>
        <v>2024</v>
      </c>
      <c r="CO27" s="263">
        <f t="shared" si="47"/>
        <v>0</v>
      </c>
      <c r="CP27" s="263">
        <f t="shared" si="47"/>
        <v>0</v>
      </c>
      <c r="CQ27" s="263">
        <f t="shared" si="47"/>
        <v>0</v>
      </c>
      <c r="CR27" s="263">
        <f t="shared" si="47"/>
        <v>10.625</v>
      </c>
      <c r="CS27" s="263">
        <f t="shared" si="47"/>
        <v>169.12916666666669</v>
      </c>
      <c r="CT27" s="263">
        <f t="shared" si="47"/>
        <v>264.15416666666664</v>
      </c>
      <c r="CU27" s="263">
        <f t="shared" si="47"/>
        <v>365.14166666666671</v>
      </c>
      <c r="CV27" s="263">
        <f t="shared" si="47"/>
        <v>324.86666666666667</v>
      </c>
      <c r="CW27" s="263">
        <f t="shared" si="47"/>
        <v>231.3</v>
      </c>
      <c r="CX27" s="263">
        <f t="shared" si="47"/>
        <v>60.087500000000006</v>
      </c>
      <c r="CY27" s="263">
        <f t="shared" si="47"/>
        <v>15.029166666666661</v>
      </c>
      <c r="CZ27" s="263">
        <f t="shared" si="47"/>
        <v>0</v>
      </c>
      <c r="DB27" s="1">
        <f t="shared" si="55"/>
        <v>2024</v>
      </c>
      <c r="DC27" s="263">
        <f t="shared" si="48"/>
        <v>0</v>
      </c>
      <c r="DD27" s="263">
        <f t="shared" si="48"/>
        <v>0</v>
      </c>
      <c r="DE27" s="263">
        <f t="shared" si="48"/>
        <v>4.5791666666666657</v>
      </c>
      <c r="DF27" s="263">
        <f t="shared" si="48"/>
        <v>32.795833333333334</v>
      </c>
      <c r="DG27" s="263">
        <f t="shared" si="48"/>
        <v>231.12916666666669</v>
      </c>
      <c r="DH27" s="263">
        <f t="shared" si="48"/>
        <v>324.1541666666667</v>
      </c>
      <c r="DI27" s="263">
        <f t="shared" si="48"/>
        <v>427.14166666666677</v>
      </c>
      <c r="DJ27" s="263">
        <f t="shared" si="48"/>
        <v>386.86666666666656</v>
      </c>
      <c r="DK27" s="263">
        <f t="shared" si="48"/>
        <v>291.30000000000007</v>
      </c>
      <c r="DL27" s="263">
        <f t="shared" si="48"/>
        <v>94.675000000000011</v>
      </c>
      <c r="DM27" s="263">
        <f t="shared" si="48"/>
        <v>27.141666666666666</v>
      </c>
      <c r="DN27" s="263">
        <f t="shared" si="48"/>
        <v>0</v>
      </c>
      <c r="DP27" s="18">
        <f>'Monthly Data'!F27</f>
        <v>42786099.90316622</v>
      </c>
      <c r="DQ27" s="18">
        <f>'Monthly Data'!J27</f>
        <v>11059039.500129096</v>
      </c>
      <c r="DR27" s="18">
        <f>'Monthly Data'!N27</f>
        <v>28838170.041093104</v>
      </c>
      <c r="DS27" s="4">
        <f>'Monthly Data'!S27</f>
        <v>7030359.4291701298</v>
      </c>
      <c r="DT27" s="4">
        <f>'Monthly Data'!V27</f>
        <v>2672619.768727066</v>
      </c>
      <c r="DU27" s="18">
        <f t="shared" si="7"/>
        <v>42823543.047567382</v>
      </c>
      <c r="DV27" s="18">
        <f t="shared" si="8"/>
        <v>11296498.126900662</v>
      </c>
      <c r="DW27" s="18">
        <f t="shared" si="9"/>
        <v>28958779.819421403</v>
      </c>
      <c r="DX27" s="18">
        <f t="shared" si="10"/>
        <v>6851815.2985650729</v>
      </c>
      <c r="DY27" s="18">
        <f t="shared" si="11"/>
        <v>3173585.1004401371</v>
      </c>
      <c r="EK27" s="1" t="s">
        <v>162</v>
      </c>
      <c r="ER27" s="24">
        <f>'Monthly Data'!F27/'Monthly Data'!G27/'Monthly Data'!CD27</f>
        <v>29.214702161201618</v>
      </c>
      <c r="ES27" s="259">
        <f>'Monthly Data'!J27/'Monthly Data'!K27/'Monthly Data'!CD27</f>
        <v>95.310254930787167</v>
      </c>
      <c r="ET27" s="24">
        <f>'Monthly Data'!N27/'Monthly Data'!P27/'Monthly Data'!CD27</f>
        <v>1969.2823027241943</v>
      </c>
      <c r="EU27" s="24">
        <f>'Monthly Data'!Q27/'Monthly Data'!U27/'Monthly Data'!CD27</f>
        <v>18404.084562755936</v>
      </c>
      <c r="EV27" s="24">
        <f>'Monthly Data'!V27/'Monthly Data'!Z27/'Monthly Data'!CD27</f>
        <v>95450.706025966647</v>
      </c>
      <c r="EW27" s="24"/>
      <c r="FG27" s="24"/>
    </row>
    <row r="28" spans="1:163" x14ac:dyDescent="0.25">
      <c r="A28" s="3">
        <v>42795</v>
      </c>
      <c r="B28" s="1">
        <v>2017</v>
      </c>
      <c r="C28" s="1">
        <v>3</v>
      </c>
      <c r="D28" s="263">
        <v>-1.3444892473118288</v>
      </c>
      <c r="E28" s="263">
        <v>661.67916666666667</v>
      </c>
      <c r="F28" s="263">
        <v>0</v>
      </c>
      <c r="G28" s="263">
        <v>599.67916666666667</v>
      </c>
      <c r="H28" s="263">
        <v>0</v>
      </c>
      <c r="I28" s="263">
        <v>537.67916666666656</v>
      </c>
      <c r="J28" s="263">
        <v>0</v>
      </c>
      <c r="K28" s="263">
        <v>475.67916666666662</v>
      </c>
      <c r="L28" s="263">
        <v>0</v>
      </c>
      <c r="M28" s="263">
        <v>413.67916666666662</v>
      </c>
      <c r="N28" s="263">
        <v>0</v>
      </c>
      <c r="O28" s="263">
        <v>351.67916666666656</v>
      </c>
      <c r="P28" s="263">
        <v>0</v>
      </c>
      <c r="Q28" s="263">
        <v>290.67916666666662</v>
      </c>
      <c r="R28" s="263">
        <v>0.99999999999999645</v>
      </c>
      <c r="U28" s="244">
        <f t="shared" si="49"/>
        <v>2025</v>
      </c>
      <c r="V28" s="412">
        <f>AVERAGE(V18:V27)</f>
        <v>0</v>
      </c>
      <c r="W28" s="412">
        <f>AVERAGE(W18:W27)</f>
        <v>0</v>
      </c>
      <c r="X28" s="412">
        <f>AVERAGE(X18:X27)</f>
        <v>0</v>
      </c>
      <c r="Y28" s="412">
        <f t="shared" ref="Y28:AG28" si="56">AVERAGE(Y18:Y27)</f>
        <v>0</v>
      </c>
      <c r="Z28" s="412">
        <f t="shared" si="56"/>
        <v>4.8953571428571401</v>
      </c>
      <c r="AA28" s="412">
        <f t="shared" si="56"/>
        <v>20.517524703557307</v>
      </c>
      <c r="AB28" s="412">
        <f t="shared" si="56"/>
        <v>60.196441734276391</v>
      </c>
      <c r="AC28" s="412">
        <f t="shared" si="56"/>
        <v>46.16051548089591</v>
      </c>
      <c r="AD28" s="412">
        <f t="shared" si="56"/>
        <v>12.738333333333333</v>
      </c>
      <c r="AE28" s="412">
        <f t="shared" si="56"/>
        <v>1.666666666666572E-3</v>
      </c>
      <c r="AF28" s="412">
        <f t="shared" si="56"/>
        <v>0</v>
      </c>
      <c r="AG28" s="412">
        <f t="shared" si="56"/>
        <v>0</v>
      </c>
      <c r="AJ28" s="244">
        <f t="shared" si="50"/>
        <v>2025</v>
      </c>
      <c r="AK28" s="412">
        <f>AVERAGE(AK18:AK27)</f>
        <v>0</v>
      </c>
      <c r="AL28" s="412">
        <f>AVERAGE(AL18:AL27)</f>
        <v>0</v>
      </c>
      <c r="AM28" s="412">
        <f>AVERAGE(AM18:AM27)</f>
        <v>0</v>
      </c>
      <c r="AN28" s="412">
        <f t="shared" ref="AN28:AV28" si="57">AVERAGE(AN18:AN27)</f>
        <v>3.4583333333333854E-2</v>
      </c>
      <c r="AO28" s="412">
        <f t="shared" si="57"/>
        <v>14.32952380952381</v>
      </c>
      <c r="AP28" s="412">
        <f t="shared" si="57"/>
        <v>46.941274703557312</v>
      </c>
      <c r="AQ28" s="412">
        <f t="shared" si="57"/>
        <v>113.56529525394512</v>
      </c>
      <c r="AR28" s="412">
        <f t="shared" si="57"/>
        <v>92.615587944664043</v>
      </c>
      <c r="AS28" s="412">
        <f t="shared" si="57"/>
        <v>30.962083333333332</v>
      </c>
      <c r="AT28" s="412">
        <f t="shared" si="57"/>
        <v>1.6875000000000011</v>
      </c>
      <c r="AU28" s="412">
        <f t="shared" si="57"/>
        <v>0</v>
      </c>
      <c r="AV28" s="412">
        <f t="shared" si="57"/>
        <v>0</v>
      </c>
      <c r="AW28" s="411">
        <f>SUM(AK28:AV28)</f>
        <v>300.13584837835697</v>
      </c>
      <c r="AX28" s="244">
        <f t="shared" si="51"/>
        <v>2025</v>
      </c>
      <c r="AY28" s="412">
        <f>AVERAGE(AY18:AY27)</f>
        <v>0</v>
      </c>
      <c r="AZ28" s="412">
        <f>AVERAGE(AZ18:AZ27)</f>
        <v>0</v>
      </c>
      <c r="BA28" s="412">
        <f>AVERAGE(BA18:BA27)</f>
        <v>0</v>
      </c>
      <c r="BB28" s="412">
        <f t="shared" ref="BB28:BJ28" si="58">AVERAGE(BB18:BB27)</f>
        <v>0.4316666666666677</v>
      </c>
      <c r="BC28" s="412">
        <f t="shared" si="58"/>
        <v>29.4520183982684</v>
      </c>
      <c r="BD28" s="412">
        <f t="shared" si="58"/>
        <v>86.311049595332207</v>
      </c>
      <c r="BE28" s="412">
        <f t="shared" si="58"/>
        <v>174.0219619206118</v>
      </c>
      <c r="BF28" s="412">
        <f t="shared" si="58"/>
        <v>149.7160046113307</v>
      </c>
      <c r="BG28" s="412">
        <f t="shared" si="58"/>
        <v>62.345178571428576</v>
      </c>
      <c r="BH28" s="412">
        <f t="shared" si="58"/>
        <v>7.1541666666666703</v>
      </c>
      <c r="BI28" s="412">
        <f t="shared" si="58"/>
        <v>0.15041666666666628</v>
      </c>
      <c r="BJ28" s="412">
        <f t="shared" si="58"/>
        <v>0</v>
      </c>
      <c r="BL28" s="244">
        <f t="shared" si="52"/>
        <v>2025</v>
      </c>
      <c r="BM28" s="412">
        <f>AVERAGE(BM18:BM27)</f>
        <v>0</v>
      </c>
      <c r="BN28" s="412">
        <f>AVERAGE(BN18:BN27)</f>
        <v>0</v>
      </c>
      <c r="BO28" s="412">
        <f>AVERAGE(BO18:BO27)</f>
        <v>0</v>
      </c>
      <c r="BP28" s="412">
        <f t="shared" ref="BP28:BX28" si="59">AVERAGE(BP18:BP27)</f>
        <v>2.1908333333333347</v>
      </c>
      <c r="BQ28" s="412">
        <f t="shared" si="59"/>
        <v>52.487435064935063</v>
      </c>
      <c r="BR28" s="412">
        <f t="shared" si="59"/>
        <v>137.65451754405018</v>
      </c>
      <c r="BS28" s="412">
        <f t="shared" si="59"/>
        <v>235.94737858727848</v>
      </c>
      <c r="BT28" s="412">
        <f t="shared" si="59"/>
        <v>210.96558794466404</v>
      </c>
      <c r="BU28" s="412">
        <f t="shared" si="59"/>
        <v>106.4160119047619</v>
      </c>
      <c r="BV28" s="412">
        <f t="shared" si="59"/>
        <v>17.987083333333334</v>
      </c>
      <c r="BW28" s="412">
        <f t="shared" si="59"/>
        <v>0.8083333333333329</v>
      </c>
      <c r="BX28" s="412">
        <f t="shared" si="59"/>
        <v>0</v>
      </c>
      <c r="BZ28" s="244">
        <f t="shared" si="53"/>
        <v>2025</v>
      </c>
      <c r="CA28" s="412">
        <f>AVERAGE(CA18:CA27)</f>
        <v>0</v>
      </c>
      <c r="CB28" s="412">
        <f>AVERAGE(CB18:CB27)</f>
        <v>0</v>
      </c>
      <c r="CC28" s="412">
        <f>AVERAGE(CC18:CC27)</f>
        <v>2.9583333333332896E-2</v>
      </c>
      <c r="CD28" s="412">
        <f t="shared" ref="CD28:CL28" si="60">AVERAGE(CD18:CD27)</f>
        <v>5.6420833333333338</v>
      </c>
      <c r="CE28" s="412">
        <f t="shared" si="60"/>
        <v>86.191046176046171</v>
      </c>
      <c r="CF28" s="412">
        <f t="shared" si="60"/>
        <v>194.94285087738348</v>
      </c>
      <c r="CG28" s="412">
        <f t="shared" si="60"/>
        <v>297.94737858727848</v>
      </c>
      <c r="CH28" s="412">
        <f t="shared" si="60"/>
        <v>272.96558794466404</v>
      </c>
      <c r="CI28" s="412">
        <f t="shared" si="60"/>
        <v>158.67014233954447</v>
      </c>
      <c r="CJ28" s="412">
        <f t="shared" si="60"/>
        <v>35.32833333333334</v>
      </c>
      <c r="CK28" s="412">
        <f t="shared" si="60"/>
        <v>2.2779166666666657</v>
      </c>
      <c r="CL28" s="412">
        <f t="shared" si="60"/>
        <v>0</v>
      </c>
      <c r="CN28" s="244">
        <f t="shared" si="54"/>
        <v>2025</v>
      </c>
      <c r="CO28" s="412">
        <f>AVERAGE(CO18:CO27)</f>
        <v>0</v>
      </c>
      <c r="CP28" s="412">
        <f>AVERAGE(CP18:CP27)</f>
        <v>0</v>
      </c>
      <c r="CQ28" s="412">
        <f>AVERAGE(CQ18:CQ27)</f>
        <v>0.51874999999999927</v>
      </c>
      <c r="CR28" s="412">
        <f t="shared" ref="CR28:CZ28" si="61">AVERAGE(CR18:CR27)</f>
        <v>12.79125</v>
      </c>
      <c r="CS28" s="412">
        <f t="shared" si="61"/>
        <v>130.22445928308915</v>
      </c>
      <c r="CT28" s="412">
        <f t="shared" si="61"/>
        <v>254.51826754405016</v>
      </c>
      <c r="CU28" s="412">
        <f t="shared" si="61"/>
        <v>359.94737858727854</v>
      </c>
      <c r="CV28" s="412">
        <f t="shared" si="61"/>
        <v>334.96558794466404</v>
      </c>
      <c r="CW28" s="412">
        <f t="shared" si="61"/>
        <v>216.57430900621117</v>
      </c>
      <c r="CX28" s="412">
        <f t="shared" si="61"/>
        <v>62.266666666666673</v>
      </c>
      <c r="CY28" s="412">
        <f t="shared" si="61"/>
        <v>5.6391666666666662</v>
      </c>
      <c r="CZ28" s="412">
        <f t="shared" si="61"/>
        <v>0.12791666666666668</v>
      </c>
      <c r="DB28" s="244">
        <f t="shared" si="55"/>
        <v>2025</v>
      </c>
      <c r="DC28" s="412">
        <f>AVERAGE(DC18:DC27)</f>
        <v>0</v>
      </c>
      <c r="DD28" s="412">
        <f>AVERAGE(DD18:DD27)</f>
        <v>0.1424999999999999</v>
      </c>
      <c r="DE28" s="412">
        <f>AVERAGE(DE18:DE27)</f>
        <v>2.4454166666666657</v>
      </c>
      <c r="DF28" s="412">
        <f t="shared" ref="DF28:DN28" si="62">AVERAGE(DF18:DF27)</f>
        <v>27.605</v>
      </c>
      <c r="DG28" s="412">
        <f t="shared" si="62"/>
        <v>181.39445928308913</v>
      </c>
      <c r="DH28" s="412">
        <f t="shared" si="62"/>
        <v>314.42035087738344</v>
      </c>
      <c r="DI28" s="412">
        <f t="shared" si="62"/>
        <v>421.94737858727848</v>
      </c>
      <c r="DJ28" s="412">
        <f t="shared" si="62"/>
        <v>396.96558794466398</v>
      </c>
      <c r="DK28" s="412">
        <f t="shared" si="62"/>
        <v>276.00264233954448</v>
      </c>
      <c r="DL28" s="412">
        <f t="shared" si="62"/>
        <v>98.552083333333343</v>
      </c>
      <c r="DM28" s="412">
        <f t="shared" si="62"/>
        <v>13.393750000000001</v>
      </c>
      <c r="DN28" s="412">
        <f t="shared" si="62"/>
        <v>0.99248188405797111</v>
      </c>
      <c r="DP28" s="18">
        <f>'Monthly Data'!F28</f>
        <v>40837973.445211791</v>
      </c>
      <c r="DQ28" s="18">
        <f>'Monthly Data'!J28</f>
        <v>12183406.064573791</v>
      </c>
      <c r="DR28" s="18">
        <f>'Monthly Data'!N28</f>
        <v>30947017.582069278</v>
      </c>
      <c r="DS28" s="4">
        <f>'Monthly Data'!S28</f>
        <v>7867386.6453418816</v>
      </c>
      <c r="DT28" s="4">
        <f>'Monthly Data'!V28</f>
        <v>3167625.9681110834</v>
      </c>
      <c r="DU28" s="18">
        <f t="shared" si="7"/>
        <v>44602249.377563924</v>
      </c>
      <c r="DV28" s="18">
        <f t="shared" si="8"/>
        <v>11652179.756158631</v>
      </c>
      <c r="DW28" s="18">
        <f t="shared" si="9"/>
        <v>29872496.787398372</v>
      </c>
      <c r="DX28" s="18">
        <f t="shared" si="10"/>
        <v>6860726.0236988235</v>
      </c>
      <c r="DY28" s="18">
        <f t="shared" si="11"/>
        <v>3184622.9076215406</v>
      </c>
      <c r="EK28" s="1" t="s">
        <v>163</v>
      </c>
      <c r="EL28" s="1">
        <v>43049491.419230103</v>
      </c>
      <c r="EM28" s="1" t="s">
        <v>164</v>
      </c>
      <c r="EN28" s="1">
        <v>6524852.2854974298</v>
      </c>
      <c r="ER28" s="24">
        <f>'Monthly Data'!F28/'Monthly Data'!G28/'Monthly Data'!CD28</f>
        <v>25.083379007665915</v>
      </c>
      <c r="ES28" s="259">
        <f>'Monthly Data'!J28/'Monthly Data'!K28/'Monthly Data'!CD28</f>
        <v>94.701951531860018</v>
      </c>
      <c r="ET28" s="24">
        <f>'Monthly Data'!N28/'Monthly Data'!P28/'Monthly Data'!CD28</f>
        <v>1905.1352857713171</v>
      </c>
      <c r="EU28" s="24">
        <f>'Monthly Data'!Q28/'Monthly Data'!U28/'Monthly Data'!CD28</f>
        <v>18867.822290646229</v>
      </c>
      <c r="EV28" s="24">
        <f>'Monthly Data'!V28/'Monthly Data'!Z28/'Monthly Data'!CD28</f>
        <v>102181.48284229301</v>
      </c>
      <c r="EW28" s="24"/>
      <c r="FG28" s="24"/>
    </row>
    <row r="29" spans="1:163" x14ac:dyDescent="0.25">
      <c r="A29" s="3">
        <v>42826</v>
      </c>
      <c r="B29" s="1">
        <v>2017</v>
      </c>
      <c r="C29" s="1">
        <v>4</v>
      </c>
      <c r="D29" s="263">
        <v>8.3870833333333312</v>
      </c>
      <c r="E29" s="263">
        <v>348.38749999999999</v>
      </c>
      <c r="F29" s="263">
        <v>0</v>
      </c>
      <c r="G29" s="263">
        <v>288.73333333333335</v>
      </c>
      <c r="H29" s="263">
        <v>0.34583333333333854</v>
      </c>
      <c r="I29" s="263">
        <v>230.73333333333338</v>
      </c>
      <c r="J29" s="263">
        <v>2.3458333333333385</v>
      </c>
      <c r="K29" s="263">
        <v>174.03750000000005</v>
      </c>
      <c r="L29" s="263">
        <v>5.6500000000000057</v>
      </c>
      <c r="M29" s="263">
        <v>120.79999999999997</v>
      </c>
      <c r="N29" s="263">
        <v>12.412500000000001</v>
      </c>
      <c r="O29" s="263">
        <v>73.1458333333333</v>
      </c>
      <c r="P29" s="263">
        <v>24.758333333333333</v>
      </c>
      <c r="Q29" s="263">
        <v>34.695833333333326</v>
      </c>
      <c r="R29" s="263">
        <v>46.308333333333337</v>
      </c>
      <c r="U29" s="244">
        <f t="shared" si="49"/>
        <v>2026</v>
      </c>
      <c r="V29" s="412">
        <f>V28</f>
        <v>0</v>
      </c>
      <c r="W29" s="412">
        <f t="shared" ref="W29:AG29" si="63">W28</f>
        <v>0</v>
      </c>
      <c r="X29" s="412">
        <f t="shared" si="63"/>
        <v>0</v>
      </c>
      <c r="Y29" s="412">
        <f t="shared" si="63"/>
        <v>0</v>
      </c>
      <c r="Z29" s="412">
        <f t="shared" si="63"/>
        <v>4.8953571428571401</v>
      </c>
      <c r="AA29" s="412">
        <f t="shared" si="63"/>
        <v>20.517524703557307</v>
      </c>
      <c r="AB29" s="412">
        <f t="shared" si="63"/>
        <v>60.196441734276391</v>
      </c>
      <c r="AC29" s="412">
        <f t="shared" si="63"/>
        <v>46.16051548089591</v>
      </c>
      <c r="AD29" s="412">
        <f t="shared" si="63"/>
        <v>12.738333333333333</v>
      </c>
      <c r="AE29" s="412">
        <f t="shared" si="63"/>
        <v>1.666666666666572E-3</v>
      </c>
      <c r="AF29" s="412">
        <f t="shared" si="63"/>
        <v>0</v>
      </c>
      <c r="AG29" s="412">
        <f t="shared" si="63"/>
        <v>0</v>
      </c>
      <c r="AJ29" s="244">
        <f t="shared" si="50"/>
        <v>2026</v>
      </c>
      <c r="AK29" s="412">
        <f>AK28</f>
        <v>0</v>
      </c>
      <c r="AL29" s="412">
        <f t="shared" ref="AL29:AV29" si="64">AL28</f>
        <v>0</v>
      </c>
      <c r="AM29" s="412">
        <f t="shared" si="64"/>
        <v>0</v>
      </c>
      <c r="AN29" s="412">
        <f t="shared" si="64"/>
        <v>3.4583333333333854E-2</v>
      </c>
      <c r="AO29" s="412">
        <f t="shared" si="64"/>
        <v>14.32952380952381</v>
      </c>
      <c r="AP29" s="412">
        <f t="shared" si="64"/>
        <v>46.941274703557312</v>
      </c>
      <c r="AQ29" s="412">
        <f t="shared" si="64"/>
        <v>113.56529525394512</v>
      </c>
      <c r="AR29" s="412">
        <f t="shared" si="64"/>
        <v>92.615587944664043</v>
      </c>
      <c r="AS29" s="412">
        <f t="shared" si="64"/>
        <v>30.962083333333332</v>
      </c>
      <c r="AT29" s="412">
        <f t="shared" si="64"/>
        <v>1.6875000000000011</v>
      </c>
      <c r="AU29" s="412">
        <f t="shared" si="64"/>
        <v>0</v>
      </c>
      <c r="AV29" s="412">
        <f t="shared" si="64"/>
        <v>0</v>
      </c>
      <c r="AW29" s="411">
        <f>SUM(AK29:AV29)</f>
        <v>300.13584837835697</v>
      </c>
      <c r="AX29" s="244">
        <f t="shared" si="51"/>
        <v>2026</v>
      </c>
      <c r="AY29" s="412">
        <f>AY28</f>
        <v>0</v>
      </c>
      <c r="AZ29" s="412">
        <f t="shared" ref="AZ29:BJ29" si="65">AZ28</f>
        <v>0</v>
      </c>
      <c r="BA29" s="412">
        <f t="shared" si="65"/>
        <v>0</v>
      </c>
      <c r="BB29" s="412">
        <f t="shared" si="65"/>
        <v>0.4316666666666677</v>
      </c>
      <c r="BC29" s="412">
        <f t="shared" si="65"/>
        <v>29.4520183982684</v>
      </c>
      <c r="BD29" s="412">
        <f t="shared" si="65"/>
        <v>86.311049595332207</v>
      </c>
      <c r="BE29" s="412">
        <f t="shared" si="65"/>
        <v>174.0219619206118</v>
      </c>
      <c r="BF29" s="412">
        <f t="shared" si="65"/>
        <v>149.7160046113307</v>
      </c>
      <c r="BG29" s="412">
        <f t="shared" si="65"/>
        <v>62.345178571428576</v>
      </c>
      <c r="BH29" s="412">
        <f t="shared" si="65"/>
        <v>7.1541666666666703</v>
      </c>
      <c r="BI29" s="412">
        <f t="shared" si="65"/>
        <v>0.15041666666666628</v>
      </c>
      <c r="BJ29" s="412">
        <f t="shared" si="65"/>
        <v>0</v>
      </c>
      <c r="BL29" s="244">
        <f t="shared" si="52"/>
        <v>2026</v>
      </c>
      <c r="BM29" s="412">
        <f>BM28</f>
        <v>0</v>
      </c>
      <c r="BN29" s="412">
        <f t="shared" ref="BN29:BX29" si="66">BN28</f>
        <v>0</v>
      </c>
      <c r="BO29" s="412">
        <f t="shared" si="66"/>
        <v>0</v>
      </c>
      <c r="BP29" s="412">
        <f t="shared" si="66"/>
        <v>2.1908333333333347</v>
      </c>
      <c r="BQ29" s="412">
        <f t="shared" si="66"/>
        <v>52.487435064935063</v>
      </c>
      <c r="BR29" s="412">
        <f t="shared" si="66"/>
        <v>137.65451754405018</v>
      </c>
      <c r="BS29" s="412">
        <f t="shared" si="66"/>
        <v>235.94737858727848</v>
      </c>
      <c r="BT29" s="412">
        <f t="shared" si="66"/>
        <v>210.96558794466404</v>
      </c>
      <c r="BU29" s="412">
        <f t="shared" si="66"/>
        <v>106.4160119047619</v>
      </c>
      <c r="BV29" s="412">
        <f t="shared" si="66"/>
        <v>17.987083333333334</v>
      </c>
      <c r="BW29" s="412">
        <f t="shared" si="66"/>
        <v>0.8083333333333329</v>
      </c>
      <c r="BX29" s="412">
        <f t="shared" si="66"/>
        <v>0</v>
      </c>
      <c r="BZ29" s="244">
        <f t="shared" si="53"/>
        <v>2026</v>
      </c>
      <c r="CA29" s="412">
        <f>CA28</f>
        <v>0</v>
      </c>
      <c r="CB29" s="412">
        <f t="shared" ref="CB29:CL29" si="67">CB28</f>
        <v>0</v>
      </c>
      <c r="CC29" s="412">
        <f t="shared" si="67"/>
        <v>2.9583333333332896E-2</v>
      </c>
      <c r="CD29" s="412">
        <f t="shared" si="67"/>
        <v>5.6420833333333338</v>
      </c>
      <c r="CE29" s="412">
        <f t="shared" si="67"/>
        <v>86.191046176046171</v>
      </c>
      <c r="CF29" s="412">
        <f t="shared" si="67"/>
        <v>194.94285087738348</v>
      </c>
      <c r="CG29" s="412">
        <f t="shared" si="67"/>
        <v>297.94737858727848</v>
      </c>
      <c r="CH29" s="412">
        <f t="shared" si="67"/>
        <v>272.96558794466404</v>
      </c>
      <c r="CI29" s="412">
        <f t="shared" si="67"/>
        <v>158.67014233954447</v>
      </c>
      <c r="CJ29" s="412">
        <f t="shared" si="67"/>
        <v>35.32833333333334</v>
      </c>
      <c r="CK29" s="412">
        <f t="shared" si="67"/>
        <v>2.2779166666666657</v>
      </c>
      <c r="CL29" s="412">
        <f t="shared" si="67"/>
        <v>0</v>
      </c>
      <c r="CN29" s="244">
        <f t="shared" si="54"/>
        <v>2026</v>
      </c>
      <c r="CO29" s="412">
        <f>CO28</f>
        <v>0</v>
      </c>
      <c r="CP29" s="412">
        <f t="shared" ref="CP29:CZ29" si="68">CP28</f>
        <v>0</v>
      </c>
      <c r="CQ29" s="412">
        <f t="shared" si="68"/>
        <v>0.51874999999999927</v>
      </c>
      <c r="CR29" s="412">
        <f t="shared" si="68"/>
        <v>12.79125</v>
      </c>
      <c r="CS29" s="412">
        <f t="shared" si="68"/>
        <v>130.22445928308915</v>
      </c>
      <c r="CT29" s="412">
        <f t="shared" si="68"/>
        <v>254.51826754405016</v>
      </c>
      <c r="CU29" s="412">
        <f t="shared" si="68"/>
        <v>359.94737858727854</v>
      </c>
      <c r="CV29" s="412">
        <f t="shared" si="68"/>
        <v>334.96558794466404</v>
      </c>
      <c r="CW29" s="412">
        <f t="shared" si="68"/>
        <v>216.57430900621117</v>
      </c>
      <c r="CX29" s="412">
        <f t="shared" si="68"/>
        <v>62.266666666666673</v>
      </c>
      <c r="CY29" s="412">
        <f t="shared" si="68"/>
        <v>5.6391666666666662</v>
      </c>
      <c r="CZ29" s="412">
        <f t="shared" si="68"/>
        <v>0.12791666666666668</v>
      </c>
      <c r="DB29" s="244">
        <f t="shared" si="55"/>
        <v>2026</v>
      </c>
      <c r="DC29" s="412">
        <f>DC28</f>
        <v>0</v>
      </c>
      <c r="DD29" s="412">
        <f t="shared" ref="DD29:DN29" si="69">DD28</f>
        <v>0.1424999999999999</v>
      </c>
      <c r="DE29" s="412">
        <f t="shared" si="69"/>
        <v>2.4454166666666657</v>
      </c>
      <c r="DF29" s="412">
        <f t="shared" si="69"/>
        <v>27.605</v>
      </c>
      <c r="DG29" s="412">
        <f t="shared" si="69"/>
        <v>181.39445928308913</v>
      </c>
      <c r="DH29" s="412">
        <f t="shared" si="69"/>
        <v>314.42035087738344</v>
      </c>
      <c r="DI29" s="412">
        <f t="shared" si="69"/>
        <v>421.94737858727848</v>
      </c>
      <c r="DJ29" s="412">
        <f t="shared" si="69"/>
        <v>396.96558794466398</v>
      </c>
      <c r="DK29" s="412">
        <f t="shared" si="69"/>
        <v>276.00264233954448</v>
      </c>
      <c r="DL29" s="412">
        <f t="shared" si="69"/>
        <v>98.552083333333343</v>
      </c>
      <c r="DM29" s="412">
        <f t="shared" si="69"/>
        <v>13.393750000000001</v>
      </c>
      <c r="DN29" s="412">
        <f t="shared" si="69"/>
        <v>0.99248188405797111</v>
      </c>
      <c r="DP29" s="18">
        <f>'Monthly Data'!F29</f>
        <v>36940740.360373333</v>
      </c>
      <c r="DQ29" s="18">
        <f>'Monthly Data'!J29</f>
        <v>10307837.783077231</v>
      </c>
      <c r="DR29" s="18">
        <f>'Monthly Data'!N29</f>
        <v>25802014.556424748</v>
      </c>
      <c r="DS29" s="4">
        <f>'Monthly Data'!S29</f>
        <v>7658302.3379697306</v>
      </c>
      <c r="DT29" s="4">
        <f>'Monthly Data'!V29</f>
        <v>2851633.5451566167</v>
      </c>
      <c r="DU29" s="18">
        <f t="shared" si="7"/>
        <v>36159693.032891601</v>
      </c>
      <c r="DV29" s="18">
        <f t="shared" si="8"/>
        <v>10011404.545390276</v>
      </c>
      <c r="DW29" s="18">
        <f t="shared" si="9"/>
        <v>24484720.862279017</v>
      </c>
      <c r="DX29" s="18">
        <f t="shared" si="10"/>
        <v>6850529.6144307256</v>
      </c>
      <c r="DY29" s="18">
        <f t="shared" si="11"/>
        <v>3129810.7411797089</v>
      </c>
      <c r="ER29" s="24">
        <f>'Monthly Data'!F29/'Monthly Data'!G29/'Monthly Data'!CD29</f>
        <v>23.512660149177858</v>
      </c>
      <c r="ES29" s="259">
        <f>'Monthly Data'!J29/'Monthly Data'!K29/'Monthly Data'!CD29</f>
        <v>82.773932249877376</v>
      </c>
      <c r="ET29" s="24">
        <f>'Monthly Data'!N29/'Monthly Data'!P29/'Monthly Data'!CD29</f>
        <v>1647.6382219939176</v>
      </c>
      <c r="EU29" s="24">
        <f>'Monthly Data'!Q29/'Monthly Data'!U29/'Monthly Data'!CD29</f>
        <v>18910.488465585822</v>
      </c>
      <c r="EV29" s="24">
        <f>'Monthly Data'!V29/'Monthly Data'!Z29/'Monthly Data'!CD29</f>
        <v>95054.451505220553</v>
      </c>
      <c r="EW29" s="24"/>
      <c r="FG29" s="24"/>
    </row>
    <row r="30" spans="1:163" x14ac:dyDescent="0.25">
      <c r="A30" s="3">
        <v>42856</v>
      </c>
      <c r="B30" s="1">
        <v>2017</v>
      </c>
      <c r="C30" s="1">
        <v>5</v>
      </c>
      <c r="D30" s="263">
        <v>12.072311827956989</v>
      </c>
      <c r="E30" s="263">
        <v>247.16666666666663</v>
      </c>
      <c r="F30" s="263">
        <v>1.4083333333333314</v>
      </c>
      <c r="G30" s="263">
        <v>188.63749999999999</v>
      </c>
      <c r="H30" s="263">
        <v>4.8791666666666664</v>
      </c>
      <c r="I30" s="263">
        <v>134.83333333333331</v>
      </c>
      <c r="J30" s="263">
        <v>13.075000000000003</v>
      </c>
      <c r="K30" s="263">
        <v>88.129166666666677</v>
      </c>
      <c r="L30" s="263">
        <v>28.370833333333344</v>
      </c>
      <c r="M30" s="263">
        <v>52.287499999999987</v>
      </c>
      <c r="N30" s="263">
        <v>54.529166666666683</v>
      </c>
      <c r="O30" s="263">
        <v>26.741666666666656</v>
      </c>
      <c r="P30" s="263">
        <v>90.983333333333348</v>
      </c>
      <c r="Q30" s="263">
        <v>10.045833333333327</v>
      </c>
      <c r="R30" s="263">
        <v>136.28750000000002</v>
      </c>
      <c r="DP30" s="18">
        <f>'Monthly Data'!F30</f>
        <v>33272849.356663078</v>
      </c>
      <c r="DQ30" s="18">
        <f>'Monthly Data'!J30</f>
        <v>10255191.139574682</v>
      </c>
      <c r="DR30" s="18">
        <f>'Monthly Data'!N30</f>
        <v>27647143.955622979</v>
      </c>
      <c r="DS30" s="4">
        <f>'Monthly Data'!S30</f>
        <v>7506438.3334006667</v>
      </c>
      <c r="DT30" s="4">
        <f>'Monthly Data'!V30</f>
        <v>3104012.6835156321</v>
      </c>
      <c r="DU30" s="18">
        <f t="shared" si="7"/>
        <v>36468476.015011474</v>
      </c>
      <c r="DV30" s="18">
        <f t="shared" si="8"/>
        <v>9780375.3489389475</v>
      </c>
      <c r="DW30" s="18">
        <f t="shared" si="9"/>
        <v>24212684.860464726</v>
      </c>
      <c r="DX30" s="18">
        <f t="shared" si="10"/>
        <v>7001099.144083146</v>
      </c>
      <c r="DY30" s="18">
        <f t="shared" si="11"/>
        <v>3146693.5777301281</v>
      </c>
      <c r="ER30" s="24">
        <f>'Monthly Data'!F30/'Monthly Data'!G30/'Monthly Data'!CD30</f>
        <v>20.349955845945054</v>
      </c>
      <c r="ES30" s="259">
        <f>'Monthly Data'!J30/'Monthly Data'!K30/'Monthly Data'!CD30</f>
        <v>79.522263799431471</v>
      </c>
      <c r="ET30" s="24">
        <f>'Monthly Data'!N30/'Monthly Data'!P30/'Monthly Data'!CD30</f>
        <v>1705.2454176045751</v>
      </c>
      <c r="EU30" s="24">
        <f>'Monthly Data'!Q30/'Monthly Data'!U30/'Monthly Data'!CD30</f>
        <v>17886.941144904522</v>
      </c>
      <c r="EV30" s="24">
        <f>'Monthly Data'!V30/'Monthly Data'!Z30/'Monthly Data'!CD30</f>
        <v>100129.44140373006</v>
      </c>
      <c r="EW30" s="24"/>
      <c r="FG30" s="24"/>
    </row>
    <row r="31" spans="1:163" x14ac:dyDescent="0.25">
      <c r="A31" s="3">
        <v>42887</v>
      </c>
      <c r="B31" s="1">
        <v>2017</v>
      </c>
      <c r="C31" s="1">
        <v>6</v>
      </c>
      <c r="D31" s="263">
        <v>17.620722222222227</v>
      </c>
      <c r="E31" s="263">
        <v>85.453333333333319</v>
      </c>
      <c r="F31" s="263">
        <v>14.074999999999999</v>
      </c>
      <c r="G31" s="263">
        <v>47.73249999999998</v>
      </c>
      <c r="H31" s="263">
        <v>36.354166666666671</v>
      </c>
      <c r="I31" s="263">
        <v>20.287499999999987</v>
      </c>
      <c r="J31" s="263">
        <v>68.909166666666678</v>
      </c>
      <c r="K31" s="263">
        <v>4.091666666666665</v>
      </c>
      <c r="L31" s="263">
        <v>112.71333333333334</v>
      </c>
      <c r="M31" s="263">
        <v>0</v>
      </c>
      <c r="N31" s="263">
        <v>168.62166666666667</v>
      </c>
      <c r="O31" s="263">
        <v>0</v>
      </c>
      <c r="P31" s="263">
        <v>228.62166666666667</v>
      </c>
      <c r="Q31" s="263">
        <v>0</v>
      </c>
      <c r="R31" s="263">
        <v>288.62166666666667</v>
      </c>
      <c r="AW31" s="411"/>
      <c r="DP31" s="18">
        <f>'Monthly Data'!F31</f>
        <v>37271121.64391619</v>
      </c>
      <c r="DQ31" s="18">
        <f>'Monthly Data'!J31</f>
        <v>10271714.846599523</v>
      </c>
      <c r="DR31" s="18">
        <f>'Monthly Data'!N31</f>
        <v>24510322.97232236</v>
      </c>
      <c r="DS31" s="4">
        <f>'Monthly Data'!S31</f>
        <v>8030339.2459057812</v>
      </c>
      <c r="DT31" s="4">
        <f>'Monthly Data'!V31</f>
        <v>3164334.3234939571</v>
      </c>
      <c r="DU31" s="18">
        <f t="shared" si="7"/>
        <v>41896730.437385842</v>
      </c>
      <c r="DV31" s="18">
        <f t="shared" si="8"/>
        <v>10273140.461569482</v>
      </c>
      <c r="DW31" s="18">
        <f t="shared" si="9"/>
        <v>25458967.148404371</v>
      </c>
      <c r="DX31" s="18">
        <f t="shared" si="10"/>
        <v>7594924.2382465424</v>
      </c>
      <c r="DY31" s="18">
        <f t="shared" si="11"/>
        <v>3252586.6277214349</v>
      </c>
      <c r="ER31" s="24">
        <f>'Monthly Data'!F31/'Monthly Data'!G31/'Monthly Data'!CD31</f>
        <v>23.427254275119704</v>
      </c>
      <c r="ES31" s="259">
        <f>'Monthly Data'!J31/'Monthly Data'!K31/'Monthly Data'!CD31</f>
        <v>82.424288610171104</v>
      </c>
      <c r="ET31" s="24">
        <f>'Monthly Data'!N31/'Monthly Data'!P31/'Monthly Data'!CD31</f>
        <v>1556.2109823696737</v>
      </c>
      <c r="EU31" s="24">
        <f>'Monthly Data'!Q31/'Monthly Data'!U31/'Monthly Data'!CD31</f>
        <v>19932.981336867357</v>
      </c>
      <c r="EV31" s="24">
        <f>'Monthly Data'!V31/'Monthly Data'!Z31/'Monthly Data'!CD31</f>
        <v>105477.81078313191</v>
      </c>
      <c r="EW31" s="24"/>
      <c r="FG31" s="24"/>
    </row>
    <row r="32" spans="1:163" x14ac:dyDescent="0.25">
      <c r="A32" s="3">
        <v>42917</v>
      </c>
      <c r="B32" s="1">
        <v>2017</v>
      </c>
      <c r="C32" s="1">
        <v>7</v>
      </c>
      <c r="D32" s="263">
        <v>20.392473118279565</v>
      </c>
      <c r="E32" s="263">
        <v>14.412500000000009</v>
      </c>
      <c r="F32" s="263">
        <v>26.579166666666627</v>
      </c>
      <c r="G32" s="263">
        <v>1.8041666666666707</v>
      </c>
      <c r="H32" s="263">
        <v>75.970833333333289</v>
      </c>
      <c r="I32" s="263">
        <v>0</v>
      </c>
      <c r="J32" s="263">
        <v>136.16666666666663</v>
      </c>
      <c r="K32" s="263">
        <v>0</v>
      </c>
      <c r="L32" s="263">
        <v>198.16666666666666</v>
      </c>
      <c r="M32" s="263">
        <v>0</v>
      </c>
      <c r="N32" s="263">
        <v>260.16666666666657</v>
      </c>
      <c r="O32" s="263">
        <v>0</v>
      </c>
      <c r="P32" s="263">
        <v>322.16666666666657</v>
      </c>
      <c r="Q32" s="263">
        <v>0</v>
      </c>
      <c r="R32" s="263">
        <v>384.16666666666657</v>
      </c>
      <c r="U32" s="1"/>
      <c r="Y32" s="413" t="s">
        <v>165</v>
      </c>
      <c r="AN32" s="413" t="s">
        <v>165</v>
      </c>
      <c r="AS32" s="413"/>
      <c r="BB32" s="413" t="s">
        <v>165</v>
      </c>
      <c r="BG32" s="413"/>
      <c r="BP32" s="413" t="s">
        <v>165</v>
      </c>
      <c r="BU32" s="413"/>
      <c r="CD32" s="413" t="s">
        <v>165</v>
      </c>
      <c r="CI32" s="413"/>
      <c r="CR32" s="413" t="s">
        <v>165</v>
      </c>
      <c r="CW32" s="413"/>
      <c r="DF32" s="413" t="s">
        <v>165</v>
      </c>
      <c r="DP32" s="18">
        <f>'Monthly Data'!F32</f>
        <v>43007005.802366681</v>
      </c>
      <c r="DQ32" s="18">
        <f>'Monthly Data'!J32</f>
        <v>11368071.321868924</v>
      </c>
      <c r="DR32" s="18">
        <f>'Monthly Data'!N32</f>
        <v>31469547.442503113</v>
      </c>
      <c r="DS32" s="4">
        <f>'Monthly Data'!S32</f>
        <v>8822626.0175652429</v>
      </c>
      <c r="DT32" s="4">
        <f>'Monthly Data'!V32</f>
        <v>3330834.0260694562</v>
      </c>
      <c r="DU32" s="18">
        <f t="shared" si="7"/>
        <v>48208264.90652667</v>
      </c>
      <c r="DV32" s="18">
        <f t="shared" si="8"/>
        <v>11308005.28820527</v>
      </c>
      <c r="DW32" s="18">
        <f t="shared" si="9"/>
        <v>26888937.468424659</v>
      </c>
      <c r="DX32" s="18">
        <f t="shared" si="10"/>
        <v>8205719.4185303301</v>
      </c>
      <c r="DY32" s="18">
        <f t="shared" si="11"/>
        <v>3371207.4392062812</v>
      </c>
      <c r="EK32" s="1" t="s">
        <v>166</v>
      </c>
      <c r="ER32" s="24">
        <f>'Monthly Data'!F32/'Monthly Data'!G32/'Monthly Data'!CD32</f>
        <v>26.287997267940273</v>
      </c>
      <c r="ES32" s="259">
        <f>'Monthly Data'!J32/'Monthly Data'!K32/'Monthly Data'!CD32</f>
        <v>88.194318933334301</v>
      </c>
      <c r="ET32" s="24">
        <f>'Monthly Data'!N32/'Monthly Data'!P32/'Monthly Data'!CD32</f>
        <v>1929.9366762236671</v>
      </c>
      <c r="EU32" s="24">
        <f>'Monthly Data'!Q32/'Monthly Data'!U32/'Monthly Data'!CD32</f>
        <v>21414.490096221405</v>
      </c>
      <c r="EV32" s="24">
        <f>'Monthly Data'!V32/'Monthly Data'!Z32/'Monthly Data'!CD32</f>
        <v>107446.25890546633</v>
      </c>
      <c r="EW32" s="24"/>
      <c r="FG32" s="24"/>
    </row>
    <row r="33" spans="1:163" x14ac:dyDescent="0.25">
      <c r="A33" s="3">
        <v>42948</v>
      </c>
      <c r="B33" s="1">
        <v>2017</v>
      </c>
      <c r="C33" s="1">
        <v>8</v>
      </c>
      <c r="D33" s="263">
        <v>19.013680458158017</v>
      </c>
      <c r="E33" s="263">
        <v>46.587500000000006</v>
      </c>
      <c r="F33" s="263">
        <v>16.01159420289855</v>
      </c>
      <c r="G33" s="263">
        <v>17.950000000000006</v>
      </c>
      <c r="H33" s="263">
        <v>49.374094202898547</v>
      </c>
      <c r="I33" s="263">
        <v>3.6416666666666693</v>
      </c>
      <c r="J33" s="263">
        <v>97.06576086956521</v>
      </c>
      <c r="K33" s="263">
        <v>0</v>
      </c>
      <c r="L33" s="263">
        <v>155.42409420289857</v>
      </c>
      <c r="M33" s="263">
        <v>0</v>
      </c>
      <c r="N33" s="263">
        <v>217.42409420289852</v>
      </c>
      <c r="O33" s="263">
        <v>0</v>
      </c>
      <c r="P33" s="263">
        <v>279.42409420289852</v>
      </c>
      <c r="Q33" s="263">
        <v>0</v>
      </c>
      <c r="R33" s="263">
        <v>341.42409420289852</v>
      </c>
      <c r="U33" s="1"/>
      <c r="V33" s="263"/>
      <c r="AA33" s="246" t="str">
        <f>U3</f>
        <v>HDD20</v>
      </c>
      <c r="AB33" s="246" t="str">
        <f>U17</f>
        <v>CDD20</v>
      </c>
      <c r="AP33" s="246" t="s">
        <v>53</v>
      </c>
      <c r="AQ33" s="246" t="s">
        <v>54</v>
      </c>
      <c r="BD33" s="246" t="str">
        <f>AX3</f>
        <v>HDD16</v>
      </c>
      <c r="BE33" s="246" t="str">
        <f>AX17</f>
        <v>CDD16</v>
      </c>
      <c r="BR33" s="246" t="str">
        <f>BL3</f>
        <v>HDD14</v>
      </c>
      <c r="BS33" s="246" t="str">
        <f>BL17</f>
        <v>CDD14</v>
      </c>
      <c r="CF33" s="246" t="str">
        <f>BZ3</f>
        <v>HDD12</v>
      </c>
      <c r="CG33" s="246" t="str">
        <f>BZ17</f>
        <v>CDD12</v>
      </c>
      <c r="CT33" s="246" t="str">
        <f>CN3</f>
        <v>HDD10</v>
      </c>
      <c r="CU33" s="246" t="str">
        <f>CN17</f>
        <v>CDD10</v>
      </c>
      <c r="DH33" s="246" t="str">
        <f>DB3</f>
        <v>HDD8</v>
      </c>
      <c r="DI33" s="246" t="str">
        <f>DB17</f>
        <v>CDD8</v>
      </c>
      <c r="DK33" s="263"/>
      <c r="DL33" s="263"/>
      <c r="DM33" s="263"/>
      <c r="DN33" s="263"/>
      <c r="DP33" s="18">
        <f>'Monthly Data'!F33</f>
        <v>43246511.74715858</v>
      </c>
      <c r="DQ33" s="18">
        <f>'Monthly Data'!J33</f>
        <v>11009225.659270091</v>
      </c>
      <c r="DR33" s="18">
        <f>'Monthly Data'!N33</f>
        <v>27041145.811984874</v>
      </c>
      <c r="DS33" s="4">
        <f>'Monthly Data'!S33</f>
        <v>9105942.2354655229</v>
      </c>
      <c r="DT33" s="4">
        <f>'Monthly Data'!V33</f>
        <v>3426068.7581383074</v>
      </c>
      <c r="DU33" s="18">
        <f t="shared" si="7"/>
        <v>45202396.554541409</v>
      </c>
      <c r="DV33" s="18">
        <f t="shared" si="8"/>
        <v>10753993.988021415</v>
      </c>
      <c r="DW33" s="18">
        <f t="shared" si="9"/>
        <v>26221281.015046485</v>
      </c>
      <c r="DX33" s="18">
        <f t="shared" si="10"/>
        <v>7900208.1384499734</v>
      </c>
      <c r="DY33" s="18">
        <f t="shared" si="11"/>
        <v>3311874.9540611492</v>
      </c>
      <c r="EK33" s="1" t="s">
        <v>167</v>
      </c>
      <c r="ER33" s="24">
        <f>'Monthly Data'!F33/'Monthly Data'!G33/'Monthly Data'!CD33</f>
        <v>26.348022853747587</v>
      </c>
      <c r="ES33" s="259">
        <f>'Monthly Data'!J33/'Monthly Data'!K33/'Monthly Data'!CD33</f>
        <v>85.430914503093035</v>
      </c>
      <c r="ET33" s="24">
        <f>'Monthly Data'!N33/'Monthly Data'!P33/'Monthly Data'!CD33</f>
        <v>1661.5143356058295</v>
      </c>
      <c r="EU33" s="24">
        <f>'Monthly Data'!Q33/'Monthly Data'!U33/'Monthly Data'!CD33</f>
        <v>22170.797840207775</v>
      </c>
      <c r="EV33" s="24">
        <f>'Monthly Data'!V33/'Monthly Data'!Z33/'Monthly Data'!CD33</f>
        <v>110518.3470367196</v>
      </c>
      <c r="EW33" s="24"/>
      <c r="FG33" s="24"/>
    </row>
    <row r="34" spans="1:163" x14ac:dyDescent="0.25">
      <c r="A34" s="3">
        <v>42979</v>
      </c>
      <c r="B34" s="1">
        <v>2017</v>
      </c>
      <c r="C34" s="1">
        <v>9</v>
      </c>
      <c r="D34" s="263">
        <v>17.194861111111109</v>
      </c>
      <c r="E34" s="263">
        <v>100.06666666666666</v>
      </c>
      <c r="F34" s="263">
        <v>15.912499999999994</v>
      </c>
      <c r="G34" s="263">
        <v>65.699999999999989</v>
      </c>
      <c r="H34" s="263">
        <v>41.54583333333332</v>
      </c>
      <c r="I34" s="263">
        <v>37.391666666666666</v>
      </c>
      <c r="J34" s="263">
        <v>73.237499999999983</v>
      </c>
      <c r="K34" s="263">
        <v>16.833333333333329</v>
      </c>
      <c r="L34" s="263">
        <v>112.67916666666666</v>
      </c>
      <c r="M34" s="263">
        <v>5.466666666666665</v>
      </c>
      <c r="N34" s="263">
        <v>161.3125</v>
      </c>
      <c r="O34" s="263">
        <v>1.3833333333333311</v>
      </c>
      <c r="P34" s="263">
        <v>217.22916666666663</v>
      </c>
      <c r="Q34" s="263">
        <v>0</v>
      </c>
      <c r="R34" s="263">
        <v>275.8458333333333</v>
      </c>
      <c r="U34" s="1"/>
      <c r="Y34" s="1" t="s">
        <v>168</v>
      </c>
      <c r="Z34" s="1" t="s">
        <v>169</v>
      </c>
      <c r="AA34" s="414">
        <f t="shared" ref="AA34:AA45" ca="1" si="70">OFFSET(V$15,0,(ROW()-ROW(AA$34)))</f>
        <v>759.33418478260865</v>
      </c>
      <c r="AB34" s="414">
        <f t="shared" ref="AB34:AB45" ca="1" si="71">OFFSET(V$29,0,(ROW()-ROW(AB$34)))</f>
        <v>0</v>
      </c>
      <c r="AN34" s="1" t="s">
        <v>168</v>
      </c>
      <c r="AO34" s="1" t="s">
        <v>169</v>
      </c>
      <c r="AP34" s="414">
        <f t="shared" ref="AP34:AP45" ca="1" si="72">OFFSET($AK$15,0,(ROW()-ROW(AP$34)))</f>
        <v>697.33418478260876</v>
      </c>
      <c r="AQ34" s="414">
        <f t="shared" ref="AQ34:AQ45" ca="1" si="73">OFFSET($AK$29,0,(ROW()-ROW(AQ$34)))</f>
        <v>0</v>
      </c>
      <c r="AU34" s="414"/>
      <c r="AV34" s="414"/>
      <c r="BB34" s="1" t="s">
        <v>168</v>
      </c>
      <c r="BC34" s="1" t="s">
        <v>169</v>
      </c>
      <c r="BD34" s="414">
        <f t="shared" ref="BD34:BD45" ca="1" si="74">OFFSET(AY$15,0,(ROW()-ROW(BD$34)))</f>
        <v>635.33418478260876</v>
      </c>
      <c r="BE34" s="414">
        <f t="shared" ref="BE34:BE45" ca="1" si="75">OFFSET(AY$29,0,(ROW()-ROW(BE$34)))</f>
        <v>0</v>
      </c>
      <c r="BI34" s="414"/>
      <c r="BJ34" s="414"/>
      <c r="BP34" s="1" t="s">
        <v>168</v>
      </c>
      <c r="BQ34" s="1" t="s">
        <v>169</v>
      </c>
      <c r="BR34" s="414">
        <f t="shared" ref="BR34:BR45" ca="1" si="76">OFFSET(BM$15,0,(ROW()-ROW(BR$34)))</f>
        <v>573.33418478260865</v>
      </c>
      <c r="BS34" s="414">
        <f t="shared" ref="BS34:BS45" ca="1" si="77">OFFSET(BM$29,0,(ROW()-ROW(BS$34)))</f>
        <v>0</v>
      </c>
      <c r="BW34" s="414"/>
      <c r="BX34" s="414"/>
      <c r="CD34" s="1" t="s">
        <v>168</v>
      </c>
      <c r="CE34" s="1" t="s">
        <v>169</v>
      </c>
      <c r="CF34" s="414">
        <f t="shared" ref="CF34:CF45" ca="1" si="78">OFFSET(CA$15,0,(ROW()-ROW(CF$34)))</f>
        <v>511.33418478260876</v>
      </c>
      <c r="CG34" s="414">
        <f t="shared" ref="CG34:CG45" ca="1" si="79">OFFSET(CA$29,0,(ROW()-ROW(CG$34)))</f>
        <v>0</v>
      </c>
      <c r="CK34" s="414"/>
      <c r="CL34" s="414"/>
      <c r="CR34" s="1" t="s">
        <v>168</v>
      </c>
      <c r="CS34" s="1" t="s">
        <v>169</v>
      </c>
      <c r="CT34" s="414">
        <f t="shared" ref="CT34:CT45" ca="1" si="80">OFFSET(CO$15,0,(ROW()-ROW(CT$34)))</f>
        <v>449.33418478260865</v>
      </c>
      <c r="CU34" s="414">
        <f t="shared" ref="CU34:CU45" ca="1" si="81">OFFSET(CO$29,0,(ROW()-ROW(CU$34)))</f>
        <v>0</v>
      </c>
      <c r="CY34" s="414"/>
      <c r="CZ34" s="414"/>
      <c r="DF34" s="1" t="s">
        <v>168</v>
      </c>
      <c r="DG34" s="1" t="s">
        <v>169</v>
      </c>
      <c r="DH34" s="414">
        <f t="shared" ref="DH34:DH45" ca="1" si="82">OFFSET(DC$15,0,(ROW()-ROW(DH$34)))</f>
        <v>387.33418478260865</v>
      </c>
      <c r="DI34" s="414">
        <f t="shared" ref="DI34:DI45" ca="1" si="83">OFFSET(DC$29,0,(ROW()-ROW(DI$34)))</f>
        <v>0</v>
      </c>
      <c r="DP34" s="18">
        <f>'Monthly Data'!F34</f>
        <v>40173512.443843894</v>
      </c>
      <c r="DQ34" s="18">
        <f>'Monthly Data'!J34</f>
        <v>10614412.668142477</v>
      </c>
      <c r="DR34" s="18">
        <f>'Monthly Data'!N34</f>
        <v>27701627.05622584</v>
      </c>
      <c r="DS34" s="4">
        <f>'Monthly Data'!S34</f>
        <v>7578589.9761335328</v>
      </c>
      <c r="DT34" s="4">
        <f>'Monthly Data'!V34</f>
        <v>3363510.2194956485</v>
      </c>
      <c r="DU34" s="18">
        <f t="shared" si="7"/>
        <v>41776209.000308424</v>
      </c>
      <c r="DV34" s="18">
        <f t="shared" si="8"/>
        <v>10368342.277335614</v>
      </c>
      <c r="DW34" s="18">
        <f t="shared" si="9"/>
        <v>25372516.263430454</v>
      </c>
      <c r="DX34" s="18">
        <f t="shared" si="10"/>
        <v>7595624.1315547498</v>
      </c>
      <c r="DY34" s="18">
        <f t="shared" si="11"/>
        <v>3253708.6742794607</v>
      </c>
      <c r="EK34" s="1" t="s">
        <v>170</v>
      </c>
      <c r="ER34" s="24">
        <f>'Monthly Data'!F34/'Monthly Data'!G34/'Monthly Data'!CD34</f>
        <v>25.308859811031034</v>
      </c>
      <c r="ES34" s="259">
        <f>'Monthly Data'!J34/'Monthly Data'!K34/'Monthly Data'!CD34</f>
        <v>84.867775390920912</v>
      </c>
      <c r="ET34" s="24">
        <f>'Monthly Data'!N34/'Monthly Data'!P34/'Monthly Data'!CD34</f>
        <v>1758.833463887355</v>
      </c>
      <c r="EU34" s="24">
        <f>'Monthly Data'!Q34/'Monthly Data'!U34/'Monthly Data'!CD34</f>
        <v>18661.707778022093</v>
      </c>
      <c r="EV34" s="24">
        <f>'Monthly Data'!V34/'Monthly Data'!Z34/'Monthly Data'!CD34</f>
        <v>112117.00731652162</v>
      </c>
      <c r="EW34" s="24"/>
      <c r="FG34" s="24"/>
    </row>
    <row r="35" spans="1:163" x14ac:dyDescent="0.25">
      <c r="A35" s="3">
        <v>43009</v>
      </c>
      <c r="B35" s="1">
        <v>2017</v>
      </c>
      <c r="C35" s="1">
        <v>10</v>
      </c>
      <c r="D35" s="263">
        <v>12.306989247311826</v>
      </c>
      <c r="E35" s="263">
        <v>238.48333333333335</v>
      </c>
      <c r="F35" s="263">
        <v>0</v>
      </c>
      <c r="G35" s="263">
        <v>179.70833333333334</v>
      </c>
      <c r="H35" s="263">
        <v>3.2250000000000014</v>
      </c>
      <c r="I35" s="263">
        <v>124.7625</v>
      </c>
      <c r="J35" s="263">
        <v>10.279166666666672</v>
      </c>
      <c r="K35" s="263">
        <v>82.137500000000017</v>
      </c>
      <c r="L35" s="263">
        <v>29.654166666666669</v>
      </c>
      <c r="M35" s="263">
        <v>49.88333333333334</v>
      </c>
      <c r="N35" s="263">
        <v>59.400000000000006</v>
      </c>
      <c r="O35" s="263">
        <v>26.758333333333336</v>
      </c>
      <c r="P35" s="263">
        <v>98.274999999999977</v>
      </c>
      <c r="Q35" s="263">
        <v>11.620833333333334</v>
      </c>
      <c r="R35" s="263">
        <v>145.13749999999999</v>
      </c>
      <c r="U35" s="1"/>
      <c r="Y35" s="1" t="s">
        <v>168</v>
      </c>
      <c r="Z35" s="1" t="s">
        <v>171</v>
      </c>
      <c r="AA35" s="414">
        <f t="shared" ca="1" si="70"/>
        <v>680.85501811594202</v>
      </c>
      <c r="AB35" s="414">
        <f t="shared" ca="1" si="71"/>
        <v>0</v>
      </c>
      <c r="AN35" s="1" t="s">
        <v>168</v>
      </c>
      <c r="AO35" s="1" t="s">
        <v>171</v>
      </c>
      <c r="AP35" s="414">
        <f t="shared" ca="1" si="72"/>
        <v>624.25501811594188</v>
      </c>
      <c r="AQ35" s="414">
        <f t="shared" ca="1" si="73"/>
        <v>0</v>
      </c>
      <c r="AU35" s="414"/>
      <c r="AV35" s="414"/>
      <c r="BB35" s="1" t="s">
        <v>168</v>
      </c>
      <c r="BC35" s="1" t="s">
        <v>171</v>
      </c>
      <c r="BD35" s="414">
        <f t="shared" ca="1" si="74"/>
        <v>567.65501811594208</v>
      </c>
      <c r="BE35" s="414">
        <f t="shared" ca="1" si="75"/>
        <v>0</v>
      </c>
      <c r="BI35" s="414"/>
      <c r="BJ35" s="414"/>
      <c r="BP35" s="1" t="s">
        <v>168</v>
      </c>
      <c r="BQ35" s="1" t="s">
        <v>171</v>
      </c>
      <c r="BR35" s="414">
        <f t="shared" ca="1" si="76"/>
        <v>511.05501811594206</v>
      </c>
      <c r="BS35" s="414">
        <f t="shared" ca="1" si="77"/>
        <v>0</v>
      </c>
      <c r="BW35" s="414"/>
      <c r="BX35" s="414"/>
      <c r="CD35" s="1" t="s">
        <v>168</v>
      </c>
      <c r="CE35" s="1" t="s">
        <v>171</v>
      </c>
      <c r="CF35" s="414">
        <f t="shared" ca="1" si="78"/>
        <v>454.45501811594193</v>
      </c>
      <c r="CG35" s="414">
        <f t="shared" ca="1" si="79"/>
        <v>0</v>
      </c>
      <c r="CK35" s="414"/>
      <c r="CL35" s="414"/>
      <c r="CR35" s="1" t="s">
        <v>168</v>
      </c>
      <c r="CS35" s="1" t="s">
        <v>171</v>
      </c>
      <c r="CT35" s="414">
        <f t="shared" ca="1" si="80"/>
        <v>397.85501811594202</v>
      </c>
      <c r="CU35" s="414">
        <f t="shared" ca="1" si="81"/>
        <v>0</v>
      </c>
      <c r="CY35" s="414"/>
      <c r="CZ35" s="414"/>
      <c r="DF35" s="1" t="s">
        <v>168</v>
      </c>
      <c r="DG35" s="1" t="s">
        <v>171</v>
      </c>
      <c r="DH35" s="414">
        <f t="shared" ca="1" si="82"/>
        <v>341.39751811594203</v>
      </c>
      <c r="DI35" s="414">
        <f t="shared" ca="1" si="83"/>
        <v>0.1424999999999999</v>
      </c>
      <c r="DP35" s="18">
        <f>'Monthly Data'!F35</f>
        <v>36831928.279389635</v>
      </c>
      <c r="DQ35" s="18">
        <f>'Monthly Data'!J35</f>
        <v>10086644.014943147</v>
      </c>
      <c r="DR35" s="18">
        <f>'Monthly Data'!N35</f>
        <v>28543126.735597521</v>
      </c>
      <c r="DS35" s="4">
        <f>'Monthly Data'!S35</f>
        <v>7201241.0247569699</v>
      </c>
      <c r="DT35" s="4">
        <f>'Monthly Data'!V35</f>
        <v>3363510.2194956485</v>
      </c>
      <c r="DU35" s="18">
        <f t="shared" si="7"/>
        <v>36625979.062205553</v>
      </c>
      <c r="DV35" s="18">
        <f t="shared" si="8"/>
        <v>9741296.2906173114</v>
      </c>
      <c r="DW35" s="18">
        <f t="shared" si="9"/>
        <v>24289103.259536136</v>
      </c>
      <c r="DX35" s="18">
        <f t="shared" si="10"/>
        <v>7009856.8262063926</v>
      </c>
      <c r="DY35" s="18">
        <f t="shared" si="11"/>
        <v>3147960.6991696656</v>
      </c>
      <c r="ER35" s="24">
        <f>'Monthly Data'!F35/'Monthly Data'!G35/'Monthly Data'!CD35</f>
        <v>22.46410888050649</v>
      </c>
      <c r="ES35" s="259">
        <f>'Monthly Data'!J35/'Monthly Data'!K35/'Monthly Data'!CD35</f>
        <v>77.934278655152767</v>
      </c>
      <c r="ET35" s="24">
        <f>'Monthly Data'!N35/'Monthly Data'!P35/'Monthly Data'!CD35</f>
        <v>1760.5086495773464</v>
      </c>
      <c r="EU35" s="24">
        <f>'Monthly Data'!Q35/'Monthly Data'!U35/'Monthly Data'!CD35</f>
        <v>17040.043310682904</v>
      </c>
      <c r="EV35" s="24">
        <f>'Monthly Data'!V35/'Monthly Data'!Z35/'Monthly Data'!CD35</f>
        <v>108500.32966114995</v>
      </c>
      <c r="EW35" s="24"/>
      <c r="FG35" s="24"/>
    </row>
    <row r="36" spans="1:163" x14ac:dyDescent="0.25">
      <c r="A36" s="3">
        <v>43040</v>
      </c>
      <c r="B36" s="1">
        <v>2017</v>
      </c>
      <c r="C36" s="1">
        <v>11</v>
      </c>
      <c r="D36" s="263">
        <v>3.2462752525252521</v>
      </c>
      <c r="E36" s="263">
        <v>502.61174242424244</v>
      </c>
      <c r="F36" s="263">
        <v>0</v>
      </c>
      <c r="G36" s="263">
        <v>442.61174242424244</v>
      </c>
      <c r="H36" s="263">
        <v>0</v>
      </c>
      <c r="I36" s="263">
        <v>382.61174242424244</v>
      </c>
      <c r="J36" s="263">
        <v>0</v>
      </c>
      <c r="K36" s="263">
        <v>322.61174242424249</v>
      </c>
      <c r="L36" s="263">
        <v>0</v>
      </c>
      <c r="M36" s="263">
        <v>262.61174242424244</v>
      </c>
      <c r="N36" s="263">
        <v>0</v>
      </c>
      <c r="O36" s="263">
        <v>203.9075757575757</v>
      </c>
      <c r="P36" s="263">
        <v>1.2958333333333325</v>
      </c>
      <c r="Q36" s="263">
        <v>148.02424242424243</v>
      </c>
      <c r="R36" s="263">
        <v>5.4124999999999979</v>
      </c>
      <c r="Y36" s="1" t="s">
        <v>168</v>
      </c>
      <c r="Z36" s="1" t="s">
        <v>172</v>
      </c>
      <c r="AA36" s="414">
        <f t="shared" ca="1" si="70"/>
        <v>608.13298913043479</v>
      </c>
      <c r="AB36" s="414">
        <f t="shared" ca="1" si="71"/>
        <v>0</v>
      </c>
      <c r="AN36" s="1" t="s">
        <v>168</v>
      </c>
      <c r="AO36" s="1" t="s">
        <v>172</v>
      </c>
      <c r="AP36" s="414">
        <f t="shared" ca="1" si="72"/>
        <v>546.13298913043491</v>
      </c>
      <c r="AQ36" s="414">
        <f t="shared" ca="1" si="73"/>
        <v>0</v>
      </c>
      <c r="AU36" s="414"/>
      <c r="AV36" s="414"/>
      <c r="BB36" s="1" t="s">
        <v>168</v>
      </c>
      <c r="BC36" s="1" t="s">
        <v>172</v>
      </c>
      <c r="BD36" s="414">
        <f t="shared" ca="1" si="74"/>
        <v>484.13298913043479</v>
      </c>
      <c r="BE36" s="414">
        <f t="shared" ca="1" si="75"/>
        <v>0</v>
      </c>
      <c r="BI36" s="414"/>
      <c r="BJ36" s="414"/>
      <c r="BP36" s="1" t="s">
        <v>168</v>
      </c>
      <c r="BQ36" s="1" t="s">
        <v>172</v>
      </c>
      <c r="BR36" s="414">
        <f t="shared" ca="1" si="76"/>
        <v>422.13298913043479</v>
      </c>
      <c r="BS36" s="414">
        <f t="shared" ca="1" si="77"/>
        <v>0</v>
      </c>
      <c r="BW36" s="414"/>
      <c r="BX36" s="414"/>
      <c r="CD36" s="1" t="s">
        <v>168</v>
      </c>
      <c r="CE36" s="1" t="s">
        <v>172</v>
      </c>
      <c r="CF36" s="414">
        <f t="shared" ca="1" si="78"/>
        <v>360.16257246376813</v>
      </c>
      <c r="CG36" s="414">
        <f t="shared" ca="1" si="79"/>
        <v>2.9583333333332896E-2</v>
      </c>
      <c r="CK36" s="414"/>
      <c r="CL36" s="414"/>
      <c r="CR36" s="1" t="s">
        <v>168</v>
      </c>
      <c r="CS36" s="1" t="s">
        <v>172</v>
      </c>
      <c r="CT36" s="414">
        <f t="shared" ca="1" si="80"/>
        <v>298.65173913043481</v>
      </c>
      <c r="CU36" s="414">
        <f t="shared" ca="1" si="81"/>
        <v>0.51874999999999927</v>
      </c>
      <c r="CY36" s="414"/>
      <c r="CZ36" s="414"/>
      <c r="DF36" s="1" t="s">
        <v>168</v>
      </c>
      <c r="DG36" s="1" t="s">
        <v>172</v>
      </c>
      <c r="DH36" s="414">
        <f t="shared" ca="1" si="82"/>
        <v>238.57840579710145</v>
      </c>
      <c r="DI36" s="414">
        <f t="shared" ca="1" si="83"/>
        <v>2.4454166666666657</v>
      </c>
      <c r="DP36" s="18">
        <f>'Monthly Data'!F36</f>
        <v>39177413.497449182</v>
      </c>
      <c r="DQ36" s="18">
        <f>'Monthly Data'!J36</f>
        <v>11102990.29685051</v>
      </c>
      <c r="DR36" s="18">
        <f>'Monthly Data'!N36</f>
        <v>28958644.867446724</v>
      </c>
      <c r="DS36" s="4">
        <f>'Monthly Data'!S36</f>
        <v>7272686.6406943528</v>
      </c>
      <c r="DT36" s="4">
        <f>'Monthly Data'!V36</f>
        <v>2918187.1957343561</v>
      </c>
      <c r="DU36" s="18">
        <f t="shared" si="7"/>
        <v>39875136.656743273</v>
      </c>
      <c r="DV36" s="18">
        <f t="shared" si="8"/>
        <v>10784911.710305803</v>
      </c>
      <c r="DW36" s="18">
        <f t="shared" si="9"/>
        <v>26911230.370541837</v>
      </c>
      <c r="DX36" s="18">
        <f t="shared" si="10"/>
        <v>6834636.3143730462</v>
      </c>
      <c r="DY36" s="18">
        <f t="shared" si="11"/>
        <v>3152305.3154352368</v>
      </c>
      <c r="EL36" s="1" t="s">
        <v>148</v>
      </c>
      <c r="EM36" s="1" t="s">
        <v>149</v>
      </c>
      <c r="EN36" s="1" t="s">
        <v>150</v>
      </c>
      <c r="EO36" s="1" t="s">
        <v>151</v>
      </c>
      <c r="ER36" s="24">
        <f>'Monthly Data'!F36/'Monthly Data'!G36/'Monthly Data'!CD36</f>
        <v>24.618979795424753</v>
      </c>
      <c r="ES36" s="259">
        <f>'Monthly Data'!J36/'Monthly Data'!K36/'Monthly Data'!CD36</f>
        <v>88.350364421504807</v>
      </c>
      <c r="ET36" s="24">
        <f>'Monthly Data'!N36/'Monthly Data'!P36/'Monthly Data'!CD36</f>
        <v>1842.1529813897407</v>
      </c>
      <c r="EU36" s="24">
        <f>'Monthly Data'!Q36/'Monthly Data'!U36/'Monthly Data'!CD36</f>
        <v>19419.309061739619</v>
      </c>
      <c r="EV36" s="24">
        <f>'Monthly Data'!V36/'Monthly Data'!Z36/'Monthly Data'!CD36</f>
        <v>97272.906524478531</v>
      </c>
      <c r="EW36" s="24"/>
      <c r="FG36" s="24"/>
    </row>
    <row r="37" spans="1:163" x14ac:dyDescent="0.25">
      <c r="A37" s="3">
        <v>43070</v>
      </c>
      <c r="B37" s="1">
        <v>2017</v>
      </c>
      <c r="C37" s="1">
        <v>12</v>
      </c>
      <c r="D37" s="263">
        <v>-5.7520161290322589</v>
      </c>
      <c r="E37" s="263">
        <v>798.31250000000011</v>
      </c>
      <c r="F37" s="263">
        <v>0</v>
      </c>
      <c r="G37" s="263">
        <v>736.31250000000011</v>
      </c>
      <c r="H37" s="263">
        <v>0</v>
      </c>
      <c r="I37" s="263">
        <v>674.31250000000011</v>
      </c>
      <c r="J37" s="263">
        <v>0</v>
      </c>
      <c r="K37" s="263">
        <v>612.31250000000011</v>
      </c>
      <c r="L37" s="263">
        <v>0</v>
      </c>
      <c r="M37" s="263">
        <v>550.3125</v>
      </c>
      <c r="N37" s="263">
        <v>0</v>
      </c>
      <c r="O37" s="263">
        <v>488.31250000000011</v>
      </c>
      <c r="P37" s="263">
        <v>0</v>
      </c>
      <c r="Q37" s="263">
        <v>426.3125</v>
      </c>
      <c r="R37" s="263">
        <v>0</v>
      </c>
      <c r="Y37" s="1" t="s">
        <v>168</v>
      </c>
      <c r="Z37" s="1" t="s">
        <v>173</v>
      </c>
      <c r="AA37" s="414">
        <f t="shared" ca="1" si="70"/>
        <v>412.37941287878795</v>
      </c>
      <c r="AB37" s="414">
        <f t="shared" ca="1" si="71"/>
        <v>0</v>
      </c>
      <c r="AN37" s="1" t="s">
        <v>168</v>
      </c>
      <c r="AO37" s="1" t="s">
        <v>173</v>
      </c>
      <c r="AP37" s="414">
        <f t="shared" ca="1" si="72"/>
        <v>352.41399621212122</v>
      </c>
      <c r="AQ37" s="414">
        <f t="shared" ca="1" si="73"/>
        <v>3.4583333333333854E-2</v>
      </c>
      <c r="AU37" s="414"/>
      <c r="AV37" s="414"/>
      <c r="BB37" s="1" t="s">
        <v>168</v>
      </c>
      <c r="BC37" s="1" t="s">
        <v>173</v>
      </c>
      <c r="BD37" s="414">
        <f t="shared" ca="1" si="74"/>
        <v>292.81107954545462</v>
      </c>
      <c r="BE37" s="414">
        <f t="shared" ca="1" si="75"/>
        <v>0.4316666666666677</v>
      </c>
      <c r="BI37" s="414"/>
      <c r="BJ37" s="414"/>
      <c r="BP37" s="1" t="s">
        <v>168</v>
      </c>
      <c r="BQ37" s="1" t="s">
        <v>173</v>
      </c>
      <c r="BR37" s="414">
        <f t="shared" ca="1" si="76"/>
        <v>234.57024621212122</v>
      </c>
      <c r="BS37" s="414">
        <f t="shared" ca="1" si="77"/>
        <v>2.1908333333333347</v>
      </c>
      <c r="BW37" s="414"/>
      <c r="BX37" s="414"/>
      <c r="CD37" s="1" t="s">
        <v>168</v>
      </c>
      <c r="CE37" s="1" t="s">
        <v>173</v>
      </c>
      <c r="CF37" s="414">
        <f t="shared" ca="1" si="78"/>
        <v>178.02149621212124</v>
      </c>
      <c r="CG37" s="414">
        <f t="shared" ca="1" si="79"/>
        <v>5.6420833333333338</v>
      </c>
      <c r="CK37" s="414"/>
      <c r="CL37" s="414"/>
      <c r="CR37" s="1" t="s">
        <v>168</v>
      </c>
      <c r="CS37" s="1" t="s">
        <v>173</v>
      </c>
      <c r="CT37" s="414">
        <f t="shared" ca="1" si="80"/>
        <v>125.17066287878788</v>
      </c>
      <c r="CU37" s="414">
        <f t="shared" ca="1" si="81"/>
        <v>12.79125</v>
      </c>
      <c r="CY37" s="414"/>
      <c r="CZ37" s="414"/>
      <c r="DF37" s="1" t="s">
        <v>168</v>
      </c>
      <c r="DG37" s="1" t="s">
        <v>173</v>
      </c>
      <c r="DH37" s="414">
        <f t="shared" ca="1" si="82"/>
        <v>79.984412878787879</v>
      </c>
      <c r="DI37" s="414">
        <f t="shared" ca="1" si="83"/>
        <v>27.605</v>
      </c>
      <c r="DP37" s="18">
        <f>'Monthly Data'!F37</f>
        <v>45743096.906611487</v>
      </c>
      <c r="DQ37" s="18">
        <f>'Monthly Data'!J37</f>
        <v>12738018.510544082</v>
      </c>
      <c r="DR37" s="18">
        <f>'Monthly Data'!N37</f>
        <v>32603693.979294565</v>
      </c>
      <c r="DS37" s="4">
        <f>'Monthly Data'!S37</f>
        <v>6901002.2880553724</v>
      </c>
      <c r="DT37" s="4">
        <f>'Monthly Data'!V37</f>
        <v>3038979.2685842598</v>
      </c>
      <c r="DU37" s="18">
        <f t="shared" si="7"/>
        <v>48821835.42786029</v>
      </c>
      <c r="DV37" s="18">
        <f t="shared" si="8"/>
        <v>12416348.791513892</v>
      </c>
      <c r="DW37" s="18">
        <f t="shared" si="9"/>
        <v>32610558.270894751</v>
      </c>
      <c r="DX37" s="18">
        <f t="shared" si="10"/>
        <v>6884322.9306346187</v>
      </c>
      <c r="DY37" s="18">
        <f t="shared" si="11"/>
        <v>3213852.6397617804</v>
      </c>
      <c r="EK37" s="1" t="s">
        <v>152</v>
      </c>
      <c r="EL37" s="1">
        <v>8645023.5952246003</v>
      </c>
      <c r="EM37" s="1">
        <v>210486.87267082499</v>
      </c>
      <c r="EN37" s="1">
        <v>41.071557031227897</v>
      </c>
      <c r="EO37" s="274">
        <v>5.9641991978616998E-71</v>
      </c>
      <c r="ER37" s="24">
        <f>'Monthly Data'!F37/'Monthly Data'!G37/'Monthly Data'!CD37</f>
        <v>27.844880855603865</v>
      </c>
      <c r="ES37" s="259">
        <f>'Monthly Data'!J37/'Monthly Data'!K37/'Monthly Data'!CD37</f>
        <v>98.161448380500929</v>
      </c>
      <c r="ET37" s="24">
        <f>'Monthly Data'!N37/'Monthly Data'!P37/'Monthly Data'!CD37</f>
        <v>2007.1222592523125</v>
      </c>
      <c r="EU37" s="24">
        <f>'Monthly Data'!Q37/'Monthly Data'!U37/'Monthly Data'!CD37</f>
        <v>17697.11994310189</v>
      </c>
      <c r="EV37" s="24">
        <f>'Monthly Data'!V37/'Monthly Data'!Z37/'Monthly Data'!CD37</f>
        <v>98031.589309169663</v>
      </c>
      <c r="EW37" s="24"/>
      <c r="FG37" s="24"/>
    </row>
    <row r="38" spans="1:163" x14ac:dyDescent="0.25">
      <c r="A38" s="3">
        <v>43101</v>
      </c>
      <c r="B38" s="1">
        <v>2018</v>
      </c>
      <c r="C38" s="1">
        <v>1</v>
      </c>
      <c r="D38" s="263">
        <v>-6.2108870967741945</v>
      </c>
      <c r="E38" s="263">
        <v>812.53750000000002</v>
      </c>
      <c r="F38" s="263">
        <v>0</v>
      </c>
      <c r="G38" s="263">
        <v>750.53750000000002</v>
      </c>
      <c r="H38" s="263">
        <v>0</v>
      </c>
      <c r="I38" s="263">
        <v>688.53749999999991</v>
      </c>
      <c r="J38" s="263">
        <v>0</v>
      </c>
      <c r="K38" s="263">
        <v>626.53750000000002</v>
      </c>
      <c r="L38" s="263">
        <v>0</v>
      </c>
      <c r="M38" s="263">
        <v>564.53750000000002</v>
      </c>
      <c r="N38" s="263">
        <v>0</v>
      </c>
      <c r="O38" s="263">
        <v>502.53750000000002</v>
      </c>
      <c r="P38" s="263">
        <v>0</v>
      </c>
      <c r="Q38" s="263">
        <v>440.53750000000002</v>
      </c>
      <c r="R38" s="263">
        <v>0</v>
      </c>
      <c r="Y38" s="1" t="s">
        <v>168</v>
      </c>
      <c r="Z38" s="1" t="s">
        <v>69</v>
      </c>
      <c r="AA38" s="414">
        <f t="shared" ca="1" si="70"/>
        <v>202.70273119310133</v>
      </c>
      <c r="AB38" s="414">
        <f t="shared" ca="1" si="71"/>
        <v>4.8953571428571401</v>
      </c>
      <c r="AN38" s="1" t="s">
        <v>168</v>
      </c>
      <c r="AO38" s="1" t="s">
        <v>69</v>
      </c>
      <c r="AP38" s="414">
        <f t="shared" ca="1" si="72"/>
        <v>150.136897859768</v>
      </c>
      <c r="AQ38" s="414">
        <f t="shared" ca="1" si="73"/>
        <v>14.32952380952381</v>
      </c>
      <c r="AU38" s="414"/>
      <c r="AV38" s="414"/>
      <c r="BB38" s="1" t="s">
        <v>168</v>
      </c>
      <c r="BC38" s="1" t="s">
        <v>69</v>
      </c>
      <c r="BD38" s="414">
        <f t="shared" ca="1" si="74"/>
        <v>103.25939244851259</v>
      </c>
      <c r="BE38" s="414">
        <f t="shared" ca="1" si="75"/>
        <v>29.4520183982684</v>
      </c>
      <c r="BI38" s="414"/>
      <c r="BJ38" s="414"/>
      <c r="BP38" s="1" t="s">
        <v>168</v>
      </c>
      <c r="BQ38" s="1" t="s">
        <v>69</v>
      </c>
      <c r="BR38" s="414">
        <f t="shared" ca="1" si="76"/>
        <v>64.294809115179262</v>
      </c>
      <c r="BS38" s="414">
        <f t="shared" ca="1" si="77"/>
        <v>52.487435064935063</v>
      </c>
      <c r="BW38" s="414"/>
      <c r="BX38" s="414"/>
      <c r="CD38" s="1" t="s">
        <v>168</v>
      </c>
      <c r="CE38" s="1" t="s">
        <v>69</v>
      </c>
      <c r="CF38" s="414">
        <f t="shared" ca="1" si="78"/>
        <v>35.998420226290364</v>
      </c>
      <c r="CG38" s="414">
        <f t="shared" ca="1" si="79"/>
        <v>86.191046176046171</v>
      </c>
      <c r="CK38" s="414"/>
      <c r="CL38" s="414"/>
      <c r="CR38" s="1" t="s">
        <v>168</v>
      </c>
      <c r="CS38" s="1" t="s">
        <v>69</v>
      </c>
      <c r="CT38" s="414">
        <f t="shared" ca="1" si="80"/>
        <v>18.031833333333331</v>
      </c>
      <c r="CU38" s="414">
        <f t="shared" ca="1" si="81"/>
        <v>130.22445928308915</v>
      </c>
      <c r="CY38" s="414"/>
      <c r="CZ38" s="414"/>
      <c r="DF38" s="1" t="s">
        <v>168</v>
      </c>
      <c r="DG38" s="1" t="s">
        <v>69</v>
      </c>
      <c r="DH38" s="414">
        <f t="shared" ca="1" si="82"/>
        <v>7.2018333333333331</v>
      </c>
      <c r="DI38" s="414">
        <f t="shared" ca="1" si="83"/>
        <v>181.39445928308913</v>
      </c>
      <c r="DP38" s="18">
        <f>'Monthly Data'!F38</f>
        <v>49182543.969667621</v>
      </c>
      <c r="DQ38" s="18">
        <f>'Monthly Data'!J38</f>
        <v>13743847.236236988</v>
      </c>
      <c r="DR38" s="18">
        <f>'Monthly Data'!N38</f>
        <v>33872703.090109438</v>
      </c>
      <c r="DS38" s="4">
        <f>'Monthly Data'!S38</f>
        <v>7124030.899678275</v>
      </c>
      <c r="DT38" s="4">
        <f>'Monthly Data'!V38</f>
        <v>3601834.996090522</v>
      </c>
      <c r="DU38" s="18">
        <f t="shared" si="7"/>
        <v>49261139.733047888</v>
      </c>
      <c r="DV38" s="18">
        <f t="shared" si="8"/>
        <v>12495907.009576309</v>
      </c>
      <c r="DW38" s="18">
        <f t="shared" si="9"/>
        <v>32895619.929368053</v>
      </c>
      <c r="DX38" s="18">
        <f t="shared" si="10"/>
        <v>6886779.6225191886</v>
      </c>
      <c r="DY38" s="18">
        <f t="shared" si="11"/>
        <v>3216895.7693521306</v>
      </c>
      <c r="EK38" s="1" t="s">
        <v>55</v>
      </c>
      <c r="EL38" s="1">
        <v>5592.8448550031198</v>
      </c>
      <c r="EM38" s="1">
        <v>456.90178877395499</v>
      </c>
      <c r="EN38" s="1">
        <v>12.2408031494271</v>
      </c>
      <c r="EO38" s="274">
        <v>1.2627344322490999E-22</v>
      </c>
      <c r="ER38" s="24">
        <f>'Monthly Data'!F38/'Monthly Data'!G38/'Monthly Data'!CD38</f>
        <v>29.90131130328297</v>
      </c>
      <c r="ES38" s="259">
        <f>'Monthly Data'!J38/'Monthly Data'!K38/'Monthly Data'!CD38</f>
        <v>105.55950258246534</v>
      </c>
      <c r="ET38" s="24">
        <f>'Monthly Data'!N38/'Monthly Data'!P38/'Monthly Data'!CD38</f>
        <v>2097.2511355401793</v>
      </c>
      <c r="EU38" s="24">
        <f>'Monthly Data'!Q38/'Monthly Data'!U38/'Monthly Data'!CD38</f>
        <v>18382.699267243152</v>
      </c>
      <c r="EV38" s="24">
        <f>'Monthly Data'!V38/'Monthly Data'!Z38/'Monthly Data'!CD38</f>
        <v>116188.22568033943</v>
      </c>
      <c r="EW38" s="24"/>
      <c r="FG38" s="24"/>
    </row>
    <row r="39" spans="1:163" x14ac:dyDescent="0.25">
      <c r="A39" s="3">
        <v>43132</v>
      </c>
      <c r="B39" s="1">
        <v>2018</v>
      </c>
      <c r="C39" s="1">
        <v>2</v>
      </c>
      <c r="D39" s="263">
        <v>-2.5891369047619053</v>
      </c>
      <c r="E39" s="263">
        <v>632.49583333333328</v>
      </c>
      <c r="F39" s="263">
        <v>0</v>
      </c>
      <c r="G39" s="263">
        <v>576.49583333333317</v>
      </c>
      <c r="H39" s="263">
        <v>0</v>
      </c>
      <c r="I39" s="263">
        <v>520.49583333333328</v>
      </c>
      <c r="J39" s="263">
        <v>0</v>
      </c>
      <c r="K39" s="263">
        <v>464.49583333333334</v>
      </c>
      <c r="L39" s="263">
        <v>0</v>
      </c>
      <c r="M39" s="263">
        <v>408.49583333333334</v>
      </c>
      <c r="N39" s="263">
        <v>0</v>
      </c>
      <c r="O39" s="263">
        <v>352.49583333333334</v>
      </c>
      <c r="P39" s="263">
        <v>0</v>
      </c>
      <c r="Q39" s="263">
        <v>296.49583333333334</v>
      </c>
      <c r="R39" s="263">
        <v>0</v>
      </c>
      <c r="Y39" s="1" t="s">
        <v>168</v>
      </c>
      <c r="Z39" s="1" t="s">
        <v>142</v>
      </c>
      <c r="AA39" s="414">
        <f t="shared" ca="1" si="70"/>
        <v>66.09717382617383</v>
      </c>
      <c r="AB39" s="414">
        <f t="shared" ca="1" si="71"/>
        <v>20.517524703557307</v>
      </c>
      <c r="AN39" s="1" t="s">
        <v>168</v>
      </c>
      <c r="AO39" s="1" t="s">
        <v>142</v>
      </c>
      <c r="AP39" s="414">
        <f t="shared" ca="1" si="72"/>
        <v>32.520923826173821</v>
      </c>
      <c r="AQ39" s="414">
        <f t="shared" ca="1" si="73"/>
        <v>46.941274703557312</v>
      </c>
      <c r="AU39" s="414"/>
      <c r="AV39" s="414"/>
      <c r="BB39" s="1" t="s">
        <v>168</v>
      </c>
      <c r="BC39" s="1" t="s">
        <v>142</v>
      </c>
      <c r="BD39" s="414">
        <f t="shared" ca="1" si="74"/>
        <v>11.89069871794872</v>
      </c>
      <c r="BE39" s="414">
        <f t="shared" ca="1" si="75"/>
        <v>86.311049595332207</v>
      </c>
      <c r="BI39" s="414"/>
      <c r="BJ39" s="414"/>
      <c r="BP39" s="1" t="s">
        <v>168</v>
      </c>
      <c r="BQ39" s="1" t="s">
        <v>142</v>
      </c>
      <c r="BR39" s="414">
        <f t="shared" ca="1" si="76"/>
        <v>3.2341666666666669</v>
      </c>
      <c r="BS39" s="414">
        <f t="shared" ca="1" si="77"/>
        <v>137.65451754405018</v>
      </c>
      <c r="BW39" s="414"/>
      <c r="BX39" s="414"/>
      <c r="CD39" s="1" t="s">
        <v>168</v>
      </c>
      <c r="CE39" s="1" t="s">
        <v>142</v>
      </c>
      <c r="CF39" s="414">
        <f t="shared" ca="1" si="78"/>
        <v>0.5225000000000003</v>
      </c>
      <c r="CG39" s="414">
        <f t="shared" ca="1" si="79"/>
        <v>194.94285087738348</v>
      </c>
      <c r="CK39" s="414"/>
      <c r="CL39" s="414"/>
      <c r="CR39" s="1" t="s">
        <v>168</v>
      </c>
      <c r="CS39" s="1" t="s">
        <v>142</v>
      </c>
      <c r="CT39" s="414">
        <f t="shared" ca="1" si="80"/>
        <v>9.7916666666666957E-2</v>
      </c>
      <c r="CU39" s="414">
        <f t="shared" ca="1" si="81"/>
        <v>254.51826754405016</v>
      </c>
      <c r="CY39" s="414"/>
      <c r="CZ39" s="414"/>
      <c r="DF39" s="1" t="s">
        <v>168</v>
      </c>
      <c r="DG39" s="1" t="s">
        <v>142</v>
      </c>
      <c r="DH39" s="414">
        <f t="shared" ca="1" si="82"/>
        <v>0</v>
      </c>
      <c r="DI39" s="414">
        <f t="shared" ca="1" si="83"/>
        <v>314.42035087738344</v>
      </c>
      <c r="DP39" s="18">
        <f>'Monthly Data'!F39</f>
        <v>42254490.640547559</v>
      </c>
      <c r="DQ39" s="18">
        <f>'Monthly Data'!J39</f>
        <v>11791318.027232353</v>
      </c>
      <c r="DR39" s="18">
        <f>'Monthly Data'!N39</f>
        <v>27039739.170188677</v>
      </c>
      <c r="DS39" s="4">
        <f>'Monthly Data'!S39</f>
        <v>6399514.7034799419</v>
      </c>
      <c r="DT39" s="4">
        <f>'Monthly Data'!V39</f>
        <v>3368081.2940163556</v>
      </c>
      <c r="DU39" s="18">
        <f t="shared" si="7"/>
        <v>44256879.502015151</v>
      </c>
      <c r="DV39" s="18">
        <f t="shared" si="8"/>
        <v>11556076.038733494</v>
      </c>
      <c r="DW39" s="18">
        <f t="shared" si="9"/>
        <v>29888862.365916468</v>
      </c>
      <c r="DX39" s="18">
        <f t="shared" si="10"/>
        <v>6859830.8495030403</v>
      </c>
      <c r="DY39" s="18">
        <f t="shared" si="11"/>
        <v>3183514.0461070719</v>
      </c>
      <c r="EK39" s="1" t="s">
        <v>58</v>
      </c>
      <c r="EL39" s="1">
        <v>13438.0909654197</v>
      </c>
      <c r="EM39" s="1">
        <v>1135.19337700035</v>
      </c>
      <c r="EN39" s="1">
        <v>11.8377108585047</v>
      </c>
      <c r="EO39" s="274">
        <v>1.1078031430678501E-21</v>
      </c>
      <c r="ER39" s="24">
        <f>'Monthly Data'!F39/'Monthly Data'!G39/'Monthly Data'!CD39</f>
        <v>28.393553057407047</v>
      </c>
      <c r="ES39" s="259">
        <f>'Monthly Data'!J39/'Monthly Data'!K39/'Monthly Data'!CD39</f>
        <v>100.02814749942614</v>
      </c>
      <c r="ET39" s="24">
        <f>'Monthly Data'!N39/'Monthly Data'!P39/'Monthly Data'!CD39</f>
        <v>1853.5604037694459</v>
      </c>
      <c r="EU39" s="24">
        <f>'Monthly Data'!Q39/'Monthly Data'!U39/'Monthly Data'!CD39</f>
        <v>17999.914410450521</v>
      </c>
      <c r="EV39" s="24">
        <f>'Monthly Data'!V39/'Monthly Data'!Z39/'Monthly Data'!CD39</f>
        <v>120288.61764344128</v>
      </c>
      <c r="EW39" s="24"/>
      <c r="FG39" s="24"/>
    </row>
    <row r="40" spans="1:163" x14ac:dyDescent="0.25">
      <c r="A40" s="3">
        <v>43160</v>
      </c>
      <c r="B40" s="1">
        <v>2018</v>
      </c>
      <c r="C40" s="1">
        <v>3</v>
      </c>
      <c r="D40" s="263">
        <v>-0.29932795698924713</v>
      </c>
      <c r="E40" s="263">
        <v>629.27916666666681</v>
      </c>
      <c r="F40" s="263">
        <v>0</v>
      </c>
      <c r="G40" s="263">
        <v>567.2791666666667</v>
      </c>
      <c r="H40" s="263">
        <v>0</v>
      </c>
      <c r="I40" s="263">
        <v>505.2791666666667</v>
      </c>
      <c r="J40" s="263">
        <v>0</v>
      </c>
      <c r="K40" s="263">
        <v>443.2791666666667</v>
      </c>
      <c r="L40" s="263">
        <v>0</v>
      </c>
      <c r="M40" s="263">
        <v>381.27916666666664</v>
      </c>
      <c r="N40" s="263">
        <v>0</v>
      </c>
      <c r="O40" s="263">
        <v>319.2791666666667</v>
      </c>
      <c r="P40" s="263">
        <v>0</v>
      </c>
      <c r="Q40" s="263">
        <v>257.2791666666667</v>
      </c>
      <c r="R40" s="263">
        <v>0</v>
      </c>
      <c r="Y40" s="1" t="s">
        <v>168</v>
      </c>
      <c r="Z40" s="1" t="s">
        <v>143</v>
      </c>
      <c r="AA40" s="414">
        <f t="shared" ca="1" si="70"/>
        <v>10.249063146997932</v>
      </c>
      <c r="AB40" s="414">
        <f t="shared" ca="1" si="71"/>
        <v>60.196441734276391</v>
      </c>
      <c r="AN40" s="1" t="s">
        <v>168</v>
      </c>
      <c r="AO40" s="1" t="s">
        <v>143</v>
      </c>
      <c r="AP40" s="414">
        <f t="shared" ca="1" si="72"/>
        <v>1.6179166666666653</v>
      </c>
      <c r="AQ40" s="414">
        <f t="shared" ca="1" si="73"/>
        <v>113.56529525394512</v>
      </c>
      <c r="AU40" s="414"/>
      <c r="AV40" s="414"/>
      <c r="BB40" s="1" t="s">
        <v>168</v>
      </c>
      <c r="BC40" s="1" t="s">
        <v>143</v>
      </c>
      <c r="BD40" s="414">
        <f t="shared" ca="1" si="74"/>
        <v>7.4583333333333002E-2</v>
      </c>
      <c r="BE40" s="414">
        <f t="shared" ca="1" si="75"/>
        <v>174.0219619206118</v>
      </c>
      <c r="BI40" s="414"/>
      <c r="BJ40" s="414"/>
      <c r="BP40" s="1" t="s">
        <v>168</v>
      </c>
      <c r="BQ40" s="1" t="s">
        <v>143</v>
      </c>
      <c r="BR40" s="414">
        <f t="shared" ca="1" si="76"/>
        <v>0</v>
      </c>
      <c r="BS40" s="414">
        <f t="shared" ca="1" si="77"/>
        <v>235.94737858727848</v>
      </c>
      <c r="BW40" s="414"/>
      <c r="BX40" s="414"/>
      <c r="CD40" s="1" t="s">
        <v>168</v>
      </c>
      <c r="CE40" s="1" t="s">
        <v>143</v>
      </c>
      <c r="CF40" s="414">
        <f t="shared" ca="1" si="78"/>
        <v>0</v>
      </c>
      <c r="CG40" s="414">
        <f t="shared" ca="1" si="79"/>
        <v>297.94737858727848</v>
      </c>
      <c r="CK40" s="414"/>
      <c r="CL40" s="414"/>
      <c r="CR40" s="1" t="s">
        <v>168</v>
      </c>
      <c r="CS40" s="1" t="s">
        <v>143</v>
      </c>
      <c r="CT40" s="414">
        <f t="shared" ca="1" si="80"/>
        <v>0</v>
      </c>
      <c r="CU40" s="414">
        <f t="shared" ca="1" si="81"/>
        <v>359.94737858727854</v>
      </c>
      <c r="CY40" s="414"/>
      <c r="CZ40" s="414"/>
      <c r="DF40" s="1" t="s">
        <v>168</v>
      </c>
      <c r="DG40" s="1" t="s">
        <v>143</v>
      </c>
      <c r="DH40" s="414">
        <f t="shared" ca="1" si="82"/>
        <v>0</v>
      </c>
      <c r="DI40" s="414">
        <f t="shared" ca="1" si="83"/>
        <v>421.94737858727848</v>
      </c>
      <c r="DP40" s="18">
        <f>'Monthly Data'!F40</f>
        <v>43432566.137043901</v>
      </c>
      <c r="DQ40" s="18">
        <f>'Monthly Data'!J40</f>
        <v>12122391.504287651</v>
      </c>
      <c r="DR40" s="18">
        <f>'Monthly Data'!N40</f>
        <v>28989337.312387191</v>
      </c>
      <c r="DS40" s="4">
        <f>'Monthly Data'!S40</f>
        <v>6880257.4649304906</v>
      </c>
      <c r="DT40" s="4">
        <f>'Monthly Data'!V40</f>
        <v>3716883.3500913847</v>
      </c>
      <c r="DU40" s="18">
        <f t="shared" si="7"/>
        <v>43601654.685959131</v>
      </c>
      <c r="DV40" s="18">
        <f t="shared" si="8"/>
        <v>11470971.58285653</v>
      </c>
      <c r="DW40" s="18">
        <f t="shared" si="9"/>
        <v>29223217.509047929</v>
      </c>
      <c r="DX40" s="18">
        <f t="shared" si="10"/>
        <v>6855130.4653817723</v>
      </c>
      <c r="DY40" s="18">
        <f t="shared" si="11"/>
        <v>3177691.6317883343</v>
      </c>
      <c r="ER40" s="24">
        <f>'Monthly Data'!F40/'Monthly Data'!G40/'Monthly Data'!CD40</f>
        <v>26.299448511437376</v>
      </c>
      <c r="ES40" s="259">
        <f>'Monthly Data'!J40/'Monthly Data'!K40/'Monthly Data'!CD40</f>
        <v>92.774587718881492</v>
      </c>
      <c r="ET40" s="24">
        <f>'Monthly Data'!N40/'Monthly Data'!P40/'Monthly Data'!CD40</f>
        <v>1788.0304269652249</v>
      </c>
      <c r="EU40" s="24">
        <f>'Monthly Data'!Q40/'Monthly Data'!U40/'Monthly Data'!CD40</f>
        <v>17667.758898406126</v>
      </c>
      <c r="EV40" s="24">
        <f>'Monthly Data'!V40/'Monthly Data'!Z40/'Monthly Data'!CD40</f>
        <v>119899.46290617371</v>
      </c>
      <c r="EW40" s="24"/>
      <c r="FG40" s="24"/>
    </row>
    <row r="41" spans="1:163" x14ac:dyDescent="0.25">
      <c r="A41" s="3">
        <v>43191</v>
      </c>
      <c r="B41" s="1">
        <v>2018</v>
      </c>
      <c r="C41" s="1">
        <v>4</v>
      </c>
      <c r="D41" s="263">
        <v>2.9161111111111113</v>
      </c>
      <c r="E41" s="263">
        <v>512.51666666666677</v>
      </c>
      <c r="F41" s="263">
        <v>0</v>
      </c>
      <c r="G41" s="263">
        <v>452.51666666666677</v>
      </c>
      <c r="H41" s="263">
        <v>0</v>
      </c>
      <c r="I41" s="263">
        <v>392.51666666666677</v>
      </c>
      <c r="J41" s="263">
        <v>0</v>
      </c>
      <c r="K41" s="263">
        <v>332.51666666666671</v>
      </c>
      <c r="L41" s="263">
        <v>0</v>
      </c>
      <c r="M41" s="263">
        <v>272.51666666666665</v>
      </c>
      <c r="N41" s="263">
        <v>0</v>
      </c>
      <c r="O41" s="263">
        <v>212.57916666666659</v>
      </c>
      <c r="P41" s="263">
        <v>6.2499999999998224E-2</v>
      </c>
      <c r="Q41" s="263">
        <v>158.6666666666666</v>
      </c>
      <c r="R41" s="263">
        <v>6.15</v>
      </c>
      <c r="Y41" s="1" t="s">
        <v>168</v>
      </c>
      <c r="Z41" s="1" t="s">
        <v>144</v>
      </c>
      <c r="AA41" s="414">
        <f t="shared" ca="1" si="70"/>
        <v>21.194927536231887</v>
      </c>
      <c r="AB41" s="414">
        <f t="shared" ca="1" si="71"/>
        <v>46.16051548089591</v>
      </c>
      <c r="AN41" s="1" t="s">
        <v>168</v>
      </c>
      <c r="AO41" s="1" t="s">
        <v>144</v>
      </c>
      <c r="AP41" s="414">
        <f t="shared" ca="1" si="72"/>
        <v>5.6499999999999977</v>
      </c>
      <c r="AQ41" s="414">
        <f t="shared" ca="1" si="73"/>
        <v>92.615587944664043</v>
      </c>
      <c r="AU41" s="414"/>
      <c r="AV41" s="414"/>
      <c r="BB41" s="1" t="s">
        <v>168</v>
      </c>
      <c r="BC41" s="1" t="s">
        <v>144</v>
      </c>
      <c r="BD41" s="414">
        <f t="shared" ca="1" si="74"/>
        <v>0.75041666666666718</v>
      </c>
      <c r="BE41" s="414">
        <f t="shared" ca="1" si="75"/>
        <v>149.7160046113307</v>
      </c>
      <c r="BI41" s="414"/>
      <c r="BJ41" s="414"/>
      <c r="BP41" s="1" t="s">
        <v>168</v>
      </c>
      <c r="BQ41" s="1" t="s">
        <v>144</v>
      </c>
      <c r="BR41" s="414">
        <f t="shared" ca="1" si="76"/>
        <v>0</v>
      </c>
      <c r="BS41" s="414">
        <f t="shared" ca="1" si="77"/>
        <v>210.96558794466404</v>
      </c>
      <c r="BW41" s="414"/>
      <c r="BX41" s="414"/>
      <c r="CD41" s="1" t="s">
        <v>168</v>
      </c>
      <c r="CE41" s="1" t="s">
        <v>144</v>
      </c>
      <c r="CF41" s="414">
        <f t="shared" ca="1" si="78"/>
        <v>0</v>
      </c>
      <c r="CG41" s="414">
        <f t="shared" ca="1" si="79"/>
        <v>272.96558794466404</v>
      </c>
      <c r="CK41" s="414"/>
      <c r="CL41" s="414"/>
      <c r="CR41" s="1" t="s">
        <v>168</v>
      </c>
      <c r="CS41" s="1" t="s">
        <v>144</v>
      </c>
      <c r="CT41" s="414">
        <f t="shared" ca="1" si="80"/>
        <v>0</v>
      </c>
      <c r="CU41" s="414">
        <f t="shared" ca="1" si="81"/>
        <v>334.96558794466404</v>
      </c>
      <c r="CY41" s="414"/>
      <c r="CZ41" s="414"/>
      <c r="DF41" s="1" t="s">
        <v>168</v>
      </c>
      <c r="DG41" s="1" t="s">
        <v>144</v>
      </c>
      <c r="DH41" s="414">
        <f t="shared" ca="1" si="82"/>
        <v>0</v>
      </c>
      <c r="DI41" s="414">
        <f t="shared" ca="1" si="83"/>
        <v>396.96558794466398</v>
      </c>
      <c r="DP41" s="18">
        <f>'Monthly Data'!F41</f>
        <v>40741485.304550432</v>
      </c>
      <c r="DQ41" s="18">
        <f>'Monthly Data'!J41</f>
        <v>11217887.058367977</v>
      </c>
      <c r="DR41" s="18">
        <f>'Monthly Data'!N41</f>
        <v>27292635.35976962</v>
      </c>
      <c r="DS41" s="4">
        <f>'Monthly Data'!S41</f>
        <v>7045665.0089409975</v>
      </c>
      <c r="DT41" s="4">
        <f>'Monthly Data'!V41</f>
        <v>3398029.7079421505</v>
      </c>
      <c r="DU41" s="18">
        <f t="shared" si="7"/>
        <v>40181025.99679628</v>
      </c>
      <c r="DV41" s="18">
        <f t="shared" si="8"/>
        <v>10840308.414894242</v>
      </c>
      <c r="DW41" s="18">
        <f t="shared" si="9"/>
        <v>27085004.576949392</v>
      </c>
      <c r="DX41" s="18">
        <f t="shared" si="10"/>
        <v>6836346.9187318254</v>
      </c>
      <c r="DY41" s="18">
        <f t="shared" si="11"/>
        <v>3154424.2587078065</v>
      </c>
      <c r="EK41" s="1" t="s">
        <v>153</v>
      </c>
      <c r="ER41" s="24">
        <f>'Monthly Data'!F41/'Monthly Data'!G41/'Monthly Data'!CD41</f>
        <v>25.413554215196697</v>
      </c>
      <c r="ES41" s="259">
        <f>'Monthly Data'!J41/'Monthly Data'!K41/'Monthly Data'!CD41</f>
        <v>88.650917167440937</v>
      </c>
      <c r="ET41" s="24">
        <f>'Monthly Data'!N41/'Monthly Data'!P41/'Monthly Data'!CD41</f>
        <v>1739.492374746311</v>
      </c>
      <c r="EU41" s="24">
        <f>'Monthly Data'!Q41/'Monthly Data'!U41/'Monthly Data'!CD41</f>
        <v>18757.887008649013</v>
      </c>
      <c r="EV41" s="24">
        <f>'Monthly Data'!V41/'Monthly Data'!Z41/'Monthly Data'!CD41</f>
        <v>113267.65693140501</v>
      </c>
      <c r="EW41" s="24"/>
      <c r="FG41" s="24"/>
    </row>
    <row r="42" spans="1:163" x14ac:dyDescent="0.25">
      <c r="A42" s="3">
        <v>43221</v>
      </c>
      <c r="B42" s="1">
        <v>2018</v>
      </c>
      <c r="C42" s="1">
        <v>5</v>
      </c>
      <c r="D42" s="263">
        <v>15.888323907275522</v>
      </c>
      <c r="E42" s="263">
        <v>140.84469696969697</v>
      </c>
      <c r="F42" s="263">
        <v>13.3827380952381</v>
      </c>
      <c r="G42" s="263">
        <v>95.407196969696969</v>
      </c>
      <c r="H42" s="263">
        <v>29.9452380952381</v>
      </c>
      <c r="I42" s="263">
        <v>53.462500000000013</v>
      </c>
      <c r="J42" s="263">
        <v>50.000541125541133</v>
      </c>
      <c r="K42" s="263">
        <v>22.062500000000014</v>
      </c>
      <c r="L42" s="263">
        <v>80.600541125541127</v>
      </c>
      <c r="M42" s="263">
        <v>6.9291666666666698</v>
      </c>
      <c r="N42" s="263">
        <v>127.46720779220779</v>
      </c>
      <c r="O42" s="263">
        <v>2.7874999999999988</v>
      </c>
      <c r="P42" s="263">
        <v>185.32554112554109</v>
      </c>
      <c r="Q42" s="263">
        <v>0.50416666666666554</v>
      </c>
      <c r="R42" s="263">
        <v>245.04220779220779</v>
      </c>
      <c r="Y42" s="1" t="s">
        <v>168</v>
      </c>
      <c r="Z42" s="1" t="s">
        <v>174</v>
      </c>
      <c r="AA42" s="414">
        <f t="shared" ca="1" si="70"/>
        <v>96.735690993788822</v>
      </c>
      <c r="AB42" s="414">
        <f t="shared" ca="1" si="71"/>
        <v>12.738333333333333</v>
      </c>
      <c r="AN42" s="1" t="s">
        <v>168</v>
      </c>
      <c r="AO42" s="1" t="s">
        <v>174</v>
      </c>
      <c r="AP42" s="414">
        <f t="shared" ca="1" si="72"/>
        <v>54.959440993788824</v>
      </c>
      <c r="AQ42" s="414">
        <f t="shared" ca="1" si="73"/>
        <v>30.962083333333332</v>
      </c>
      <c r="AU42" s="414"/>
      <c r="AV42" s="414"/>
      <c r="BB42" s="1" t="s">
        <v>168</v>
      </c>
      <c r="BC42" s="1" t="s">
        <v>174</v>
      </c>
      <c r="BD42" s="414">
        <f t="shared" ca="1" si="74"/>
        <v>26.342536231884061</v>
      </c>
      <c r="BE42" s="414">
        <f t="shared" ca="1" si="75"/>
        <v>62.345178571428576</v>
      </c>
      <c r="BI42" s="414"/>
      <c r="BJ42" s="414"/>
      <c r="BP42" s="1" t="s">
        <v>168</v>
      </c>
      <c r="BQ42" s="1" t="s">
        <v>174</v>
      </c>
      <c r="BR42" s="414">
        <f t="shared" ca="1" si="76"/>
        <v>10.413369565217392</v>
      </c>
      <c r="BS42" s="414">
        <f t="shared" ca="1" si="77"/>
        <v>106.4160119047619</v>
      </c>
      <c r="BW42" s="414"/>
      <c r="BX42" s="414"/>
      <c r="CD42" s="1" t="s">
        <v>168</v>
      </c>
      <c r="CE42" s="1" t="s">
        <v>174</v>
      </c>
      <c r="CF42" s="414">
        <f t="shared" ca="1" si="78"/>
        <v>2.6674999999999995</v>
      </c>
      <c r="CG42" s="414">
        <f t="shared" ca="1" si="79"/>
        <v>158.67014233954447</v>
      </c>
      <c r="CK42" s="414"/>
      <c r="CL42" s="414"/>
      <c r="CR42" s="1" t="s">
        <v>168</v>
      </c>
      <c r="CS42" s="1" t="s">
        <v>174</v>
      </c>
      <c r="CT42" s="414">
        <f t="shared" ca="1" si="80"/>
        <v>0.57166666666666666</v>
      </c>
      <c r="CU42" s="414">
        <f t="shared" ca="1" si="81"/>
        <v>216.57430900621117</v>
      </c>
      <c r="CY42" s="414"/>
      <c r="CZ42" s="414"/>
      <c r="DF42" s="1" t="s">
        <v>168</v>
      </c>
      <c r="DG42" s="1" t="s">
        <v>174</v>
      </c>
      <c r="DH42" s="414">
        <f t="shared" ca="1" si="82"/>
        <v>0</v>
      </c>
      <c r="DI42" s="414">
        <f t="shared" ca="1" si="83"/>
        <v>276.00264233954448</v>
      </c>
      <c r="DP42" s="18">
        <f>'Monthly Data'!F42</f>
        <v>32656333.018106893</v>
      </c>
      <c r="DQ42" s="18">
        <f>'Monthly Data'!J42</f>
        <v>10536315.185701128</v>
      </c>
      <c r="DR42" s="18">
        <f>'Monthly Data'!N42</f>
        <v>23108874.049163755</v>
      </c>
      <c r="DS42" s="4">
        <f>'Monthly Data'!S42</f>
        <v>7498547.6286311271</v>
      </c>
      <c r="DT42" s="4">
        <f>'Monthly Data'!V42</f>
        <v>3765155.0246874741</v>
      </c>
      <c r="DU42" s="18">
        <f t="shared" si="7"/>
        <v>39557531.258676767</v>
      </c>
      <c r="DV42" s="18">
        <f t="shared" si="8"/>
        <v>10027148.466792278</v>
      </c>
      <c r="DW42" s="18">
        <f t="shared" si="9"/>
        <v>24871977.739820443</v>
      </c>
      <c r="DX42" s="18">
        <f t="shared" si="10"/>
        <v>7366588.1707998589</v>
      </c>
      <c r="DY42" s="18">
        <f t="shared" si="11"/>
        <v>3209492.0632526758</v>
      </c>
      <c r="EK42" s="1" t="s">
        <v>154</v>
      </c>
      <c r="EL42" s="1">
        <v>43475084324851</v>
      </c>
      <c r="EM42" s="1" t="s">
        <v>155</v>
      </c>
      <c r="EN42" s="1">
        <v>612197.03502793203</v>
      </c>
      <c r="ER42" s="24">
        <f>'Monthly Data'!F42/'Monthly Data'!G42/'Monthly Data'!CD42</f>
        <v>19.633766305555724</v>
      </c>
      <c r="ES42" s="259">
        <f>'Monthly Data'!J42/'Monthly Data'!K42/'Monthly Data'!CD42</f>
        <v>81.662934892507693</v>
      </c>
      <c r="ET42" s="24">
        <f>'Monthly Data'!N42/'Monthly Data'!P42/'Monthly Data'!CD42</f>
        <v>1430.8014394875709</v>
      </c>
      <c r="EU42" s="24">
        <f>'Monthly Data'!Q42/'Monthly Data'!U42/'Monthly Data'!CD42</f>
        <v>19480.864272819603</v>
      </c>
      <c r="EV42" s="24">
        <f>'Monthly Data'!V42/'Monthly Data'!Z42/'Monthly Data'!CD42</f>
        <v>121456.61369959594</v>
      </c>
      <c r="EW42" s="24"/>
      <c r="FG42" s="24"/>
    </row>
    <row r="43" spans="1:163" x14ac:dyDescent="0.25">
      <c r="A43" s="3">
        <v>43252</v>
      </c>
      <c r="B43" s="1">
        <v>2018</v>
      </c>
      <c r="C43" s="1">
        <v>6</v>
      </c>
      <c r="D43" s="263">
        <v>18.606464646464644</v>
      </c>
      <c r="E43" s="263">
        <v>63.468560606060585</v>
      </c>
      <c r="F43" s="263">
        <v>21.662499999999998</v>
      </c>
      <c r="G43" s="263">
        <v>23.060227272727261</v>
      </c>
      <c r="H43" s="263">
        <v>41.254166666666663</v>
      </c>
      <c r="I43" s="263">
        <v>7.645833333333325</v>
      </c>
      <c r="J43" s="263">
        <v>85.839772727272717</v>
      </c>
      <c r="K43" s="263">
        <v>3.3208333333333275</v>
      </c>
      <c r="L43" s="263">
        <v>141.51477272727271</v>
      </c>
      <c r="M43" s="263">
        <v>0</v>
      </c>
      <c r="N43" s="263">
        <v>198.19393939393944</v>
      </c>
      <c r="O43" s="263">
        <v>0</v>
      </c>
      <c r="P43" s="263">
        <v>258.19393939393944</v>
      </c>
      <c r="Q43" s="263">
        <v>0</v>
      </c>
      <c r="R43" s="263">
        <v>318.19393939393939</v>
      </c>
      <c r="Y43" s="1" t="s">
        <v>168</v>
      </c>
      <c r="Z43" s="1" t="s">
        <v>175</v>
      </c>
      <c r="AA43" s="414">
        <f t="shared" ca="1" si="70"/>
        <v>298.21097826086958</v>
      </c>
      <c r="AB43" s="414">
        <f t="shared" ca="1" si="71"/>
        <v>1.666666666666572E-3</v>
      </c>
      <c r="AN43" s="1" t="s">
        <v>168</v>
      </c>
      <c r="AO43" s="1" t="s">
        <v>175</v>
      </c>
      <c r="AP43" s="414">
        <f t="shared" ca="1" si="72"/>
        <v>237.89681159420289</v>
      </c>
      <c r="AQ43" s="414">
        <f t="shared" ca="1" si="73"/>
        <v>1.6875000000000011</v>
      </c>
      <c r="AU43" s="414"/>
      <c r="AV43" s="414"/>
      <c r="BB43" s="1" t="s">
        <v>168</v>
      </c>
      <c r="BC43" s="1" t="s">
        <v>175</v>
      </c>
      <c r="BD43" s="414">
        <f t="shared" ca="1" si="74"/>
        <v>181.36347826086953</v>
      </c>
      <c r="BE43" s="414">
        <f t="shared" ca="1" si="75"/>
        <v>7.1541666666666703</v>
      </c>
      <c r="BI43" s="414"/>
      <c r="BJ43" s="414"/>
      <c r="BP43" s="1" t="s">
        <v>168</v>
      </c>
      <c r="BQ43" s="1" t="s">
        <v>175</v>
      </c>
      <c r="BR43" s="414">
        <f t="shared" ca="1" si="76"/>
        <v>130.19639492753623</v>
      </c>
      <c r="BS43" s="414">
        <f t="shared" ca="1" si="77"/>
        <v>17.987083333333334</v>
      </c>
      <c r="BW43" s="414"/>
      <c r="BX43" s="414"/>
      <c r="CD43" s="1" t="s">
        <v>168</v>
      </c>
      <c r="CE43" s="1" t="s">
        <v>175</v>
      </c>
      <c r="CF43" s="414">
        <f t="shared" ca="1" si="78"/>
        <v>85.537644927536221</v>
      </c>
      <c r="CG43" s="414">
        <f t="shared" ca="1" si="79"/>
        <v>35.32833333333334</v>
      </c>
      <c r="CK43" s="414"/>
      <c r="CL43" s="414"/>
      <c r="CR43" s="1" t="s">
        <v>168</v>
      </c>
      <c r="CS43" s="1" t="s">
        <v>175</v>
      </c>
      <c r="CT43" s="414">
        <f t="shared" ca="1" si="80"/>
        <v>50.475978260869567</v>
      </c>
      <c r="CU43" s="414">
        <f t="shared" ca="1" si="81"/>
        <v>62.266666666666673</v>
      </c>
      <c r="CY43" s="414"/>
      <c r="CZ43" s="414"/>
      <c r="DF43" s="1" t="s">
        <v>168</v>
      </c>
      <c r="DG43" s="1" t="s">
        <v>175</v>
      </c>
      <c r="DH43" s="414">
        <f t="shared" ca="1" si="82"/>
        <v>24.76139492753623</v>
      </c>
      <c r="DI43" s="414">
        <f t="shared" ca="1" si="83"/>
        <v>98.552083333333343</v>
      </c>
      <c r="DP43" s="18">
        <f>'Monthly Data'!F43</f>
        <v>39427584.09957619</v>
      </c>
      <c r="DQ43" s="18">
        <f>'Monthly Data'!J43</f>
        <v>10734643.372216791</v>
      </c>
      <c r="DR43" s="18">
        <f>'Monthly Data'!N43</f>
        <v>26998818.891324371</v>
      </c>
      <c r="DS43" s="4">
        <f>'Monthly Data'!S43</f>
        <v>7218892.5771825379</v>
      </c>
      <c r="DT43" s="4">
        <f>'Monthly Data'!V43</f>
        <v>3542268.7592087607</v>
      </c>
      <c r="DU43" s="18">
        <f t="shared" si="7"/>
        <v>43952593.101550728</v>
      </c>
      <c r="DV43" s="18">
        <f t="shared" si="8"/>
        <v>10589473.943704931</v>
      </c>
      <c r="DW43" s="18">
        <f t="shared" si="9"/>
        <v>25920898.136394382</v>
      </c>
      <c r="DX43" s="18">
        <f t="shared" si="10"/>
        <v>7800788.4179202877</v>
      </c>
      <c r="DY43" s="18">
        <f t="shared" si="11"/>
        <v>3292566.9301809533</v>
      </c>
      <c r="EK43" s="1" t="s">
        <v>156</v>
      </c>
      <c r="EL43" s="1">
        <v>0.69388887628277895</v>
      </c>
      <c r="EM43" s="1" t="s">
        <v>157</v>
      </c>
      <c r="EN43" s="1">
        <v>0.68861109828765399</v>
      </c>
      <c r="ER43" s="24">
        <f>'Monthly Data'!F43/'Monthly Data'!G43/'Monthly Data'!CD43</f>
        <v>24.440756575218167</v>
      </c>
      <c r="ES43" s="259">
        <f>'Monthly Data'!J43/'Monthly Data'!K43/'Monthly Data'!CD43</f>
        <v>86.014770610711466</v>
      </c>
      <c r="ET43" s="24">
        <f>'Monthly Data'!N43/'Monthly Data'!P43/'Monthly Data'!CD43</f>
        <v>1727.3716501167223</v>
      </c>
      <c r="EU43" s="24">
        <f>'Monthly Data'!Q43/'Monthly Data'!U43/'Monthly Data'!CD43</f>
        <v>17675.858472416872</v>
      </c>
      <c r="EV43" s="24">
        <f>'Monthly Data'!V43/'Monthly Data'!Z43/'Monthly Data'!CD43</f>
        <v>118075.6253069587</v>
      </c>
      <c r="EW43" s="24"/>
      <c r="FG43" s="24"/>
    </row>
    <row r="44" spans="1:163" x14ac:dyDescent="0.25">
      <c r="A44" s="3">
        <v>43282</v>
      </c>
      <c r="B44" s="1">
        <v>2018</v>
      </c>
      <c r="C44" s="1">
        <v>7</v>
      </c>
      <c r="D44" s="263">
        <v>22.270923040260342</v>
      </c>
      <c r="E44" s="263">
        <v>4.9668995859213254</v>
      </c>
      <c r="F44" s="263">
        <v>75.365513833992097</v>
      </c>
      <c r="G44" s="263">
        <v>0.19999999999999574</v>
      </c>
      <c r="H44" s="263">
        <v>132.59861424807079</v>
      </c>
      <c r="I44" s="263">
        <v>0</v>
      </c>
      <c r="J44" s="263">
        <v>194.39861424807077</v>
      </c>
      <c r="K44" s="263">
        <v>0</v>
      </c>
      <c r="L44" s="263">
        <v>256.39861424807077</v>
      </c>
      <c r="M44" s="263">
        <v>0</v>
      </c>
      <c r="N44" s="263">
        <v>318.39861424807077</v>
      </c>
      <c r="O44" s="263">
        <v>0</v>
      </c>
      <c r="P44" s="263">
        <v>380.39861424807083</v>
      </c>
      <c r="Q44" s="263">
        <v>0</v>
      </c>
      <c r="R44" s="263">
        <v>442.39861424807088</v>
      </c>
      <c r="Y44" s="1" t="s">
        <v>168</v>
      </c>
      <c r="Z44" s="1" t="s">
        <v>176</v>
      </c>
      <c r="AA44" s="414">
        <f t="shared" ca="1" si="70"/>
        <v>486.62991389045737</v>
      </c>
      <c r="AB44" s="414">
        <f t="shared" ca="1" si="71"/>
        <v>0</v>
      </c>
      <c r="AN44" s="1" t="s">
        <v>168</v>
      </c>
      <c r="AO44" s="1" t="s">
        <v>176</v>
      </c>
      <c r="AP44" s="414">
        <f t="shared" ca="1" si="72"/>
        <v>426.62991389045737</v>
      </c>
      <c r="AQ44" s="414">
        <f t="shared" ca="1" si="73"/>
        <v>0</v>
      </c>
      <c r="AU44" s="414"/>
      <c r="AV44" s="414"/>
      <c r="BB44" s="1" t="s">
        <v>168</v>
      </c>
      <c r="BC44" s="1" t="s">
        <v>176</v>
      </c>
      <c r="BD44" s="414">
        <f t="shared" ca="1" si="74"/>
        <v>366.78033055712399</v>
      </c>
      <c r="BE44" s="414">
        <f t="shared" ca="1" si="75"/>
        <v>0.15041666666666628</v>
      </c>
      <c r="BI44" s="414"/>
      <c r="BJ44" s="414"/>
      <c r="BP44" s="1" t="s">
        <v>168</v>
      </c>
      <c r="BQ44" s="1" t="s">
        <v>176</v>
      </c>
      <c r="BR44" s="414">
        <f t="shared" ca="1" si="76"/>
        <v>307.43824722379077</v>
      </c>
      <c r="BS44" s="414">
        <f t="shared" ca="1" si="77"/>
        <v>0.8083333333333329</v>
      </c>
      <c r="BW44" s="414"/>
      <c r="BX44" s="414"/>
      <c r="CD44" s="1" t="s">
        <v>168</v>
      </c>
      <c r="CE44" s="1" t="s">
        <v>176</v>
      </c>
      <c r="CF44" s="414">
        <f t="shared" ca="1" si="78"/>
        <v>248.90783055712399</v>
      </c>
      <c r="CG44" s="414">
        <f t="shared" ca="1" si="79"/>
        <v>2.2779166666666657</v>
      </c>
      <c r="CK44" s="414"/>
      <c r="CL44" s="414"/>
      <c r="CR44" s="1" t="s">
        <v>168</v>
      </c>
      <c r="CS44" s="1" t="s">
        <v>176</v>
      </c>
      <c r="CT44" s="414">
        <f t="shared" ca="1" si="80"/>
        <v>192.26908055712403</v>
      </c>
      <c r="CU44" s="414">
        <f t="shared" ca="1" si="81"/>
        <v>5.6391666666666662</v>
      </c>
      <c r="CY44" s="414"/>
      <c r="CZ44" s="414"/>
      <c r="DF44" s="1" t="s">
        <v>168</v>
      </c>
      <c r="DG44" s="1" t="s">
        <v>176</v>
      </c>
      <c r="DH44" s="414">
        <f t="shared" ca="1" si="82"/>
        <v>140.02366389045739</v>
      </c>
      <c r="DI44" s="414">
        <f t="shared" ca="1" si="83"/>
        <v>13.393750000000001</v>
      </c>
      <c r="DP44" s="18">
        <f>'Monthly Data'!F44</f>
        <v>48882916.889358468</v>
      </c>
      <c r="DQ44" s="18">
        <f>'Monthly Data'!J44</f>
        <v>12267261.026286196</v>
      </c>
      <c r="DR44" s="18">
        <f>'Monthly Data'!N44</f>
        <v>29341632.11251267</v>
      </c>
      <c r="DS44" s="4">
        <f>'Monthly Data'!S44</f>
        <v>7674844.1264595538</v>
      </c>
      <c r="DT44" s="4">
        <f>'Monthly Data'!V44</f>
        <v>3944834.7222399656</v>
      </c>
      <c r="DU44" s="18">
        <f t="shared" si="7"/>
        <v>52303422.456011623</v>
      </c>
      <c r="DV44" s="18">
        <f t="shared" si="8"/>
        <v>12090531.496897731</v>
      </c>
      <c r="DW44" s="18">
        <f t="shared" si="9"/>
        <v>27798544.292591847</v>
      </c>
      <c r="DX44" s="18">
        <f t="shared" si="10"/>
        <v>8621944.1757614873</v>
      </c>
      <c r="DY44" s="18">
        <f t="shared" si="11"/>
        <v>3452041.2768929228</v>
      </c>
      <c r="EK44" s="1" t="s">
        <v>158</v>
      </c>
      <c r="EL44" s="1">
        <v>137.85002481116001</v>
      </c>
      <c r="EM44" s="1" t="s">
        <v>159</v>
      </c>
      <c r="EN44" s="274">
        <v>2.2246056419138101E-31</v>
      </c>
      <c r="ER44" s="24">
        <f>'Monthly Data'!F44/'Monthly Data'!G44/'Monthly Data'!CD44</f>
        <v>29.286412100988038</v>
      </c>
      <c r="ES44" s="259">
        <f>'Monthly Data'!J44/'Monthly Data'!K44/'Monthly Data'!CD44</f>
        <v>94.941962001472007</v>
      </c>
      <c r="ET44" s="24">
        <f>'Monthly Data'!N44/'Monthly Data'!P44/'Monthly Data'!CD44</f>
        <v>1816.7068362647929</v>
      </c>
      <c r="EU44" s="24">
        <f>'Monthly Data'!Q44/'Monthly Data'!U44/'Monthly Data'!CD44</f>
        <v>18331.31716084481</v>
      </c>
      <c r="EV44" s="24">
        <f>'Monthly Data'!V44/'Monthly Data'!Z44/'Monthly Data'!CD44</f>
        <v>127252.73297548277</v>
      </c>
      <c r="EW44" s="24"/>
      <c r="FG44" s="24"/>
    </row>
    <row r="45" spans="1:163" x14ac:dyDescent="0.25">
      <c r="A45" s="3">
        <v>43313</v>
      </c>
      <c r="B45" s="1">
        <v>2018</v>
      </c>
      <c r="C45" s="1">
        <v>8</v>
      </c>
      <c r="D45" s="263">
        <v>22.136962365591401</v>
      </c>
      <c r="E45" s="263">
        <v>7.2291666666666679</v>
      </c>
      <c r="F45" s="263">
        <v>73.474999999999994</v>
      </c>
      <c r="G45" s="263">
        <v>0.90833333333333144</v>
      </c>
      <c r="H45" s="263">
        <v>129.1541666666667</v>
      </c>
      <c r="I45" s="263">
        <v>0</v>
      </c>
      <c r="J45" s="263">
        <v>190.24583333333339</v>
      </c>
      <c r="K45" s="263">
        <v>0</v>
      </c>
      <c r="L45" s="263">
        <v>252.24583333333339</v>
      </c>
      <c r="M45" s="263">
        <v>0</v>
      </c>
      <c r="N45" s="263">
        <v>314.24583333333334</v>
      </c>
      <c r="O45" s="263">
        <v>0</v>
      </c>
      <c r="P45" s="263">
        <v>376.24583333333334</v>
      </c>
      <c r="Q45" s="263">
        <v>0</v>
      </c>
      <c r="R45" s="263">
        <v>438.24583333333322</v>
      </c>
      <c r="Y45" s="1" t="s">
        <v>168</v>
      </c>
      <c r="Z45" s="1" t="s">
        <v>177</v>
      </c>
      <c r="AA45" s="414">
        <f t="shared" ca="1" si="70"/>
        <v>639.92800724637686</v>
      </c>
      <c r="AB45" s="414">
        <f t="shared" ca="1" si="71"/>
        <v>0</v>
      </c>
      <c r="AN45" s="1" t="s">
        <v>168</v>
      </c>
      <c r="AO45" s="1" t="s">
        <v>177</v>
      </c>
      <c r="AP45" s="414">
        <f t="shared" ca="1" si="72"/>
        <v>577.92800724637686</v>
      </c>
      <c r="AQ45" s="414">
        <f t="shared" ca="1" si="73"/>
        <v>0</v>
      </c>
      <c r="AU45" s="414"/>
      <c r="AV45" s="414"/>
      <c r="BB45" s="1" t="s">
        <v>168</v>
      </c>
      <c r="BC45" s="1" t="s">
        <v>177</v>
      </c>
      <c r="BD45" s="414">
        <f t="shared" ca="1" si="74"/>
        <v>515.92800724637686</v>
      </c>
      <c r="BE45" s="414">
        <f t="shared" ca="1" si="75"/>
        <v>0</v>
      </c>
      <c r="BI45" s="414"/>
      <c r="BJ45" s="414"/>
      <c r="BP45" s="1" t="s">
        <v>168</v>
      </c>
      <c r="BQ45" s="1" t="s">
        <v>177</v>
      </c>
      <c r="BR45" s="414">
        <f t="shared" ca="1" si="76"/>
        <v>453.92800724637681</v>
      </c>
      <c r="BS45" s="414">
        <f t="shared" ca="1" si="77"/>
        <v>0</v>
      </c>
      <c r="BW45" s="414"/>
      <c r="BX45" s="414"/>
      <c r="CD45" s="1" t="s">
        <v>168</v>
      </c>
      <c r="CE45" s="1" t="s">
        <v>177</v>
      </c>
      <c r="CF45" s="414">
        <f t="shared" ca="1" si="78"/>
        <v>391.92800724637681</v>
      </c>
      <c r="CG45" s="414">
        <f t="shared" ca="1" si="79"/>
        <v>0</v>
      </c>
      <c r="CK45" s="414"/>
      <c r="CL45" s="414"/>
      <c r="CR45" s="1" t="s">
        <v>168</v>
      </c>
      <c r="CS45" s="1" t="s">
        <v>177</v>
      </c>
      <c r="CT45" s="414">
        <f t="shared" ca="1" si="80"/>
        <v>330.0559239130435</v>
      </c>
      <c r="CU45" s="414">
        <f t="shared" ca="1" si="81"/>
        <v>0.12791666666666668</v>
      </c>
      <c r="CY45" s="414"/>
      <c r="CZ45" s="414"/>
      <c r="DF45" s="1" t="s">
        <v>168</v>
      </c>
      <c r="DG45" s="1" t="s">
        <v>177</v>
      </c>
      <c r="DH45" s="414">
        <f t="shared" ca="1" si="82"/>
        <v>268.92048913043476</v>
      </c>
      <c r="DI45" s="414">
        <f t="shared" ca="1" si="83"/>
        <v>0.99248188405797111</v>
      </c>
      <c r="DP45" s="18">
        <f>'Monthly Data'!F45</f>
        <v>51351752.177842215</v>
      </c>
      <c r="DQ45" s="18">
        <f>'Monthly Data'!J45</f>
        <v>12704659.584958429</v>
      </c>
      <c r="DR45" s="18">
        <f>'Monthly Data'!N45</f>
        <v>26369450.398397464</v>
      </c>
      <c r="DS45" s="4">
        <f>'Monthly Data'!S45</f>
        <v>8559341.27840144</v>
      </c>
      <c r="DT45" s="4">
        <f>'Monthly Data'!V45</f>
        <v>4464883.9792863484</v>
      </c>
      <c r="DU45" s="18">
        <f t="shared" si="7"/>
        <v>52011378.435148835</v>
      </c>
      <c r="DV45" s="18">
        <f t="shared" si="8"/>
        <v>12034726.049206031</v>
      </c>
      <c r="DW45" s="18">
        <f t="shared" si="9"/>
        <v>27733676.157209016</v>
      </c>
      <c r="DX45" s="18">
        <f t="shared" si="10"/>
        <v>8592261.3246829715</v>
      </c>
      <c r="DY45" s="18">
        <f t="shared" si="11"/>
        <v>3446276.6539951432</v>
      </c>
      <c r="EK45" s="1" t="s">
        <v>160</v>
      </c>
      <c r="EL45" s="1">
        <v>-0.22945271652746199</v>
      </c>
      <c r="EM45" s="1" t="s">
        <v>161</v>
      </c>
      <c r="EN45" s="1">
        <v>2.4463391003958801</v>
      </c>
      <c r="ER45" s="24">
        <f>'Monthly Data'!F45/'Monthly Data'!G45/'Monthly Data'!CD45</f>
        <v>30.589406584475537</v>
      </c>
      <c r="ES45" s="259">
        <f>'Monthly Data'!J45/'Monthly Data'!K45/'Monthly Data'!CD45</f>
        <v>97.951177951014841</v>
      </c>
      <c r="ET45" s="24">
        <f>'Monthly Data'!N45/'Monthly Data'!P45/'Monthly Data'!CD45</f>
        <v>1629.5544678282947</v>
      </c>
      <c r="EU45" s="24">
        <f>'Monthly Data'!Q45/'Monthly Data'!U45/'Monthly Data'!CD45</f>
        <v>19115.971514301076</v>
      </c>
      <c r="EV45" s="24">
        <f>'Monthly Data'!V45/'Monthly Data'!Z45/'Monthly Data'!CD45</f>
        <v>144028.51546084994</v>
      </c>
      <c r="EW45" s="24"/>
      <c r="FG45" s="24"/>
    </row>
    <row r="46" spans="1:163" x14ac:dyDescent="0.25">
      <c r="A46" s="3">
        <v>43344</v>
      </c>
      <c r="B46" s="1">
        <v>2018</v>
      </c>
      <c r="C46" s="1">
        <v>9</v>
      </c>
      <c r="D46" s="263">
        <v>18.045555555555556</v>
      </c>
      <c r="E46" s="263">
        <v>92.370833333333337</v>
      </c>
      <c r="F46" s="263">
        <v>33.737500000000011</v>
      </c>
      <c r="G46" s="263">
        <v>59.1875</v>
      </c>
      <c r="H46" s="263">
        <v>60.55416666666666</v>
      </c>
      <c r="I46" s="263">
        <v>33.279166666666669</v>
      </c>
      <c r="J46" s="263">
        <v>94.645833333333329</v>
      </c>
      <c r="K46" s="263">
        <v>13.695833333333338</v>
      </c>
      <c r="L46" s="263">
        <v>135.06250000000003</v>
      </c>
      <c r="M46" s="263">
        <v>2.1166666666666636</v>
      </c>
      <c r="N46" s="263">
        <v>183.48333333333329</v>
      </c>
      <c r="O46" s="263">
        <v>0</v>
      </c>
      <c r="P46" s="263">
        <v>241.36666666666665</v>
      </c>
      <c r="Q46" s="263">
        <v>0</v>
      </c>
      <c r="R46" s="263">
        <v>301.3666666666665</v>
      </c>
      <c r="DP46" s="18">
        <f>'Monthly Data'!F46</f>
        <v>45094790.035028785</v>
      </c>
      <c r="DQ46" s="18">
        <f>'Monthly Data'!J46</f>
        <v>11179301.159690389</v>
      </c>
      <c r="DR46" s="18">
        <f>'Monthly Data'!N46</f>
        <v>25218454.832945697</v>
      </c>
      <c r="DS46" s="4">
        <f>'Monthly Data'!S46</f>
        <v>7863635.481699842</v>
      </c>
      <c r="DT46" s="4">
        <f>'Monthly Data'!V46</f>
        <v>4269800.7918802854</v>
      </c>
      <c r="DU46" s="18">
        <f t="shared" si="7"/>
        <v>43238477.261475757</v>
      </c>
      <c r="DV46" s="18">
        <f t="shared" si="8"/>
        <v>10646130.972312057</v>
      </c>
      <c r="DW46" s="18">
        <f t="shared" si="9"/>
        <v>25691112.456606548</v>
      </c>
      <c r="DX46" s="18">
        <f>$EL$75+M46*$EL$76+L46*$EL$77</f>
        <v>7755035.0321787037</v>
      </c>
      <c r="DY46" s="18">
        <f t="shared" si="11"/>
        <v>3284063.1157383649</v>
      </c>
      <c r="ER46" s="24">
        <f>'Monthly Data'!F46/'Monthly Data'!G46/'Monthly Data'!CD46</f>
        <v>27.791514926586665</v>
      </c>
      <c r="ES46" s="259">
        <f>'Monthly Data'!J46/'Monthly Data'!K46/'Monthly Data'!CD46</f>
        <v>88.283196396512579</v>
      </c>
      <c r="ET46" s="24">
        <f>'Monthly Data'!N46/'Monthly Data'!P46/'Monthly Data'!CD46</f>
        <v>1715.5411450983468</v>
      </c>
      <c r="EU46" s="24">
        <f>'Monthly Data'!Q46/'Monthly Data'!U46/'Monthly Data'!CD46</f>
        <v>17969.282328330555</v>
      </c>
      <c r="EV46" s="24">
        <f>'Monthly Data'!V46/'Monthly Data'!Z46/'Monthly Data'!CD46</f>
        <v>142326.69306267618</v>
      </c>
      <c r="EW46" s="24"/>
      <c r="FG46" s="24"/>
    </row>
    <row r="47" spans="1:163" x14ac:dyDescent="0.25">
      <c r="A47" s="3">
        <v>43374</v>
      </c>
      <c r="B47" s="1">
        <v>2018</v>
      </c>
      <c r="C47" s="1">
        <v>10</v>
      </c>
      <c r="D47" s="263">
        <v>8.2325268817204318</v>
      </c>
      <c r="E47" s="263">
        <v>364.80833333333339</v>
      </c>
      <c r="F47" s="263">
        <v>1.6666666666665719E-2</v>
      </c>
      <c r="G47" s="263">
        <v>305.10000000000002</v>
      </c>
      <c r="H47" s="263">
        <v>2.30833333333333</v>
      </c>
      <c r="I47" s="263">
        <v>248.88749999999993</v>
      </c>
      <c r="J47" s="263">
        <v>8.0958333333333314</v>
      </c>
      <c r="K47" s="263">
        <v>194.17916666666662</v>
      </c>
      <c r="L47" s="263">
        <v>15.387500000000001</v>
      </c>
      <c r="M47" s="263">
        <v>142.14999999999998</v>
      </c>
      <c r="N47" s="263">
        <v>25.358333333333334</v>
      </c>
      <c r="O47" s="263">
        <v>96.316666666666663</v>
      </c>
      <c r="P47" s="263">
        <v>41.524999999999999</v>
      </c>
      <c r="Q47" s="263">
        <v>55.56666666666667</v>
      </c>
      <c r="R47" s="263">
        <v>62.774999999999991</v>
      </c>
      <c r="DP47" s="18">
        <f>'Monthly Data'!F47</f>
        <v>34872575.812981203</v>
      </c>
      <c r="DQ47" s="18">
        <f>'Monthly Data'!J47</f>
        <v>11018001.264524272</v>
      </c>
      <c r="DR47" s="18">
        <f>'Monthly Data'!N47</f>
        <v>25367309.651391424</v>
      </c>
      <c r="DS47" s="4">
        <f>'Monthly Data'!S47</f>
        <v>7239505.6133747967</v>
      </c>
      <c r="DT47" s="4">
        <f>'Monthly Data'!V47</f>
        <v>3882440.9348609606</v>
      </c>
      <c r="DU47" s="18">
        <f t="shared" si="7"/>
        <v>37692133.908729576</v>
      </c>
      <c r="DV47" s="18">
        <f t="shared" si="8"/>
        <v>10243791.393804584</v>
      </c>
      <c r="DW47" s="18">
        <f t="shared" si="9"/>
        <v>25151271.612222776</v>
      </c>
      <c r="DX47" s="18">
        <f t="shared" si="10"/>
        <v>6923817.5841850881</v>
      </c>
      <c r="DY47" s="18">
        <f t="shared" si="11"/>
        <v>3147895.0797711597</v>
      </c>
      <c r="EK47" s="1" t="s">
        <v>162</v>
      </c>
      <c r="ER47" s="24">
        <f>'Monthly Data'!F47/'Monthly Data'!G47/'Monthly Data'!CD47</f>
        <v>20.684032663162366</v>
      </c>
      <c r="ES47" s="259">
        <f>'Monthly Data'!J47/'Monthly Data'!K47/'Monthly Data'!CD47</f>
        <v>83.864888067441058</v>
      </c>
      <c r="ET47" s="24">
        <f>'Monthly Data'!N47/'Monthly Data'!P47/'Monthly Data'!CD47</f>
        <v>1719.118301124385</v>
      </c>
      <c r="EU47" s="24">
        <f>'Monthly Data'!Q47/'Monthly Data'!U47/'Monthly Data'!CD47</f>
        <v>15840.89236776936</v>
      </c>
      <c r="EV47" s="24">
        <f>'Monthly Data'!V47/'Monthly Data'!Z47/'Monthly Data'!CD47</f>
        <v>125240.03015680518</v>
      </c>
      <c r="EW47" s="24"/>
      <c r="FG47" s="24"/>
    </row>
    <row r="48" spans="1:163" x14ac:dyDescent="0.25">
      <c r="A48" s="3">
        <v>43405</v>
      </c>
      <c r="B48" s="1">
        <v>2018</v>
      </c>
      <c r="C48" s="1">
        <v>11</v>
      </c>
      <c r="D48" s="263">
        <v>1.2158333333333335</v>
      </c>
      <c r="E48" s="263">
        <v>563.52499999999998</v>
      </c>
      <c r="F48" s="263">
        <v>0</v>
      </c>
      <c r="G48" s="263">
        <v>503.52500000000003</v>
      </c>
      <c r="H48" s="263">
        <v>0</v>
      </c>
      <c r="I48" s="263">
        <v>443.52500000000003</v>
      </c>
      <c r="J48" s="263">
        <v>0</v>
      </c>
      <c r="K48" s="263">
        <v>383.52500000000003</v>
      </c>
      <c r="L48" s="263">
        <v>0</v>
      </c>
      <c r="M48" s="263">
        <v>323.52500000000003</v>
      </c>
      <c r="N48" s="263">
        <v>0</v>
      </c>
      <c r="O48" s="263">
        <v>263.86666666666662</v>
      </c>
      <c r="P48" s="263">
        <v>0.34166666666666856</v>
      </c>
      <c r="Q48" s="263">
        <v>206.24583333333334</v>
      </c>
      <c r="R48" s="263">
        <v>2.7208333333333368</v>
      </c>
      <c r="X48" s="269"/>
      <c r="DP48" s="18">
        <f>'Monthly Data'!F48</f>
        <v>39696145.233856961</v>
      </c>
      <c r="DQ48" s="18">
        <f>'Monthly Data'!J48</f>
        <v>11411106.129039779</v>
      </c>
      <c r="DR48" s="18">
        <f>'Monthly Data'!N48</f>
        <v>28453365.92921941</v>
      </c>
      <c r="DS48" s="4">
        <f>'Monthly Data'!S48</f>
        <v>6895809.8727658689</v>
      </c>
      <c r="DT48" s="4">
        <f>'Monthly Data'!V48</f>
        <v>3615531.6010835604</v>
      </c>
      <c r="DU48" s="18">
        <f t="shared" si="7"/>
        <v>41756293.514109284</v>
      </c>
      <c r="DV48" s="18">
        <f t="shared" si="8"/>
        <v>11125590.109539859</v>
      </c>
      <c r="DW48" s="18">
        <f t="shared" si="9"/>
        <v>28112779.607455518</v>
      </c>
      <c r="DX48" s="18">
        <f t="shared" si="10"/>
        <v>6845156.1811954752</v>
      </c>
      <c r="DY48" s="18">
        <f t="shared" si="11"/>
        <v>3165336.3830326665</v>
      </c>
      <c r="EK48" s="1" t="s">
        <v>163</v>
      </c>
      <c r="EL48" s="1">
        <v>10966879.3986954</v>
      </c>
      <c r="EM48" s="1" t="s">
        <v>164</v>
      </c>
      <c r="EN48" s="1">
        <v>1096872.0015773999</v>
      </c>
      <c r="ER48" s="24">
        <f>'Monthly Data'!F48/'Monthly Data'!G48/'Monthly Data'!CD48</f>
        <v>24.337934835354719</v>
      </c>
      <c r="ES48" s="259">
        <f>'Monthly Data'!J48/'Monthly Data'!K48/'Monthly Data'!CD48</f>
        <v>90.435141298460763</v>
      </c>
      <c r="ET48" s="24">
        <f>'Monthly Data'!N48/'Monthly Data'!P48/'Monthly Data'!CD48</f>
        <v>1816.9454616359776</v>
      </c>
      <c r="EU48" s="24">
        <f>'Monthly Data'!Q48/'Monthly Data'!U48/'Monthly Data'!CD48</f>
        <v>15487.623764331545</v>
      </c>
      <c r="EV48" s="24">
        <f>'Monthly Data'!V48/'Monthly Data'!Z48/'Monthly Data'!CD48</f>
        <v>120517.72003611868</v>
      </c>
      <c r="EW48" s="24"/>
      <c r="FG48" s="24"/>
    </row>
    <row r="49" spans="1:163" x14ac:dyDescent="0.25">
      <c r="A49" s="3">
        <v>43435</v>
      </c>
      <c r="B49" s="1">
        <v>2018</v>
      </c>
      <c r="C49" s="1">
        <v>12</v>
      </c>
      <c r="D49" s="263">
        <v>-0.86827956989247324</v>
      </c>
      <c r="E49" s="263">
        <v>646.91666666666663</v>
      </c>
      <c r="F49" s="263">
        <v>0</v>
      </c>
      <c r="G49" s="263">
        <v>584.91666666666663</v>
      </c>
      <c r="H49" s="263">
        <v>0</v>
      </c>
      <c r="I49" s="263">
        <v>522.91666666666663</v>
      </c>
      <c r="J49" s="263">
        <v>0</v>
      </c>
      <c r="K49" s="263">
        <v>460.91666666666657</v>
      </c>
      <c r="L49" s="263">
        <v>0</v>
      </c>
      <c r="M49" s="263">
        <v>398.91666666666657</v>
      </c>
      <c r="N49" s="263">
        <v>0</v>
      </c>
      <c r="O49" s="263">
        <v>336.91666666666657</v>
      </c>
      <c r="P49" s="263">
        <v>0</v>
      </c>
      <c r="Q49" s="263">
        <v>274.91666666666663</v>
      </c>
      <c r="R49" s="263">
        <v>0</v>
      </c>
      <c r="X49" s="269"/>
      <c r="DP49" s="18">
        <f>'Monthly Data'!F49</f>
        <v>43470353.451681152</v>
      </c>
      <c r="DQ49" s="18">
        <f>'Monthly Data'!J49</f>
        <v>11879583.682943571</v>
      </c>
      <c r="DR49" s="18">
        <f>'Monthly Data'!N49</f>
        <v>29806855.699458219</v>
      </c>
      <c r="DS49" s="4">
        <f>'Monthly Data'!S49</f>
        <v>6632585.3377094418</v>
      </c>
      <c r="DT49" s="4">
        <f>'Monthly Data'!V49</f>
        <v>3303674.8386122286</v>
      </c>
      <c r="DU49" s="18">
        <f t="shared" si="7"/>
        <v>44146345.700563431</v>
      </c>
      <c r="DV49" s="18">
        <f t="shared" si="8"/>
        <v>11569615.383986648</v>
      </c>
      <c r="DW49" s="18">
        <f t="shared" si="9"/>
        <v>29576663.906328976</v>
      </c>
      <c r="DX49" s="18">
        <f t="shared" si="10"/>
        <v>6858176.5042650132</v>
      </c>
      <c r="DY49" s="18">
        <f t="shared" si="11"/>
        <v>3181464.7915879693</v>
      </c>
      <c r="ER49" s="24">
        <f>'Monthly Data'!F49/'Monthly Data'!G49/'Monthly Data'!CD49</f>
        <v>25.882636239493205</v>
      </c>
      <c r="ES49" s="259">
        <f>'Monthly Data'!J49/'Monthly Data'!K49/'Monthly Data'!CD49</f>
        <v>91.024317546115796</v>
      </c>
      <c r="ET49" s="24">
        <f>'Monthly Data'!N49/'Monthly Data'!P49/'Monthly Data'!CD49</f>
        <v>1834.9455614047167</v>
      </c>
      <c r="EU49" s="24">
        <f>'Monthly Data'!Q49/'Monthly Data'!U49/'Monthly Data'!CD49</f>
        <v>14334.834038511302</v>
      </c>
      <c r="EV49" s="24">
        <f>'Monthly Data'!V49/'Monthly Data'!Z49/'Monthly Data'!CD49</f>
        <v>106570.15608426544</v>
      </c>
      <c r="EW49" s="24"/>
      <c r="FG49" s="24"/>
    </row>
    <row r="50" spans="1:163" x14ac:dyDescent="0.25">
      <c r="A50" s="3">
        <v>43466</v>
      </c>
      <c r="B50" s="1">
        <v>2019</v>
      </c>
      <c r="C50" s="1">
        <v>1</v>
      </c>
      <c r="D50" s="263">
        <v>-7.1591397849462366</v>
      </c>
      <c r="E50" s="263">
        <v>841.93333333333351</v>
      </c>
      <c r="F50" s="263">
        <v>0</v>
      </c>
      <c r="G50" s="263">
        <v>779.93333333333351</v>
      </c>
      <c r="H50" s="263">
        <v>0</v>
      </c>
      <c r="I50" s="263">
        <v>717.93333333333339</v>
      </c>
      <c r="J50" s="263">
        <v>0</v>
      </c>
      <c r="K50" s="263">
        <v>655.93333333333339</v>
      </c>
      <c r="L50" s="263">
        <v>0</v>
      </c>
      <c r="M50" s="263">
        <v>593.93333333333339</v>
      </c>
      <c r="N50" s="263">
        <v>0</v>
      </c>
      <c r="O50" s="263">
        <v>531.93333333333328</v>
      </c>
      <c r="P50" s="263">
        <v>0</v>
      </c>
      <c r="Q50" s="263">
        <v>469.93333333333328</v>
      </c>
      <c r="R50" s="263">
        <v>0</v>
      </c>
      <c r="X50" s="269"/>
      <c r="CO50" s="414"/>
      <c r="CP50" s="414"/>
      <c r="CY50" s="414"/>
      <c r="CZ50" s="414"/>
      <c r="DP50" s="18">
        <f>'Monthly Data'!F50</f>
        <v>49786545.597074255</v>
      </c>
      <c r="DQ50" s="18">
        <f>'Monthly Data'!J50</f>
        <v>12427019.357755447</v>
      </c>
      <c r="DR50" s="18">
        <f>'Monthly Data'!N50</f>
        <v>34592789.583499245</v>
      </c>
      <c r="DS50" s="4">
        <f>'Monthly Data'!S50</f>
        <v>7362866.2549784202</v>
      </c>
      <c r="DT50" s="4">
        <f>'Monthly Data'!V50</f>
        <v>3372037.1290001231</v>
      </c>
      <c r="DU50" s="18">
        <f t="shared" si="7"/>
        <v>50168958.090721741</v>
      </c>
      <c r="DV50" s="18">
        <f t="shared" si="8"/>
        <v>12660313.344793174</v>
      </c>
      <c r="DW50" s="18">
        <f t="shared" si="9"/>
        <v>33484697.2581698</v>
      </c>
      <c r="DX50" s="18">
        <f t="shared" si="10"/>
        <v>6891856.3539912561</v>
      </c>
      <c r="DY50" s="18">
        <f t="shared" si="11"/>
        <v>3223184.3690181891</v>
      </c>
      <c r="ER50" s="24">
        <f>'Monthly Data'!F50/'Monthly Data'!G50/'Monthly Data'!CD50</f>
        <v>29.619298438007103</v>
      </c>
      <c r="ES50" s="259">
        <f>'Monthly Data'!J50/'Monthly Data'!K50/'Monthly Data'!CD50</f>
        <v>95.083394730943922</v>
      </c>
      <c r="ET50" s="24">
        <f>'Monthly Data'!N50/'Monthly Data'!P50/'Monthly Data'!CD50</f>
        <v>2145.9546888026825</v>
      </c>
      <c r="EU50" s="24">
        <f>'Monthly Data'!Q50/'Monthly Data'!U50/'Monthly Data'!CD50</f>
        <v>14993.72677444596</v>
      </c>
      <c r="EV50" s="24">
        <f>'Monthly Data'!V50/'Monthly Data'!Z50/'Monthly Data'!CD50</f>
        <v>108775.39125806848</v>
      </c>
      <c r="EW50" s="24"/>
      <c r="FG50" s="24"/>
    </row>
    <row r="51" spans="1:163" x14ac:dyDescent="0.25">
      <c r="A51" s="3">
        <v>43497</v>
      </c>
      <c r="B51" s="1">
        <v>2019</v>
      </c>
      <c r="C51" s="1">
        <v>2</v>
      </c>
      <c r="D51" s="263">
        <v>-4.8322916666666682</v>
      </c>
      <c r="E51" s="263">
        <v>695.30416666666645</v>
      </c>
      <c r="F51" s="263">
        <v>0</v>
      </c>
      <c r="G51" s="263">
        <v>639.30416666666645</v>
      </c>
      <c r="H51" s="263">
        <v>0</v>
      </c>
      <c r="I51" s="263">
        <v>583.30416666666656</v>
      </c>
      <c r="J51" s="263">
        <v>0</v>
      </c>
      <c r="K51" s="263">
        <v>527.30416666666656</v>
      </c>
      <c r="L51" s="263">
        <v>0</v>
      </c>
      <c r="M51" s="263">
        <v>471.30416666666662</v>
      </c>
      <c r="N51" s="263">
        <v>0</v>
      </c>
      <c r="O51" s="263">
        <v>415.30416666666656</v>
      </c>
      <c r="P51" s="263">
        <v>0</v>
      </c>
      <c r="Q51" s="263">
        <v>359.30416666666662</v>
      </c>
      <c r="R51" s="263">
        <v>0</v>
      </c>
      <c r="X51" s="269"/>
      <c r="CN51" s="414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O51" s="24"/>
      <c r="DP51" s="18">
        <f>'Monthly Data'!F51</f>
        <v>46962938.100034416</v>
      </c>
      <c r="DQ51" s="18">
        <f>'Monthly Data'!J51</f>
        <v>10817934.01399897</v>
      </c>
      <c r="DR51" s="18">
        <f>'Monthly Data'!N51</f>
        <v>30102232.581914391</v>
      </c>
      <c r="DS51" s="4">
        <f>'Monthly Data'!S51</f>
        <v>6700295.0580196613</v>
      </c>
      <c r="DT51" s="4">
        <f>'Monthly Data'!V51</f>
        <v>2864073.6348337554</v>
      </c>
      <c r="DU51" s="18">
        <f t="shared" si="7"/>
        <v>46196561.135406442</v>
      </c>
      <c r="DV51" s="18">
        <f t="shared" si="8"/>
        <v>11907353.302668149</v>
      </c>
      <c r="DW51" s="18">
        <f t="shared" si="9"/>
        <v>31147508.950517111</v>
      </c>
      <c r="DX51" s="18">
        <f t="shared" si="10"/>
        <v>6870678.0004895665</v>
      </c>
      <c r="DY51" s="18">
        <f t="shared" si="11"/>
        <v>3196950.5239761244</v>
      </c>
      <c r="EK51" s="1" t="s">
        <v>178</v>
      </c>
      <c r="ER51" s="24">
        <f>'Monthly Data'!F51/'Monthly Data'!G51/'Monthly Data'!CD51</f>
        <v>30.917579850079143</v>
      </c>
      <c r="ES51" s="259">
        <f>'Monthly Data'!J51/'Monthly Data'!K51/'Monthly Data'!CD51</f>
        <v>91.792536520372764</v>
      </c>
      <c r="ET51" s="24">
        <f>'Monthly Data'!N51/'Monthly Data'!P51/'Monthly Data'!CD51</f>
        <v>2059.5397223532013</v>
      </c>
      <c r="EU51" s="24">
        <f>'Monthly Data'!Q51/'Monthly Data'!U51/'Monthly Data'!CD51</f>
        <v>14909.964854976499</v>
      </c>
      <c r="EV51" s="24">
        <f>'Monthly Data'!V51/'Monthly Data'!Z51/'Monthly Data'!CD51</f>
        <v>102288.34410120556</v>
      </c>
      <c r="EW51" s="24"/>
      <c r="FG51" s="24"/>
    </row>
    <row r="52" spans="1:163" x14ac:dyDescent="0.25">
      <c r="A52" s="3">
        <v>43525</v>
      </c>
      <c r="B52" s="1">
        <v>2019</v>
      </c>
      <c r="C52" s="1">
        <v>3</v>
      </c>
      <c r="D52" s="263">
        <v>-1.7244623655913986</v>
      </c>
      <c r="E52" s="263">
        <v>673.45833333333326</v>
      </c>
      <c r="F52" s="263">
        <v>0</v>
      </c>
      <c r="G52" s="263">
        <v>611.45833333333337</v>
      </c>
      <c r="H52" s="263">
        <v>0</v>
      </c>
      <c r="I52" s="263">
        <v>549.45833333333326</v>
      </c>
      <c r="J52" s="263">
        <v>0</v>
      </c>
      <c r="K52" s="263">
        <v>487.45833333333331</v>
      </c>
      <c r="L52" s="263">
        <v>0</v>
      </c>
      <c r="M52" s="263">
        <v>425.45833333333326</v>
      </c>
      <c r="N52" s="263">
        <v>0</v>
      </c>
      <c r="O52" s="263">
        <v>363.45833333333326</v>
      </c>
      <c r="P52" s="263">
        <v>0</v>
      </c>
      <c r="Q52" s="263">
        <v>301.45833333333326</v>
      </c>
      <c r="R52" s="263">
        <v>0</v>
      </c>
      <c r="X52" s="269"/>
      <c r="CN52" s="414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P52" s="18">
        <f>'Monthly Data'!F52</f>
        <v>40529259.756652385</v>
      </c>
      <c r="DQ52" s="18">
        <f>'Monthly Data'!J52</f>
        <v>11178126.224762458</v>
      </c>
      <c r="DR52" s="18">
        <f>'Monthly Data'!N52</f>
        <v>30690466.510151513</v>
      </c>
      <c r="DS52" s="4">
        <f>'Monthly Data'!S52</f>
        <v>7200226.2824770492</v>
      </c>
      <c r="DT52" s="4">
        <f>'Monthly Data'!V52</f>
        <v>3271187.2445928664</v>
      </c>
      <c r="DU52" s="18">
        <f t="shared" si="7"/>
        <v>44966020.107137844</v>
      </c>
      <c r="DV52" s="18">
        <f t="shared" si="8"/>
        <v>11718058.807846522</v>
      </c>
      <c r="DW52" s="18">
        <f t="shared" si="9"/>
        <v>30108545.208166979</v>
      </c>
      <c r="DX52" s="18">
        <f t="shared" si="10"/>
        <v>6862760.314254676</v>
      </c>
      <c r="DY52" s="18">
        <f t="shared" si="11"/>
        <v>3187142.8043268486</v>
      </c>
      <c r="EK52" s="1" t="s">
        <v>179</v>
      </c>
      <c r="ER52" s="24">
        <f>'Monthly Data'!F52/'Monthly Data'!G52/'Monthly Data'!CD52</f>
        <v>24.056885070125578</v>
      </c>
      <c r="ES52" s="259">
        <f>'Monthly Data'!J52/'Monthly Data'!K52/'Monthly Data'!CD52</f>
        <v>85.81264086811548</v>
      </c>
      <c r="ET52" s="24">
        <f>'Monthly Data'!N52/'Monthly Data'!P52/'Monthly Data'!CD52</f>
        <v>1900.2208228686466</v>
      </c>
      <c r="EU52" s="24">
        <f>'Monthly Data'!Q52/'Monthly Data'!U52/'Monthly Data'!CD52</f>
        <v>14618.980294028055</v>
      </c>
      <c r="EV52" s="24">
        <f>'Monthly Data'!V52/'Monthly Data'!Z52/'Monthly Data'!CD52</f>
        <v>105522.16918041505</v>
      </c>
      <c r="EW52" s="24"/>
      <c r="FG52" s="24"/>
    </row>
    <row r="53" spans="1:163" x14ac:dyDescent="0.25">
      <c r="A53" s="3">
        <v>43556</v>
      </c>
      <c r="B53" s="1">
        <v>2019</v>
      </c>
      <c r="C53" s="1">
        <v>4</v>
      </c>
      <c r="D53" s="263">
        <v>5.778194444444444</v>
      </c>
      <c r="E53" s="263">
        <v>426.6541666666667</v>
      </c>
      <c r="F53" s="263">
        <v>0</v>
      </c>
      <c r="G53" s="263">
        <v>366.65416666666664</v>
      </c>
      <c r="H53" s="263">
        <v>0</v>
      </c>
      <c r="I53" s="263">
        <v>306.65416666666664</v>
      </c>
      <c r="J53" s="263">
        <v>0</v>
      </c>
      <c r="K53" s="263">
        <v>246.6541666666667</v>
      </c>
      <c r="L53" s="263">
        <v>0</v>
      </c>
      <c r="M53" s="263">
        <v>187.50000000000003</v>
      </c>
      <c r="N53" s="263">
        <v>0.84583333333333144</v>
      </c>
      <c r="O53" s="263">
        <v>129.53333333333336</v>
      </c>
      <c r="P53" s="263">
        <v>2.8791666666666664</v>
      </c>
      <c r="Q53" s="263">
        <v>81.245833333333351</v>
      </c>
      <c r="R53" s="263">
        <v>14.591666666666663</v>
      </c>
      <c r="DP53" s="18">
        <f>'Monthly Data'!F53</f>
        <v>38390411.159753427</v>
      </c>
      <c r="DQ53" s="18">
        <f>'Monthly Data'!J53</f>
        <v>9605223.0161340497</v>
      </c>
      <c r="DR53" s="18">
        <f>'Monthly Data'!N53</f>
        <v>25578026.449102744</v>
      </c>
      <c r="DS53" s="4">
        <f>'Monthly Data'!S53</f>
        <v>6757129.4428079324</v>
      </c>
      <c r="DT53" s="4">
        <f>'Monthly Data'!V53</f>
        <v>3115930.8448223723</v>
      </c>
      <c r="DU53" s="18">
        <f t="shared" si="7"/>
        <v>37588856.026344009</v>
      </c>
      <c r="DV53" s="18">
        <f t="shared" si="8"/>
        <v>10360092.773531536</v>
      </c>
      <c r="DW53" s="18">
        <f t="shared" si="9"/>
        <v>25434021.19933876</v>
      </c>
      <c r="DX53" s="18">
        <f t="shared" si="10"/>
        <v>6821664.3348968057</v>
      </c>
      <c r="DY53" s="18">
        <f t="shared" si="11"/>
        <v>3136236.790587855</v>
      </c>
      <c r="EK53" s="1" t="s">
        <v>180</v>
      </c>
      <c r="ER53" s="24">
        <f>'Monthly Data'!F53/'Monthly Data'!G53/'Monthly Data'!CD53</f>
        <v>23.486838065371771</v>
      </c>
      <c r="ES53" s="259">
        <f>'Monthly Data'!J53/'Monthly Data'!K53/'Monthly Data'!CD53</f>
        <v>76.195645058972318</v>
      </c>
      <c r="ET53" s="24">
        <f>'Monthly Data'!N53/'Monthly Data'!P53/'Monthly Data'!CD53</f>
        <v>1633.3350222926399</v>
      </c>
      <c r="EU53" s="24">
        <f>'Monthly Data'!Q53/'Monthly Data'!U53/'Monthly Data'!CD53</f>
        <v>14051.287161759663</v>
      </c>
      <c r="EV53" s="24">
        <f>'Monthly Data'!V53/'Monthly Data'!Z53/'Monthly Data'!CD53</f>
        <v>103864.36149407907</v>
      </c>
      <c r="EW53" s="24"/>
      <c r="FG53" s="24"/>
    </row>
    <row r="54" spans="1:163" x14ac:dyDescent="0.25">
      <c r="A54" s="3">
        <v>43586</v>
      </c>
      <c r="B54" s="1">
        <v>2019</v>
      </c>
      <c r="C54" s="1">
        <v>5</v>
      </c>
      <c r="D54" s="263">
        <v>11.369850028296549</v>
      </c>
      <c r="E54" s="263">
        <v>267.53464912280702</v>
      </c>
      <c r="F54" s="263">
        <v>0</v>
      </c>
      <c r="G54" s="263">
        <v>205.53464912280697</v>
      </c>
      <c r="H54" s="263">
        <v>0</v>
      </c>
      <c r="I54" s="263">
        <v>145.93881578947367</v>
      </c>
      <c r="J54" s="263">
        <v>2.4041666666666686</v>
      </c>
      <c r="K54" s="263">
        <v>92.742982456140368</v>
      </c>
      <c r="L54" s="263">
        <v>11.208333333333332</v>
      </c>
      <c r="M54" s="263">
        <v>47.113815789473684</v>
      </c>
      <c r="N54" s="263">
        <v>27.579166666666666</v>
      </c>
      <c r="O54" s="263">
        <v>21.337500000000002</v>
      </c>
      <c r="P54" s="263">
        <v>63.802850877192981</v>
      </c>
      <c r="Q54" s="263">
        <v>5.4041666666666659</v>
      </c>
      <c r="R54" s="263">
        <v>109.86951754385964</v>
      </c>
      <c r="DP54" s="18">
        <f>'Monthly Data'!F54</f>
        <v>34434462.367302448</v>
      </c>
      <c r="DQ54" s="18">
        <f>'Monthly Data'!J54</f>
        <v>9221277.1523471624</v>
      </c>
      <c r="DR54" s="18">
        <f>'Monthly Data'!N54</f>
        <v>24776294.111912861</v>
      </c>
      <c r="DS54" s="4">
        <f>'Monthly Data'!S54</f>
        <v>7190309.3222989608</v>
      </c>
      <c r="DT54" s="4">
        <f>'Monthly Data'!V54</f>
        <v>3162233.4763844404</v>
      </c>
      <c r="DU54" s="18">
        <f t="shared" si="7"/>
        <v>34715705.599216796</v>
      </c>
      <c r="DV54" s="18">
        <f t="shared" si="8"/>
        <v>9611855.3531620856</v>
      </c>
      <c r="DW54" s="18">
        <f t="shared" si="9"/>
        <v>23683418.133449394</v>
      </c>
      <c r="DX54" s="18">
        <f t="shared" si="10"/>
        <v>6877533.1568132527</v>
      </c>
      <c r="DY54" s="18">
        <f t="shared" si="11"/>
        <v>3121762.903733769</v>
      </c>
      <c r="ER54" s="24">
        <f>'Monthly Data'!F54/'Monthly Data'!G54/'Monthly Data'!CD54</f>
        <v>20.31844571187802</v>
      </c>
      <c r="ES54" s="259">
        <f>'Monthly Data'!J54/'Monthly Data'!K54/'Monthly Data'!CD54</f>
        <v>70.891456935538926</v>
      </c>
      <c r="ET54" s="24">
        <f>'Monthly Data'!N54/'Monthly Data'!P54/'Monthly Data'!CD54</f>
        <v>1525.2581945280019</v>
      </c>
      <c r="EU54" s="24">
        <f>'Monthly Data'!Q54/'Monthly Data'!U54/'Monthly Data'!CD54</f>
        <v>14596.130155368865</v>
      </c>
      <c r="EV54" s="24">
        <f>'Monthly Data'!V54/'Monthly Data'!Z54/'Monthly Data'!CD54</f>
        <v>102007.53149627228</v>
      </c>
      <c r="EW54" s="24"/>
      <c r="FG54" s="24"/>
    </row>
    <row r="55" spans="1:163" x14ac:dyDescent="0.25">
      <c r="A55" s="3">
        <v>43617</v>
      </c>
      <c r="B55" s="1">
        <v>2019</v>
      </c>
      <c r="C55" s="1">
        <v>6</v>
      </c>
      <c r="D55" s="263">
        <v>17.658055555555553</v>
      </c>
      <c r="E55" s="263">
        <v>80.695833333333368</v>
      </c>
      <c r="F55" s="263">
        <v>10.4375</v>
      </c>
      <c r="G55" s="263">
        <v>46.120833333333351</v>
      </c>
      <c r="H55" s="263">
        <v>35.862499999999976</v>
      </c>
      <c r="I55" s="263">
        <v>21.925000000000018</v>
      </c>
      <c r="J55" s="263">
        <v>71.666666666666629</v>
      </c>
      <c r="K55" s="263">
        <v>9.0750000000000011</v>
      </c>
      <c r="L55" s="263">
        <v>118.81666666666663</v>
      </c>
      <c r="M55" s="263">
        <v>3.9291666666666671</v>
      </c>
      <c r="N55" s="263">
        <v>173.67083333333326</v>
      </c>
      <c r="O55" s="263">
        <v>0.97916666666666963</v>
      </c>
      <c r="P55" s="263">
        <v>230.72083333333327</v>
      </c>
      <c r="Q55" s="263">
        <v>0</v>
      </c>
      <c r="R55" s="263">
        <v>289.74166666666656</v>
      </c>
      <c r="DP55" s="18">
        <f>'Monthly Data'!F55</f>
        <v>36650162.657272302</v>
      </c>
      <c r="DQ55" s="18">
        <f>'Monthly Data'!J55</f>
        <v>9417230.9671708588</v>
      </c>
      <c r="DR55" s="18">
        <f>'Monthly Data'!N55</f>
        <v>24832534.618167989</v>
      </c>
      <c r="DS55" s="4">
        <f>'Monthly Data'!S55</f>
        <v>7204081.3004395068</v>
      </c>
      <c r="DT55" s="4">
        <f>'Monthly Data'!V55</f>
        <v>3172473.3758691298</v>
      </c>
      <c r="DU55" s="18">
        <f t="shared" si="7"/>
        <v>42405710.773998953</v>
      </c>
      <c r="DV55" s="18">
        <f t="shared" si="8"/>
        <v>10364315.89354516</v>
      </c>
      <c r="DW55" s="18">
        <f t="shared" si="9"/>
        <v>25557459.190291613</v>
      </c>
      <c r="DX55" s="18">
        <f t="shared" si="10"/>
        <v>7639227.6383217201</v>
      </c>
      <c r="DY55" s="18">
        <f t="shared" si="11"/>
        <v>3261899.4416241786</v>
      </c>
      <c r="EL55" s="1" t="s">
        <v>148</v>
      </c>
      <c r="EM55" s="1" t="s">
        <v>149</v>
      </c>
      <c r="EN55" s="1" t="s">
        <v>150</v>
      </c>
      <c r="EO55" s="1" t="s">
        <v>151</v>
      </c>
      <c r="ER55" s="24">
        <f>'Monthly Data'!F55/'Monthly Data'!G55/'Monthly Data'!CD55</f>
        <v>22.373717352082181</v>
      </c>
      <c r="ES55" s="259">
        <f>'Monthly Data'!J55/'Monthly Data'!K55/'Monthly Data'!CD55</f>
        <v>74.846852385716574</v>
      </c>
      <c r="ET55" s="24">
        <f>'Monthly Data'!N55/'Monthly Data'!P55/'Monthly Data'!CD55</f>
        <v>1579.6777746926202</v>
      </c>
      <c r="EU55" s="24">
        <f>'Monthly Data'!Q55/'Monthly Data'!U55/'Monthly Data'!CD55</f>
        <v>15115.45825135865</v>
      </c>
      <c r="EV55" s="24">
        <f>'Monthly Data'!V55/'Monthly Data'!Z55/'Monthly Data'!CD55</f>
        <v>105749.11252897099</v>
      </c>
      <c r="EW55" s="24"/>
      <c r="FG55" s="24"/>
    </row>
    <row r="56" spans="1:163" x14ac:dyDescent="0.25">
      <c r="A56" s="3">
        <v>43647</v>
      </c>
      <c r="B56" s="1">
        <v>2019</v>
      </c>
      <c r="C56" s="1">
        <v>7</v>
      </c>
      <c r="D56" s="263">
        <v>22.374193548387098</v>
      </c>
      <c r="E56" s="263">
        <v>0.97500000000000497</v>
      </c>
      <c r="F56" s="263">
        <v>74.574999999999989</v>
      </c>
      <c r="G56" s="263">
        <v>0</v>
      </c>
      <c r="H56" s="263">
        <v>135.6</v>
      </c>
      <c r="I56" s="263">
        <v>0</v>
      </c>
      <c r="J56" s="263">
        <v>197.60000000000005</v>
      </c>
      <c r="K56" s="263">
        <v>0</v>
      </c>
      <c r="L56" s="263">
        <v>259.60000000000008</v>
      </c>
      <c r="M56" s="263">
        <v>0</v>
      </c>
      <c r="N56" s="263">
        <v>321.60000000000002</v>
      </c>
      <c r="O56" s="263">
        <v>0</v>
      </c>
      <c r="P56" s="263">
        <v>383.6</v>
      </c>
      <c r="Q56" s="263">
        <v>0</v>
      </c>
      <c r="R56" s="263">
        <v>445.60000000000008</v>
      </c>
      <c r="DP56" s="18">
        <f>'Monthly Data'!F56</f>
        <v>51398792.330054857</v>
      </c>
      <c r="DQ56" s="18">
        <f>'Monthly Data'!J56</f>
        <v>11222943.646553386</v>
      </c>
      <c r="DR56" s="18">
        <f>'Monthly Data'!N56</f>
        <v>29793419.238445286</v>
      </c>
      <c r="DS56" s="4">
        <f>'Monthly Data'!S56</f>
        <v>8750214.2978592087</v>
      </c>
      <c r="DT56" s="4">
        <f>'Monthly Data'!V56</f>
        <v>3467321.3949721884</v>
      </c>
      <c r="DU56" s="18">
        <f t="shared" si="7"/>
        <v>52528559.680084363</v>
      </c>
      <c r="DV56" s="18">
        <f t="shared" si="8"/>
        <v>12133552.009847555</v>
      </c>
      <c r="DW56" s="18">
        <f t="shared" si="9"/>
        <v>27848551.246638432</v>
      </c>
      <c r="DX56" s="18">
        <f t="shared" si="10"/>
        <v>8644826.7352969944</v>
      </c>
      <c r="DY56" s="18">
        <f t="shared" si="11"/>
        <v>3456485.2343250872</v>
      </c>
      <c r="EK56" s="1" t="s">
        <v>152</v>
      </c>
      <c r="EL56" s="1">
        <v>22825027.78912</v>
      </c>
      <c r="EM56" s="1">
        <v>584659.46944275498</v>
      </c>
      <c r="EN56" s="1">
        <v>39.039866763596201</v>
      </c>
      <c r="EO56" s="274">
        <v>1.4465588000437201E-68</v>
      </c>
      <c r="ER56" s="24">
        <f>'Monthly Data'!F56/'Monthly Data'!G56/'Monthly Data'!CD56</f>
        <v>30.300728431331486</v>
      </c>
      <c r="ES56" s="259">
        <f>'Monthly Data'!J56/'Monthly Data'!K56/'Monthly Data'!CD56</f>
        <v>86.444708741976982</v>
      </c>
      <c r="ET56" s="24">
        <f>'Monthly Data'!N56/'Monthly Data'!P56/'Monthly Data'!CD56</f>
        <v>1830.6248379997105</v>
      </c>
      <c r="EU56" s="24">
        <f>'Monthly Data'!Q56/'Monthly Data'!U56/'Monthly Data'!CD56</f>
        <v>18190.381251129806</v>
      </c>
      <c r="EV56" s="24">
        <f>'Monthly Data'!V56/'Monthly Data'!Z56/'Monthly Data'!CD56</f>
        <v>111849.07725716737</v>
      </c>
      <c r="EW56" s="24"/>
      <c r="FG56" s="24"/>
    </row>
    <row r="57" spans="1:163" x14ac:dyDescent="0.25">
      <c r="A57" s="3">
        <v>43678</v>
      </c>
      <c r="B57" s="1">
        <v>2019</v>
      </c>
      <c r="C57" s="1">
        <v>8</v>
      </c>
      <c r="D57" s="263">
        <v>20.13131720430108</v>
      </c>
      <c r="E57" s="263">
        <v>19.091666666666661</v>
      </c>
      <c r="F57" s="263">
        <v>23.162500000000009</v>
      </c>
      <c r="G57" s="263">
        <v>4.645833333333325</v>
      </c>
      <c r="H57" s="263">
        <v>70.716666666666669</v>
      </c>
      <c r="I57" s="263">
        <v>0</v>
      </c>
      <c r="J57" s="263">
        <v>128.07083333333338</v>
      </c>
      <c r="K57" s="263">
        <v>0</v>
      </c>
      <c r="L57" s="263">
        <v>190.07083333333335</v>
      </c>
      <c r="M57" s="263">
        <v>0</v>
      </c>
      <c r="N57" s="263">
        <v>252.07083333333335</v>
      </c>
      <c r="O57" s="263">
        <v>0</v>
      </c>
      <c r="P57" s="263">
        <v>314.07083333333338</v>
      </c>
      <c r="Q57" s="263">
        <v>0</v>
      </c>
      <c r="R57" s="263">
        <v>376.07083333333338</v>
      </c>
      <c r="DP57" s="18">
        <f>'Monthly Data'!F57</f>
        <v>50405166.652542427</v>
      </c>
      <c r="DQ57" s="18">
        <f>'Monthly Data'!J57</f>
        <v>10444170.994703799</v>
      </c>
      <c r="DR57" s="18">
        <f>'Monthly Data'!N57</f>
        <v>26285773.15454014</v>
      </c>
      <c r="DS57" s="4">
        <f>'Monthly Data'!S57</f>
        <v>8314591.1828323836</v>
      </c>
      <c r="DT57" s="4">
        <f>'Monthly Data'!V57</f>
        <v>3551002.3047195231</v>
      </c>
      <c r="DU57" s="18">
        <f t="shared" si="7"/>
        <v>47638926.006294541</v>
      </c>
      <c r="DV57" s="18">
        <f t="shared" si="8"/>
        <v>11199212.743431062</v>
      </c>
      <c r="DW57" s="18">
        <f t="shared" si="9"/>
        <v>26762477.242497548</v>
      </c>
      <c r="DX57" s="18">
        <f t="shared" si="10"/>
        <v>8147852.7937014084</v>
      </c>
      <c r="DY57" s="18">
        <f t="shared" si="11"/>
        <v>3359969.3249960369</v>
      </c>
      <c r="EK57" s="1" t="s">
        <v>61</v>
      </c>
      <c r="EL57" s="1">
        <v>20039.483899705101</v>
      </c>
      <c r="EM57" s="1">
        <v>2003.31564989821</v>
      </c>
      <c r="EN57" s="1">
        <v>10.0031584641808</v>
      </c>
      <c r="EO57" s="274">
        <v>2.3154694303088599E-17</v>
      </c>
      <c r="ER57" s="24">
        <f>'Monthly Data'!F57/'Monthly Data'!G57/'Monthly Data'!CD57</f>
        <v>29.639131552232985</v>
      </c>
      <c r="ES57" s="259">
        <f>'Monthly Data'!J57/'Monthly Data'!K57/'Monthly Data'!CD57</f>
        <v>80.465426741017112</v>
      </c>
      <c r="ET57" s="24">
        <f>'Monthly Data'!N57/'Monthly Data'!P57/'Monthly Data'!CD57</f>
        <v>1612.0307343640463</v>
      </c>
      <c r="EU57" s="24">
        <f>'Monthly Data'!Q57/'Monthly Data'!U57/'Monthly Data'!CD57</f>
        <v>17186.641354754633</v>
      </c>
      <c r="EV57" s="24">
        <f>'Monthly Data'!V57/'Monthly Data'!Z57/'Monthly Data'!CD57</f>
        <v>114548.46144256525</v>
      </c>
      <c r="EW57" s="24"/>
      <c r="FG57" s="24"/>
    </row>
    <row r="58" spans="1:163" x14ac:dyDescent="0.25">
      <c r="A58" s="3">
        <v>43709</v>
      </c>
      <c r="B58" s="1">
        <v>2019</v>
      </c>
      <c r="C58" s="1">
        <v>9</v>
      </c>
      <c r="D58" s="263">
        <v>16.383888888888887</v>
      </c>
      <c r="E58" s="263">
        <v>113.56666666666666</v>
      </c>
      <c r="F58" s="263">
        <v>5.0833333333333286</v>
      </c>
      <c r="G58" s="263">
        <v>62.054166666666653</v>
      </c>
      <c r="H58" s="263">
        <v>13.570833333333326</v>
      </c>
      <c r="I58" s="263">
        <v>21.004166666666656</v>
      </c>
      <c r="J58" s="263">
        <v>32.520833333333329</v>
      </c>
      <c r="K58" s="263">
        <v>4.9833333333333325</v>
      </c>
      <c r="L58" s="263">
        <v>76.5</v>
      </c>
      <c r="M58" s="263">
        <v>0.4208333333333325</v>
      </c>
      <c r="N58" s="263">
        <v>131.93750000000003</v>
      </c>
      <c r="O58" s="263">
        <v>0</v>
      </c>
      <c r="P58" s="263">
        <v>191.51666666666671</v>
      </c>
      <c r="Q58" s="263">
        <v>0</v>
      </c>
      <c r="R58" s="263">
        <v>251.51666666666671</v>
      </c>
      <c r="DP58" s="18">
        <f>'Monthly Data'!F58</f>
        <v>40715477.639350682</v>
      </c>
      <c r="DQ58" s="18">
        <f>'Monthly Data'!J58</f>
        <v>9115439.8190174215</v>
      </c>
      <c r="DR58" s="18">
        <f>'Monthly Data'!N58</f>
        <v>24447792.044599112</v>
      </c>
      <c r="DS58" s="4">
        <f>'Monthly Data'!S58</f>
        <v>7364154.3036004463</v>
      </c>
      <c r="DT58" s="4">
        <f>'Monthly Data'!V58</f>
        <v>3301878.995178178</v>
      </c>
      <c r="DU58" s="18">
        <f t="shared" si="7"/>
        <v>39344455.982231297</v>
      </c>
      <c r="DV58" s="18">
        <f t="shared" si="8"/>
        <v>9790510.5995545015</v>
      </c>
      <c r="DW58" s="18">
        <f t="shared" si="9"/>
        <v>24885945.470016573</v>
      </c>
      <c r="DX58" s="18">
        <f t="shared" si="10"/>
        <v>7336154.7094021998</v>
      </c>
      <c r="DY58" s="18">
        <f t="shared" si="11"/>
        <v>3202407.6397968694</v>
      </c>
      <c r="EK58" s="1" t="s">
        <v>60</v>
      </c>
      <c r="EL58" s="1">
        <v>15620.4087609404</v>
      </c>
      <c r="EM58" s="1">
        <v>3089.5684375492701</v>
      </c>
      <c r="EN58" s="1">
        <v>5.0558545883291401</v>
      </c>
      <c r="EO58" s="274">
        <v>1.6173690417165399E-6</v>
      </c>
      <c r="ER58" s="24">
        <f>'Monthly Data'!F58/'Monthly Data'!G58/'Monthly Data'!CD58</f>
        <v>24.805033226931975</v>
      </c>
      <c r="ES58" s="259">
        <f>'Monthly Data'!J58/'Monthly Data'!K58/'Monthly Data'!CD58</f>
        <v>72.586716189022312</v>
      </c>
      <c r="ET58" s="24">
        <f>'Monthly Data'!N58/'Monthly Data'!P58/'Monthly Data'!CD58</f>
        <v>1549.2897366666105</v>
      </c>
      <c r="EU58" s="24">
        <f>'Monthly Data'!Q58/'Monthly Data'!U58/'Monthly Data'!CD58</f>
        <v>15496.584449360887</v>
      </c>
      <c r="EV58" s="24">
        <f>'Monthly Data'!V58/'Monthly Data'!Z58/'Monthly Data'!CD58</f>
        <v>110062.63317260593</v>
      </c>
      <c r="EW58" s="24"/>
      <c r="FG58" s="24"/>
    </row>
    <row r="59" spans="1:163" x14ac:dyDescent="0.25">
      <c r="A59" s="3">
        <v>43739</v>
      </c>
      <c r="B59" s="1">
        <v>2019</v>
      </c>
      <c r="C59" s="1">
        <v>10</v>
      </c>
      <c r="D59" s="263">
        <v>10.194623655913977</v>
      </c>
      <c r="E59" s="263">
        <v>303.96666666666664</v>
      </c>
      <c r="F59" s="263">
        <v>0</v>
      </c>
      <c r="G59" s="263">
        <v>243.77916666666664</v>
      </c>
      <c r="H59" s="263">
        <v>1.8125000000000036</v>
      </c>
      <c r="I59" s="263">
        <v>183.7791666666667</v>
      </c>
      <c r="J59" s="263">
        <v>3.8125000000000036</v>
      </c>
      <c r="K59" s="263">
        <v>125.30000000000004</v>
      </c>
      <c r="L59" s="263">
        <v>7.3333333333333357</v>
      </c>
      <c r="M59" s="263">
        <v>72.637500000000017</v>
      </c>
      <c r="N59" s="263">
        <v>16.670833333333334</v>
      </c>
      <c r="O59" s="263">
        <v>31.19583333333334</v>
      </c>
      <c r="P59" s="263">
        <v>37.229166666666664</v>
      </c>
      <c r="Q59" s="263">
        <v>8.0666666666666664</v>
      </c>
      <c r="R59" s="263">
        <v>76.099999999999994</v>
      </c>
      <c r="DP59" s="18">
        <f>'Monthly Data'!F59</f>
        <v>35245091.017522082</v>
      </c>
      <c r="DQ59" s="18">
        <f>'Monthly Data'!J59</f>
        <v>9056576.7105109673</v>
      </c>
      <c r="DR59" s="18">
        <f>'Monthly Data'!N59</f>
        <v>24249973.509908725</v>
      </c>
      <c r="DS59" s="4">
        <f>'Monthly Data'!S59</f>
        <v>6877310.3938974263</v>
      </c>
      <c r="DT59" s="4">
        <f>'Monthly Data'!V59</f>
        <v>3235594.6355934963</v>
      </c>
      <c r="DU59" s="18">
        <f t="shared" si="7"/>
        <v>34954021.631707989</v>
      </c>
      <c r="DV59" s="18">
        <f t="shared" si="8"/>
        <v>9771417.9623861052</v>
      </c>
      <c r="DW59" s="18">
        <f t="shared" si="9"/>
        <v>23710581.419993397</v>
      </c>
      <c r="DX59" s="18">
        <f t="shared" si="10"/>
        <v>6854243.8036043514</v>
      </c>
      <c r="DY59" s="18">
        <f t="shared" si="11"/>
        <v>3121844.1159208636</v>
      </c>
      <c r="ER59" s="24">
        <f>'Monthly Data'!F59/'Monthly Data'!G59/'Monthly Data'!CD59</f>
        <v>20.773207504340629</v>
      </c>
      <c r="ES59" s="259">
        <f>'Monthly Data'!J59/'Monthly Data'!K59/'Monthly Data'!CD59</f>
        <v>69.77493093454369</v>
      </c>
      <c r="ET59" s="24">
        <f>'Monthly Data'!N59/'Monthly Data'!P59/'Monthly Data'!CD59</f>
        <v>1475.9569999944445</v>
      </c>
      <c r="EU59" s="24">
        <f>'Monthly Data'!Q59/'Monthly Data'!U59/'Monthly Data'!CD59</f>
        <v>13874.934467807725</v>
      </c>
      <c r="EV59" s="24">
        <f>'Monthly Data'!V59/'Monthly Data'!Z59/'Monthly Data'!CD59</f>
        <v>104374.02050301601</v>
      </c>
      <c r="EW59" s="24"/>
      <c r="FG59" s="24"/>
    </row>
    <row r="60" spans="1:163" x14ac:dyDescent="0.25">
      <c r="A60" s="3">
        <v>43770</v>
      </c>
      <c r="B60" s="1">
        <v>2019</v>
      </c>
      <c r="C60" s="1">
        <v>11</v>
      </c>
      <c r="D60" s="263">
        <v>0.34250000000000014</v>
      </c>
      <c r="E60" s="263">
        <v>589.72500000000002</v>
      </c>
      <c r="F60" s="263">
        <v>0</v>
      </c>
      <c r="G60" s="263">
        <v>529.72500000000002</v>
      </c>
      <c r="H60" s="263">
        <v>0</v>
      </c>
      <c r="I60" s="263">
        <v>469.72499999999997</v>
      </c>
      <c r="J60" s="263">
        <v>0</v>
      </c>
      <c r="K60" s="263">
        <v>409.72499999999997</v>
      </c>
      <c r="L60" s="263">
        <v>0</v>
      </c>
      <c r="M60" s="263">
        <v>349.72499999999997</v>
      </c>
      <c r="N60" s="263">
        <v>0</v>
      </c>
      <c r="O60" s="263">
        <v>289.72499999999997</v>
      </c>
      <c r="P60" s="263">
        <v>0</v>
      </c>
      <c r="Q60" s="263">
        <v>229.72499999999999</v>
      </c>
      <c r="R60" s="263">
        <v>0</v>
      </c>
      <c r="DP60" s="18">
        <f>'Monthly Data'!F60</f>
        <v>40900798.175965577</v>
      </c>
      <c r="DQ60" s="18">
        <f>'Monthly Data'!J60</f>
        <v>10350429.699744491</v>
      </c>
      <c r="DR60" s="18">
        <f>'Monthly Data'!N60</f>
        <v>30825542.226426981</v>
      </c>
      <c r="DS60" s="4">
        <f>'Monthly Data'!S60</f>
        <v>6504414.3737810226</v>
      </c>
      <c r="DT60" s="4">
        <f>'Monthly Data'!V60</f>
        <v>3235594.6355934963</v>
      </c>
      <c r="DU60" s="18">
        <f t="shared" si="7"/>
        <v>42565416.382011928</v>
      </c>
      <c r="DV60" s="18">
        <f t="shared" si="8"/>
        <v>11272122.644740941</v>
      </c>
      <c r="DW60" s="18">
        <f t="shared" si="9"/>
        <v>28630967.26196206</v>
      </c>
      <c r="DX60" s="18">
        <f t="shared" si="10"/>
        <v>6849680.9845259301</v>
      </c>
      <c r="DY60" s="18">
        <f t="shared" si="11"/>
        <v>3170941.3036138397</v>
      </c>
      <c r="EK60" s="1" t="s">
        <v>153</v>
      </c>
      <c r="ER60" s="24">
        <f>'Monthly Data'!F60/'Monthly Data'!G60/'Monthly Data'!CD60</f>
        <v>24.909285791000904</v>
      </c>
      <c r="ES60" s="259">
        <f>'Monthly Data'!J60/'Monthly Data'!K60/'Monthly Data'!CD60</f>
        <v>82.460402324286889</v>
      </c>
      <c r="ET60" s="24">
        <f>'Monthly Data'!N60/'Monthly Data'!P60/'Monthly Data'!CD60</f>
        <v>1938.7133475740238</v>
      </c>
      <c r="EU60" s="24">
        <f>'Monthly Data'!Q60/'Monthly Data'!U60/'Monthly Data'!CD60</f>
        <v>13449.584616457498</v>
      </c>
      <c r="EV60" s="24">
        <f>'Monthly Data'!V60/'Monthly Data'!Z60/'Monthly Data'!CD60</f>
        <v>107853.1545197832</v>
      </c>
      <c r="EW60" s="24"/>
      <c r="FG60" s="24"/>
    </row>
    <row r="61" spans="1:163" x14ac:dyDescent="0.25">
      <c r="A61" s="3">
        <v>43800</v>
      </c>
      <c r="B61" s="1">
        <v>2019</v>
      </c>
      <c r="C61" s="1">
        <v>12</v>
      </c>
      <c r="D61" s="263">
        <v>-1.8202956989247305</v>
      </c>
      <c r="E61" s="263">
        <v>676.42916666666656</v>
      </c>
      <c r="F61" s="263">
        <v>0</v>
      </c>
      <c r="G61" s="263">
        <v>614.42916666666667</v>
      </c>
      <c r="H61" s="263">
        <v>0</v>
      </c>
      <c r="I61" s="263">
        <v>552.42916666666667</v>
      </c>
      <c r="J61" s="263">
        <v>0</v>
      </c>
      <c r="K61" s="263">
        <v>490.42916666666656</v>
      </c>
      <c r="L61" s="263">
        <v>0</v>
      </c>
      <c r="M61" s="263">
        <v>428.42916666666656</v>
      </c>
      <c r="N61" s="263">
        <v>0</v>
      </c>
      <c r="O61" s="263">
        <v>366.42916666666656</v>
      </c>
      <c r="P61" s="263">
        <v>0</v>
      </c>
      <c r="Q61" s="263">
        <v>304.42916666666662</v>
      </c>
      <c r="R61" s="263">
        <v>0</v>
      </c>
      <c r="DP61" s="18">
        <f>'Monthly Data'!F61</f>
        <v>46344241.546475172</v>
      </c>
      <c r="DQ61" s="18">
        <f>'Monthly Data'!J61</f>
        <v>11008452.135093993</v>
      </c>
      <c r="DR61" s="18">
        <f>'Monthly Data'!N61</f>
        <v>30515644.19160156</v>
      </c>
      <c r="DS61" s="4">
        <f>'Monthly Data'!S61</f>
        <v>6916748.0792108662</v>
      </c>
      <c r="DT61" s="4">
        <f>'Monthly Data'!V61</f>
        <v>3129610.3284404315</v>
      </c>
      <c r="DU61" s="18">
        <f t="shared" si="7"/>
        <v>45057767.02266179</v>
      </c>
      <c r="DV61" s="18">
        <f t="shared" si="8"/>
        <v>11734674.217769928</v>
      </c>
      <c r="DW61" s="18">
        <f t="shared" si="9"/>
        <v>30168079.17491902</v>
      </c>
      <c r="DX61" s="18">
        <f t="shared" si="10"/>
        <v>6863273.3843524195</v>
      </c>
      <c r="DY61" s="18">
        <f t="shared" si="11"/>
        <v>3187778.3495517811</v>
      </c>
      <c r="EK61" s="1" t="s">
        <v>154</v>
      </c>
      <c r="EL61" s="274">
        <v>1308086919709120</v>
      </c>
      <c r="EM61" s="1" t="s">
        <v>155</v>
      </c>
      <c r="EN61" s="1">
        <v>3358066.6129192198</v>
      </c>
      <c r="ER61" s="24">
        <f>'Monthly Data'!F61/'Monthly Data'!G61/'Monthly Data'!CD61</f>
        <v>27.386523297377877</v>
      </c>
      <c r="ES61" s="259">
        <f>'Monthly Data'!J61/'Monthly Data'!K61/'Monthly Data'!CD61</f>
        <v>84.812839550174445</v>
      </c>
      <c r="ET61" s="24">
        <f>'Monthly Data'!N61/'Monthly Data'!P61/'Monthly Data'!CD61</f>
        <v>1846.8585723900962</v>
      </c>
      <c r="EU61" s="24">
        <f>'Monthly Data'!Q61/'Monthly Data'!U61/'Monthly Data'!CD61</f>
        <v>13965.804710465422</v>
      </c>
      <c r="EV61" s="24">
        <f>'Monthly Data'!V61/'Monthly Data'!Z61/'Monthly Data'!CD61</f>
        <v>100955.17188517521</v>
      </c>
      <c r="EW61" s="24"/>
      <c r="FG61" s="24"/>
    </row>
    <row r="62" spans="1:163" x14ac:dyDescent="0.25">
      <c r="A62" s="3">
        <v>43831</v>
      </c>
      <c r="B62" s="1">
        <f>B50+1</f>
        <v>2020</v>
      </c>
      <c r="C62" s="1">
        <f>C50</f>
        <v>1</v>
      </c>
      <c r="D62" s="263">
        <v>-2.2845430107526878</v>
      </c>
      <c r="E62" s="263">
        <v>690.82083333333321</v>
      </c>
      <c r="F62" s="263">
        <v>0</v>
      </c>
      <c r="G62" s="263">
        <v>628.82083333333333</v>
      </c>
      <c r="H62" s="263">
        <v>0</v>
      </c>
      <c r="I62" s="263">
        <v>566.82083333333333</v>
      </c>
      <c r="J62" s="263">
        <v>0</v>
      </c>
      <c r="K62" s="263">
        <v>504.82083333333333</v>
      </c>
      <c r="L62" s="263">
        <v>0</v>
      </c>
      <c r="M62" s="263">
        <v>442.82083333333327</v>
      </c>
      <c r="N62" s="263">
        <v>0</v>
      </c>
      <c r="O62" s="263">
        <v>380.82083333333333</v>
      </c>
      <c r="P62" s="263">
        <v>0</v>
      </c>
      <c r="Q62" s="263">
        <v>318.82083333333333</v>
      </c>
      <c r="R62" s="263">
        <v>0</v>
      </c>
      <c r="DP62" s="18">
        <f>'Monthly Data'!F62</f>
        <v>48338968.594280884</v>
      </c>
      <c r="DQ62" s="18">
        <f>'Monthly Data'!J62</f>
        <v>12171705.298896791</v>
      </c>
      <c r="DR62" s="18">
        <f>'Monthly Data'!N62</f>
        <v>31665184.615771491</v>
      </c>
      <c r="DS62" s="4">
        <f>'Monthly Data'!S62</f>
        <v>7135430.5825945279</v>
      </c>
      <c r="DT62" s="4">
        <f>'Monthly Data'!V62</f>
        <v>3051730.6981788147</v>
      </c>
      <c r="DU62" s="18">
        <f t="shared" si="7"/>
        <v>45502218.419884391</v>
      </c>
      <c r="DV62" s="18">
        <f t="shared" si="8"/>
        <v>11815164.576641515</v>
      </c>
      <c r="DW62" s="18">
        <f t="shared" si="9"/>
        <v>30456480.747375615</v>
      </c>
      <c r="DX62" s="18">
        <f t="shared" si="10"/>
        <v>6865758.8599731876</v>
      </c>
      <c r="DY62" s="18">
        <f t="shared" si="11"/>
        <v>3190857.1338532078</v>
      </c>
      <c r="EK62" s="1" t="s">
        <v>156</v>
      </c>
      <c r="EL62" s="1">
        <v>0.44465450217583902</v>
      </c>
      <c r="EM62" s="1" t="s">
        <v>157</v>
      </c>
      <c r="EN62" s="1">
        <v>0.43507957979956102</v>
      </c>
      <c r="ER62" s="24">
        <f>'Monthly Data'!F62/'Monthly Data'!G62/'Monthly Data'!CD62</f>
        <v>28.736898152619659</v>
      </c>
      <c r="ES62" s="259">
        <f>'Monthly Data'!J62/'Monthly Data'!K62/'Monthly Data'!CD62</f>
        <v>93.640747627742016</v>
      </c>
      <c r="ET62" s="24">
        <f>'Monthly Data'!N62/'Monthly Data'!P62/'Monthly Data'!CD62</f>
        <v>1898.6200153358609</v>
      </c>
      <c r="EU62" s="24">
        <f>'Monthly Data'!Q62/'Monthly Data'!U62/'Monthly Data'!CD62</f>
        <v>14469.696032290589</v>
      </c>
      <c r="EV62" s="24">
        <f>'Monthly Data'!V62/'Monthly Data'!Z62/'Monthly Data'!CD62</f>
        <v>98442.925747703703</v>
      </c>
      <c r="EW62" s="24"/>
      <c r="FG62" s="24"/>
    </row>
    <row r="63" spans="1:163" x14ac:dyDescent="0.25">
      <c r="A63" s="3">
        <v>43862</v>
      </c>
      <c r="B63" s="1">
        <f t="shared" ref="B63:B121" si="84">B51+1</f>
        <v>2020</v>
      </c>
      <c r="C63" s="1">
        <f t="shared" ref="C63:C121" si="85">C51</f>
        <v>2</v>
      </c>
      <c r="D63" s="263">
        <v>-3.3931034482758609</v>
      </c>
      <c r="E63" s="263">
        <v>678.4000000000002</v>
      </c>
      <c r="F63" s="263">
        <v>0</v>
      </c>
      <c r="G63" s="263">
        <v>620.40000000000009</v>
      </c>
      <c r="H63" s="263">
        <v>0</v>
      </c>
      <c r="I63" s="263">
        <v>562.4</v>
      </c>
      <c r="J63" s="263">
        <v>0</v>
      </c>
      <c r="K63" s="263">
        <v>504.40000000000003</v>
      </c>
      <c r="L63" s="263">
        <v>0</v>
      </c>
      <c r="M63" s="263">
        <v>446.40000000000003</v>
      </c>
      <c r="N63" s="263">
        <v>0</v>
      </c>
      <c r="O63" s="263">
        <v>388.40000000000003</v>
      </c>
      <c r="P63" s="263">
        <v>0</v>
      </c>
      <c r="Q63" s="263">
        <v>330.40000000000003</v>
      </c>
      <c r="R63" s="263">
        <v>0</v>
      </c>
      <c r="DP63" s="18">
        <f>'Monthly Data'!F63</f>
        <v>45824867.163535185</v>
      </c>
      <c r="DQ63" s="18">
        <f>'Monthly Data'!J63</f>
        <v>11320017.388098987</v>
      </c>
      <c r="DR63" s="18">
        <f>'Monthly Data'!N63</f>
        <v>28996456.425020933</v>
      </c>
      <c r="DS63" s="4">
        <f>'Monthly Data'!S63</f>
        <v>6643831.0976723712</v>
      </c>
      <c r="DT63" s="4">
        <f>'Monthly Data'!V63</f>
        <v>2738816.0758073898</v>
      </c>
      <c r="DU63" s="18">
        <f t="shared" si="7"/>
        <v>45489222.012496009</v>
      </c>
      <c r="DV63" s="18">
        <f t="shared" si="8"/>
        <v>11790439.541678354</v>
      </c>
      <c r="DW63" s="18">
        <f t="shared" si="9"/>
        <v>30608363.335765462</v>
      </c>
      <c r="DX63" s="18">
        <f t="shared" si="10"/>
        <v>6866376.9907080578</v>
      </c>
      <c r="DY63" s="18">
        <f t="shared" si="11"/>
        <v>3191622.8187735686</v>
      </c>
      <c r="EK63" s="1" t="s">
        <v>158</v>
      </c>
      <c r="EL63" s="1">
        <v>58.688751459529499</v>
      </c>
      <c r="EM63" s="1" t="s">
        <v>159</v>
      </c>
      <c r="EN63" s="274">
        <v>2.4611723717994502E-18</v>
      </c>
      <c r="ER63" s="24">
        <f>'Monthly Data'!F63/'Monthly Data'!G63/'Monthly Data'!CD63</f>
        <v>29.168380278830274</v>
      </c>
      <c r="ES63" s="259">
        <f>'Monthly Data'!J63/'Monthly Data'!K63/'Monthly Data'!CD63</f>
        <v>92.961521118320334</v>
      </c>
      <c r="ET63" s="24">
        <f>'Monthly Data'!N63/'Monthly Data'!P63/'Monthly Data'!CD63</f>
        <v>1868.9304817931634</v>
      </c>
      <c r="EU63" s="24">
        <f>'Monthly Data'!Q63/'Monthly Data'!U63/'Monthly Data'!CD63</f>
        <v>14256.772012636504</v>
      </c>
      <c r="EV63" s="24">
        <f>'Monthly Data'!V63/'Monthly Data'!Z63/'Monthly Data'!CD63</f>
        <v>94441.933648530685</v>
      </c>
      <c r="EW63" s="24"/>
      <c r="FG63" s="24"/>
    </row>
    <row r="64" spans="1:163" x14ac:dyDescent="0.25">
      <c r="A64" s="3">
        <v>43891</v>
      </c>
      <c r="B64" s="1">
        <f t="shared" si="84"/>
        <v>2020</v>
      </c>
      <c r="C64" s="1">
        <f t="shared" si="85"/>
        <v>3</v>
      </c>
      <c r="D64" s="263">
        <v>2.4654569892473122</v>
      </c>
      <c r="E64" s="263">
        <v>543.57083333333344</v>
      </c>
      <c r="F64" s="263">
        <v>0</v>
      </c>
      <c r="G64" s="263">
        <v>481.57083333333344</v>
      </c>
      <c r="H64" s="263">
        <v>0</v>
      </c>
      <c r="I64" s="263">
        <v>419.57083333333344</v>
      </c>
      <c r="J64" s="263">
        <v>0</v>
      </c>
      <c r="K64" s="263">
        <v>357.57083333333344</v>
      </c>
      <c r="L64" s="263">
        <v>0</v>
      </c>
      <c r="M64" s="263">
        <v>295.57083333333338</v>
      </c>
      <c r="N64" s="263">
        <v>0</v>
      </c>
      <c r="O64" s="263">
        <v>233.60833333333338</v>
      </c>
      <c r="P64" s="263">
        <v>3.7499999999999645E-2</v>
      </c>
      <c r="Q64" s="263">
        <v>174.47500000000005</v>
      </c>
      <c r="R64" s="263">
        <v>2.9041666666666668</v>
      </c>
      <c r="DP64" s="18">
        <f>'Monthly Data'!F64</f>
        <v>40318850.692109823</v>
      </c>
      <c r="DQ64" s="18">
        <f>'Monthly Data'!J64</f>
        <v>10567020.275292698</v>
      </c>
      <c r="DR64" s="18">
        <f>'Monthly Data'!N64</f>
        <v>27523984.230147589</v>
      </c>
      <c r="DS64" s="4">
        <f>'Monthly Data'!S64</f>
        <v>6564881.6992580527</v>
      </c>
      <c r="DT64" s="4">
        <f>'Monthly Data'!V64</f>
        <v>2583844.5749993362</v>
      </c>
      <c r="DU64" s="18">
        <f t="shared" si="7"/>
        <v>40954762.60695827</v>
      </c>
      <c r="DV64" s="18">
        <f t="shared" si="8"/>
        <v>10991618.171742305</v>
      </c>
      <c r="DW64" s="18">
        <f t="shared" si="9"/>
        <v>27506418.223790277</v>
      </c>
      <c r="DX64" s="18">
        <f t="shared" si="10"/>
        <v>6840328.4290415281</v>
      </c>
      <c r="DY64" s="18">
        <f t="shared" si="11"/>
        <v>3159356.196617417</v>
      </c>
      <c r="EK64" s="1" t="s">
        <v>160</v>
      </c>
      <c r="EL64" s="1">
        <v>-6.7314265697769493E-2</v>
      </c>
      <c r="EM64" s="1" t="s">
        <v>161</v>
      </c>
      <c r="EN64" s="1">
        <v>2.1302291326545402</v>
      </c>
      <c r="ER64" s="24">
        <f>'Monthly Data'!F64/'Monthly Data'!G64/'Monthly Data'!CD64</f>
        <v>23.924949171153607</v>
      </c>
      <c r="ES64" s="259">
        <f>'Monthly Data'!J64/'Monthly Data'!K64/'Monthly Data'!CD64</f>
        <v>81.121280767166922</v>
      </c>
      <c r="ET64" s="24">
        <f>'Monthly Data'!N64/'Monthly Data'!P64/'Monthly Data'!CD64</f>
        <v>1659.5709514710634</v>
      </c>
      <c r="EU64" s="24">
        <f>'Monthly Data'!Q64/'Monthly Data'!U64/'Monthly Data'!CD64</f>
        <v>13155.071158420653</v>
      </c>
      <c r="EV64" s="24">
        <f>'Monthly Data'!V64/'Monthly Data'!Z64/'Monthly Data'!CD64</f>
        <v>83349.824999978591</v>
      </c>
      <c r="EW64" s="24"/>
      <c r="FG64" s="24"/>
    </row>
    <row r="65" spans="1:163" x14ac:dyDescent="0.25">
      <c r="A65" s="3">
        <v>43922</v>
      </c>
      <c r="B65" s="1">
        <f t="shared" si="84"/>
        <v>2020</v>
      </c>
      <c r="C65" s="1">
        <f t="shared" si="85"/>
        <v>4</v>
      </c>
      <c r="D65" s="263">
        <v>5.3441666666666672</v>
      </c>
      <c r="E65" s="263">
        <v>439.67500000000013</v>
      </c>
      <c r="F65" s="263">
        <v>0</v>
      </c>
      <c r="G65" s="263">
        <v>379.67500000000013</v>
      </c>
      <c r="H65" s="263">
        <v>0</v>
      </c>
      <c r="I65" s="263">
        <v>319.67500000000007</v>
      </c>
      <c r="J65" s="263">
        <v>0</v>
      </c>
      <c r="K65" s="263">
        <v>259.67500000000007</v>
      </c>
      <c r="L65" s="263">
        <v>0</v>
      </c>
      <c r="M65" s="263">
        <v>199.67500000000004</v>
      </c>
      <c r="N65" s="263">
        <v>0</v>
      </c>
      <c r="O65" s="263">
        <v>141.82916666666665</v>
      </c>
      <c r="P65" s="263">
        <v>2.1541666666666721</v>
      </c>
      <c r="Q65" s="263">
        <v>89.183333333333337</v>
      </c>
      <c r="R65" s="263">
        <v>9.5083333333333364</v>
      </c>
      <c r="DP65" s="18">
        <f>'Monthly Data'!F65</f>
        <v>41695243.05434832</v>
      </c>
      <c r="DQ65" s="18">
        <f>'Monthly Data'!J65</f>
        <v>8512616.9184663724</v>
      </c>
      <c r="DR65" s="18">
        <f>'Monthly Data'!N65</f>
        <v>22124574.074711651</v>
      </c>
      <c r="DS65" s="4">
        <f>'Monthly Data'!S65</f>
        <v>5198888.1617160002</v>
      </c>
      <c r="DT65" s="4">
        <f>'Monthly Data'!V65</f>
        <v>2026215.689811578</v>
      </c>
      <c r="DU65" s="18">
        <f t="shared" si="7"/>
        <v>37931489.422897741</v>
      </c>
      <c r="DV65" s="18">
        <f t="shared" si="8"/>
        <v>10432916.274247723</v>
      </c>
      <c r="DW65" s="18">
        <f t="shared" si="9"/>
        <v>25667211.091045257</v>
      </c>
      <c r="DX65" s="18">
        <f t="shared" si="10"/>
        <v>6823766.9868261302</v>
      </c>
      <c r="DY65" s="18">
        <f t="shared" si="11"/>
        <v>3138841.3672319688</v>
      </c>
      <c r="ER65" s="24">
        <f>'Monthly Data'!F65/'Monthly Data'!G65/'Monthly Data'!CD65</f>
        <v>25.561712556921648</v>
      </c>
      <c r="ES65" s="259">
        <f>'Monthly Data'!J65/'Monthly Data'!K65/'Monthly Data'!CD65</f>
        <v>67.5443697410646</v>
      </c>
      <c r="ET65" s="24">
        <f>'Monthly Data'!N65/'Monthly Data'!P65/'Monthly Data'!CD65</f>
        <v>1375.9063479298288</v>
      </c>
      <c r="EU65" s="24">
        <f>'Monthly Data'!Q65/'Monthly Data'!U65/'Monthly Data'!CD65</f>
        <v>10341.209974407078</v>
      </c>
      <c r="EV65" s="24">
        <f>'Monthly Data'!V65/'Monthly Data'!Z65/'Monthly Data'!CD65</f>
        <v>67540.522993719263</v>
      </c>
      <c r="EW65" s="24"/>
      <c r="FG65" s="24"/>
    </row>
    <row r="66" spans="1:163" x14ac:dyDescent="0.25">
      <c r="A66" s="3">
        <v>43952</v>
      </c>
      <c r="B66" s="1">
        <f t="shared" si="84"/>
        <v>2020</v>
      </c>
      <c r="C66" s="1">
        <f t="shared" si="85"/>
        <v>5</v>
      </c>
      <c r="D66" s="263">
        <v>11.704857910906297</v>
      </c>
      <c r="E66" s="263">
        <v>265.14107142857148</v>
      </c>
      <c r="F66" s="263">
        <v>7.9916666666666636</v>
      </c>
      <c r="G66" s="263">
        <v>212.73690476190475</v>
      </c>
      <c r="H66" s="263">
        <v>17.587499999999995</v>
      </c>
      <c r="I66" s="263">
        <v>164.60000000000005</v>
      </c>
      <c r="J66" s="263">
        <v>31.450595238095232</v>
      </c>
      <c r="K66" s="263">
        <v>122.05</v>
      </c>
      <c r="L66" s="263">
        <v>50.900595238095221</v>
      </c>
      <c r="M66" s="263">
        <v>86.899999999999977</v>
      </c>
      <c r="N66" s="263">
        <v>77.750595238095229</v>
      </c>
      <c r="O66" s="263">
        <v>59.029166666666669</v>
      </c>
      <c r="P66" s="263">
        <v>111.87976190476191</v>
      </c>
      <c r="Q66" s="263">
        <v>36.524999999999999</v>
      </c>
      <c r="R66" s="263">
        <v>151.37559523809523</v>
      </c>
      <c r="DP66" s="18">
        <f>'Monthly Data'!F66</f>
        <v>39366599.834296227</v>
      </c>
      <c r="DQ66" s="18">
        <f>'Monthly Data'!J66</f>
        <v>8422331.1027372573</v>
      </c>
      <c r="DR66" s="18">
        <f>'Monthly Data'!N66</f>
        <v>21859678.942449689</v>
      </c>
      <c r="DS66" s="4">
        <f>'Monthly Data'!S66</f>
        <v>5975758.5394809321</v>
      </c>
      <c r="DT66" s="4">
        <f>'Monthly Data'!V66</f>
        <v>1950073.45202516</v>
      </c>
      <c r="DU66" s="18">
        <f t="shared" si="7"/>
        <v>39149083.225152761</v>
      </c>
      <c r="DV66" s="18">
        <f t="shared" si="8"/>
        <v>10249612.687361646</v>
      </c>
      <c r="DW66" s="18">
        <f t="shared" si="9"/>
        <v>25222437.903175149</v>
      </c>
      <c r="DX66" s="18">
        <f t="shared" si="10"/>
        <v>7168112.8883874137</v>
      </c>
      <c r="DY66" s="18">
        <f t="shared" si="11"/>
        <v>3185372.5337127144</v>
      </c>
      <c r="EK66" s="1" t="s">
        <v>162</v>
      </c>
      <c r="ER66" s="24">
        <f>'Monthly Data'!F66/'Monthly Data'!G66/'Monthly Data'!CD66</f>
        <v>23.342284749652816</v>
      </c>
      <c r="ES66" s="259">
        <f>'Monthly Data'!J66/'Monthly Data'!K66/'Monthly Data'!CD66</f>
        <v>64.672244724660473</v>
      </c>
      <c r="ET66" s="24">
        <f>'Monthly Data'!N66/'Monthly Data'!P66/'Monthly Data'!CD66</f>
        <v>1313.1302302186393</v>
      </c>
      <c r="EU66" s="24">
        <f>'Monthly Data'!Q66/'Monthly Data'!U66/'Monthly Data'!CD66</f>
        <v>11797.648412567665</v>
      </c>
      <c r="EV66" s="24">
        <f>'Monthly Data'!V66/'Monthly Data'!Z66/'Monthly Data'!CD66</f>
        <v>62905.595226618061</v>
      </c>
      <c r="EW66" s="24"/>
      <c r="FG66" s="24"/>
    </row>
    <row r="67" spans="1:163" x14ac:dyDescent="0.25">
      <c r="A67" s="3">
        <v>43983</v>
      </c>
      <c r="B67" s="1">
        <f t="shared" si="84"/>
        <v>2020</v>
      </c>
      <c r="C67" s="1">
        <f t="shared" si="85"/>
        <v>6</v>
      </c>
      <c r="D67" s="263">
        <v>19.417874396135264</v>
      </c>
      <c r="E67" s="263">
        <v>53.275000000000006</v>
      </c>
      <c r="F67" s="263">
        <v>35.811231884057946</v>
      </c>
      <c r="G67" s="263">
        <v>29.733333333333348</v>
      </c>
      <c r="H67" s="263">
        <v>72.269565217391289</v>
      </c>
      <c r="I67" s="263">
        <v>13.145833333333346</v>
      </c>
      <c r="J67" s="263">
        <v>115.68206521739128</v>
      </c>
      <c r="K67" s="263">
        <v>3.4333333333333353</v>
      </c>
      <c r="L67" s="263">
        <v>165.96956521739128</v>
      </c>
      <c r="M67" s="263">
        <v>0</v>
      </c>
      <c r="N67" s="263">
        <v>222.53623188405788</v>
      </c>
      <c r="O67" s="263">
        <v>0</v>
      </c>
      <c r="P67" s="263">
        <v>282.53623188405788</v>
      </c>
      <c r="Q67" s="263">
        <v>0</v>
      </c>
      <c r="R67" s="263">
        <v>342.536231884058</v>
      </c>
      <c r="DP67" s="18">
        <f>'Monthly Data'!F67</f>
        <v>47154097.622346401</v>
      </c>
      <c r="DQ67" s="18">
        <f>'Monthly Data'!J67</f>
        <v>9420600.9622815214</v>
      </c>
      <c r="DR67" s="18">
        <f>'Monthly Data'!N67</f>
        <v>24219008.095878799</v>
      </c>
      <c r="DS67" s="4">
        <f>'Monthly Data'!S67</f>
        <v>7052492.3045150973</v>
      </c>
      <c r="DT67" s="4">
        <f>'Monthly Data'!V67</f>
        <v>2214827.6747113038</v>
      </c>
      <c r="DU67" s="18">
        <f t="shared" ref="DU67:DU121" si="86">$EL$17+K67*$EL$18+N67*$EL$19</f>
        <v>45667937.36732012</v>
      </c>
      <c r="DV67" s="18">
        <f t="shared" ref="DV67:DV121" si="87">$EL$37+I67*$EL$38+L67*$EL$39</f>
        <v>10948860.316430124</v>
      </c>
      <c r="DW67" s="18">
        <f t="shared" ref="DW67:DW121" si="88">$EL$56+O67*$EL$57+N67*$EL$58</f>
        <v>26301134.6952684</v>
      </c>
      <c r="DX67" s="18">
        <f t="shared" ref="DX67:DX121" si="89">$EL$75+M67*$EL$76+L67*$EL$77</f>
        <v>7975584.0497014299</v>
      </c>
      <c r="DY67" s="18">
        <f t="shared" ref="DY67:DY121" si="90">$EL$93+M67*$EL$94+L67*$EL$95</f>
        <v>3326513.4974676366</v>
      </c>
      <c r="EK67" s="1" t="s">
        <v>163</v>
      </c>
      <c r="EL67" s="1">
        <v>27287217.1923595</v>
      </c>
      <c r="EM67" s="1" t="s">
        <v>164</v>
      </c>
      <c r="EN67" s="1">
        <v>4466827.1682807896</v>
      </c>
      <c r="ER67" s="24">
        <f>'Monthly Data'!F67/'Monthly Data'!G67/'Monthly Data'!CD67</f>
        <v>28.829318135731434</v>
      </c>
      <c r="ES67" s="259">
        <f>'Monthly Data'!J67/'Monthly Data'!K67/'Monthly Data'!CD67</f>
        <v>74.677772194066762</v>
      </c>
      <c r="ET67" s="24">
        <f>'Monthly Data'!N67/'Monthly Data'!P67/'Monthly Data'!CD67</f>
        <v>1500.5581224212392</v>
      </c>
      <c r="EU67" s="24">
        <f>'Monthly Data'!Q67/'Monthly Data'!U67/'Monthly Data'!CD67</f>
        <v>14754.557190778554</v>
      </c>
      <c r="EV67" s="24">
        <f>'Monthly Data'!V67/'Monthly Data'!Z67/'Monthly Data'!CD67</f>
        <v>73827.589157043461</v>
      </c>
      <c r="EW67" s="24"/>
      <c r="FG67" s="24"/>
    </row>
    <row r="68" spans="1:163" x14ac:dyDescent="0.25">
      <c r="A68" s="3">
        <v>44013</v>
      </c>
      <c r="B68" s="1">
        <f t="shared" si="84"/>
        <v>2020</v>
      </c>
      <c r="C68" s="1">
        <f t="shared" si="85"/>
        <v>7</v>
      </c>
      <c r="D68" s="263">
        <v>23.964112903225804</v>
      </c>
      <c r="E68" s="263">
        <v>0</v>
      </c>
      <c r="F68" s="263">
        <v>122.88750000000002</v>
      </c>
      <c r="G68" s="263">
        <v>0</v>
      </c>
      <c r="H68" s="263">
        <v>184.88749999999999</v>
      </c>
      <c r="I68" s="263">
        <v>0</v>
      </c>
      <c r="J68" s="263">
        <v>246.88749999999999</v>
      </c>
      <c r="K68" s="263">
        <v>0</v>
      </c>
      <c r="L68" s="263">
        <v>308.88750000000005</v>
      </c>
      <c r="M68" s="263">
        <v>0</v>
      </c>
      <c r="N68" s="263">
        <v>370.88750000000005</v>
      </c>
      <c r="O68" s="263">
        <v>0</v>
      </c>
      <c r="P68" s="263">
        <v>432.88750000000005</v>
      </c>
      <c r="Q68" s="263">
        <v>0</v>
      </c>
      <c r="R68" s="263">
        <v>494.88750000000005</v>
      </c>
      <c r="DP68" s="18">
        <f>'Monthly Data'!F68</f>
        <v>60194460.576176599</v>
      </c>
      <c r="DQ68" s="18">
        <f>'Monthly Data'!J68</f>
        <v>11675848.915550508</v>
      </c>
      <c r="DR68" s="18">
        <f>'Monthly Data'!N68</f>
        <v>28888464.206618078</v>
      </c>
      <c r="DS68" s="4">
        <f>'Monthly Data'!S68</f>
        <v>8644136.8558436297</v>
      </c>
      <c r="DT68" s="4">
        <f>'Monthly Data'!V68</f>
        <v>2771707.1866302304</v>
      </c>
      <c r="DU68" s="18">
        <f t="shared" si="86"/>
        <v>55994699.593026161</v>
      </c>
      <c r="DV68" s="18">
        <f t="shared" si="87"/>
        <v>12795881.918305678</v>
      </c>
      <c r="DW68" s="18">
        <f t="shared" si="88"/>
        <v>28618442.143443283</v>
      </c>
      <c r="DX68" s="18">
        <f t="shared" si="89"/>
        <v>8997119.2237691097</v>
      </c>
      <c r="DY68" s="18">
        <f t="shared" si="90"/>
        <v>3524902.9661794249</v>
      </c>
      <c r="ER68" s="24">
        <f>'Monthly Data'!F68/'Monthly Data'!G68/'Monthly Data'!CD68</f>
        <v>35.623989446858026</v>
      </c>
      <c r="ES68" s="259">
        <f>'Monthly Data'!J68/'Monthly Data'!K68/'Monthly Data'!CD68</f>
        <v>89.505771767681438</v>
      </c>
      <c r="ET68" s="24">
        <f>'Monthly Data'!N68/'Monthly Data'!P68/'Monthly Data'!CD68</f>
        <v>1728.9164047290728</v>
      </c>
      <c r="EU68" s="24">
        <f>'Monthly Data'!Q68/'Monthly Data'!U68/'Monthly Data'!CD68</f>
        <v>16749.590140847282</v>
      </c>
      <c r="EV68" s="24">
        <f>'Monthly Data'!V68/'Monthly Data'!Z68/'Monthly Data'!CD68</f>
        <v>89409.909246136463</v>
      </c>
      <c r="EW68" s="24"/>
      <c r="FG68" s="24"/>
    </row>
    <row r="69" spans="1:163" x14ac:dyDescent="0.25">
      <c r="A69" s="3">
        <v>44044</v>
      </c>
      <c r="B69" s="1">
        <f t="shared" si="84"/>
        <v>2020</v>
      </c>
      <c r="C69" s="1">
        <f t="shared" si="85"/>
        <v>8</v>
      </c>
      <c r="D69" s="263">
        <v>20.997776148582602</v>
      </c>
      <c r="E69" s="263">
        <v>19.720833333333321</v>
      </c>
      <c r="F69" s="263">
        <v>50.651893939393972</v>
      </c>
      <c r="G69" s="263">
        <v>3.4874999999999972</v>
      </c>
      <c r="H69" s="263">
        <v>96.418560606060637</v>
      </c>
      <c r="I69" s="263">
        <v>0</v>
      </c>
      <c r="J69" s="263">
        <v>154.93106060606064</v>
      </c>
      <c r="K69" s="263">
        <v>0</v>
      </c>
      <c r="L69" s="263">
        <v>216.93106060606064</v>
      </c>
      <c r="M69" s="263">
        <v>0</v>
      </c>
      <c r="N69" s="263">
        <v>278.93106060606061</v>
      </c>
      <c r="O69" s="263">
        <v>0</v>
      </c>
      <c r="P69" s="263">
        <v>340.93106060606056</v>
      </c>
      <c r="Q69" s="263">
        <v>0</v>
      </c>
      <c r="R69" s="263">
        <v>402.93106060606067</v>
      </c>
      <c r="DP69" s="18">
        <f>'Monthly Data'!F69</f>
        <v>55662667.072527848</v>
      </c>
      <c r="DQ69" s="18">
        <f>'Monthly Data'!J69</f>
        <v>10788969.833497668</v>
      </c>
      <c r="DR69" s="18">
        <f>'Monthly Data'!N69</f>
        <v>26919034.292032495</v>
      </c>
      <c r="DS69" s="4">
        <f>'Monthly Data'!S69</f>
        <v>8115885.9892690107</v>
      </c>
      <c r="DT69" s="4">
        <f>'Monthly Data'!V69</f>
        <v>2823767.8385568643</v>
      </c>
      <c r="DU69" s="18">
        <f t="shared" si="86"/>
        <v>49527869.568469286</v>
      </c>
      <c r="DV69" s="18">
        <f t="shared" si="87"/>
        <v>11560162.920873817</v>
      </c>
      <c r="DW69" s="18">
        <f t="shared" si="88"/>
        <v>27182044.971909307</v>
      </c>
      <c r="DX69" s="18">
        <f t="shared" si="89"/>
        <v>8339841.7626455761</v>
      </c>
      <c r="DY69" s="18">
        <f t="shared" si="90"/>
        <v>3397254.9618632351</v>
      </c>
      <c r="ER69" s="24">
        <f>'Monthly Data'!F69/'Monthly Data'!G69/'Monthly Data'!CD69</f>
        <v>32.945027807519253</v>
      </c>
      <c r="ES69" s="259">
        <f>'Monthly Data'!J69/'Monthly Data'!K69/'Monthly Data'!CD69</f>
        <v>82.766060630567807</v>
      </c>
      <c r="ET69" s="24">
        <f>'Monthly Data'!N69/'Monthly Data'!P69/'Monthly Data'!CD69</f>
        <v>1608.0665646375444</v>
      </c>
      <c r="EU69" s="24">
        <f>'Monthly Data'!Q69/'Monthly Data'!U69/'Monthly Data'!CD69</f>
        <v>15613.568587006086</v>
      </c>
      <c r="EV69" s="24">
        <f>'Monthly Data'!V69/'Monthly Data'!Z69/'Monthly Data'!CD69</f>
        <v>91089.285114737562</v>
      </c>
      <c r="EW69" s="24"/>
      <c r="FG69" s="24"/>
    </row>
    <row r="70" spans="1:163" x14ac:dyDescent="0.25">
      <c r="A70" s="3">
        <v>44075</v>
      </c>
      <c r="B70" s="1">
        <f t="shared" si="84"/>
        <v>2020</v>
      </c>
      <c r="C70" s="1">
        <f t="shared" si="85"/>
        <v>9</v>
      </c>
      <c r="D70" s="263">
        <v>15.728182367149758</v>
      </c>
      <c r="E70" s="263">
        <v>132.75869565217394</v>
      </c>
      <c r="F70" s="263">
        <v>4.6041666666666714</v>
      </c>
      <c r="G70" s="263">
        <v>85.042028985507244</v>
      </c>
      <c r="H70" s="263">
        <v>16.887500000000003</v>
      </c>
      <c r="I70" s="263">
        <v>46.033695652173925</v>
      </c>
      <c r="J70" s="263">
        <v>37.879166666666663</v>
      </c>
      <c r="K70" s="263">
        <v>23.967028985507248</v>
      </c>
      <c r="L70" s="263">
        <v>75.812499999999972</v>
      </c>
      <c r="M70" s="263">
        <v>8.9666666666666686</v>
      </c>
      <c r="N70" s="263">
        <v>120.81213768115938</v>
      </c>
      <c r="O70" s="263">
        <v>2.2333333333333343</v>
      </c>
      <c r="P70" s="263">
        <v>174.07880434782609</v>
      </c>
      <c r="Q70" s="263">
        <v>0</v>
      </c>
      <c r="R70" s="263">
        <v>231.84547101449272</v>
      </c>
      <c r="DP70" s="18">
        <f>'Monthly Data'!F70</f>
        <v>44332780.477901466</v>
      </c>
      <c r="DQ70" s="18">
        <f>'Monthly Data'!J70</f>
        <v>9145054.428370472</v>
      </c>
      <c r="DR70" s="18">
        <f>'Monthly Data'!N70</f>
        <v>22899887.372774672</v>
      </c>
      <c r="DS70" s="4">
        <f>'Monthly Data'!S70</f>
        <v>6840875.8033127291</v>
      </c>
      <c r="DT70" s="4">
        <f>'Monthly Data'!V70</f>
        <v>2773278.0060593467</v>
      </c>
      <c r="DU70" s="18">
        <f t="shared" si="86"/>
        <v>39148330.644853011</v>
      </c>
      <c r="DV70" s="18">
        <f t="shared" si="87"/>
        <v>9921258.1844255216</v>
      </c>
      <c r="DW70" s="18">
        <f t="shared" si="88"/>
        <v>24756917.610358726</v>
      </c>
      <c r="DX70" s="18">
        <f t="shared" si="89"/>
        <v>7332716.5485911975</v>
      </c>
      <c r="DY70" s="18">
        <f t="shared" si="90"/>
        <v>3203281.4919036506</v>
      </c>
      <c r="EK70" s="1" t="s">
        <v>181</v>
      </c>
      <c r="ER70" s="24">
        <f>'Monthly Data'!F70/'Monthly Data'!G70/'Monthly Data'!CD70</f>
        <v>26.966903579689085</v>
      </c>
      <c r="ES70" s="259">
        <f>'Monthly Data'!J70/'Monthly Data'!K70/'Monthly Data'!CD70</f>
        <v>72.082087399467738</v>
      </c>
      <c r="ET70" s="24">
        <f>'Monthly Data'!N70/'Monthly Data'!P70/'Monthly Data'!CD70</f>
        <v>1421.4703521275401</v>
      </c>
      <c r="EU70" s="24">
        <f>'Monthly Data'!Q70/'Monthly Data'!U70/'Monthly Data'!CD70</f>
        <v>13300.66678008891</v>
      </c>
      <c r="EV70" s="24">
        <f>'Monthly Data'!V70/'Monthly Data'!Z70/'Monthly Data'!CD70</f>
        <v>92442.600201978217</v>
      </c>
      <c r="EW70" s="24"/>
      <c r="FG70" s="24"/>
    </row>
    <row r="71" spans="1:163" x14ac:dyDescent="0.25">
      <c r="A71" s="3">
        <v>44105</v>
      </c>
      <c r="B71" s="1">
        <f t="shared" si="84"/>
        <v>2020</v>
      </c>
      <c r="C71" s="1">
        <f t="shared" si="85"/>
        <v>10</v>
      </c>
      <c r="D71" s="263">
        <v>8.7150537634408618</v>
      </c>
      <c r="E71" s="263">
        <v>349.83333333333326</v>
      </c>
      <c r="F71" s="263">
        <v>0</v>
      </c>
      <c r="G71" s="263">
        <v>287.83333333333331</v>
      </c>
      <c r="H71" s="263">
        <v>0</v>
      </c>
      <c r="I71" s="263">
        <v>226.0625</v>
      </c>
      <c r="J71" s="263">
        <v>0.22916666666666785</v>
      </c>
      <c r="K71" s="263">
        <v>167.76250000000005</v>
      </c>
      <c r="L71" s="263">
        <v>3.9291666666666654</v>
      </c>
      <c r="M71" s="263">
        <v>112.09583333333335</v>
      </c>
      <c r="N71" s="263">
        <v>10.262500000000003</v>
      </c>
      <c r="O71" s="263">
        <v>71.3</v>
      </c>
      <c r="P71" s="263">
        <v>31.466666666666676</v>
      </c>
      <c r="Q71" s="263">
        <v>38.454166666666666</v>
      </c>
      <c r="R71" s="263">
        <v>60.620833333333344</v>
      </c>
      <c r="DP71" s="18">
        <f>'Monthly Data'!F71</f>
        <v>36451110.769841231</v>
      </c>
      <c r="DQ71" s="18">
        <f>'Monthly Data'!J71</f>
        <v>9117151.9850432202</v>
      </c>
      <c r="DR71" s="18">
        <f>'Monthly Data'!N71</f>
        <v>22361323.862121925</v>
      </c>
      <c r="DS71" s="4">
        <f>'Monthly Data'!S71</f>
        <v>6096532.0669815103</v>
      </c>
      <c r="DT71" s="4">
        <f>'Monthly Data'!V71</f>
        <v>2549443.6415996617</v>
      </c>
      <c r="DU71" s="18">
        <f t="shared" si="86"/>
        <v>35814706.421520591</v>
      </c>
      <c r="DV71" s="18">
        <f t="shared" si="87"/>
        <v>9962156.5843437035</v>
      </c>
      <c r="DW71" s="18">
        <f t="shared" si="88"/>
        <v>24414147.436078124</v>
      </c>
      <c r="DX71" s="18">
        <f t="shared" si="89"/>
        <v>6836726.3755450835</v>
      </c>
      <c r="DY71" s="18">
        <f t="shared" si="90"/>
        <v>3125559.9239355312</v>
      </c>
      <c r="EK71" s="1" t="s">
        <v>182</v>
      </c>
      <c r="ER71" s="24">
        <f>'Monthly Data'!F71/'Monthly Data'!G71/'Monthly Data'!CD71</f>
        <v>21.407364008558709</v>
      </c>
      <c r="ES71" s="259">
        <f>'Monthly Data'!J71/'Monthly Data'!K71/'Monthly Data'!CD71</f>
        <v>69.891082922261901</v>
      </c>
      <c r="ET71" s="24">
        <f>'Monthly Data'!N71/'Monthly Data'!P71/'Monthly Data'!CD71</f>
        <v>1330.87274503761</v>
      </c>
      <c r="EU71" s="24">
        <f>'Monthly Data'!Q71/'Monthly Data'!U71/'Monthly Data'!CD71</f>
        <v>11270.875610209143</v>
      </c>
      <c r="EV71" s="24">
        <f>'Monthly Data'!V71/'Monthly Data'!Z71/'Monthly Data'!CD71</f>
        <v>82240.117470956829</v>
      </c>
      <c r="EW71" s="24"/>
      <c r="FG71" s="24"/>
    </row>
    <row r="72" spans="1:163" x14ac:dyDescent="0.25">
      <c r="A72" s="3">
        <v>44136</v>
      </c>
      <c r="B72" s="1">
        <f t="shared" si="84"/>
        <v>2020</v>
      </c>
      <c r="C72" s="1">
        <f t="shared" si="85"/>
        <v>11</v>
      </c>
      <c r="D72" s="263">
        <v>5.7899758454106278</v>
      </c>
      <c r="E72" s="263">
        <v>426.30072463768113</v>
      </c>
      <c r="F72" s="263">
        <v>0</v>
      </c>
      <c r="G72" s="263">
        <v>366.30072463768118</v>
      </c>
      <c r="H72" s="263">
        <v>0</v>
      </c>
      <c r="I72" s="263">
        <v>306.30072463768124</v>
      </c>
      <c r="J72" s="263">
        <v>0</v>
      </c>
      <c r="K72" s="263">
        <v>246.30072463768118</v>
      </c>
      <c r="L72" s="263">
        <v>0</v>
      </c>
      <c r="M72" s="263">
        <v>188.12989130434778</v>
      </c>
      <c r="N72" s="263">
        <v>1.8291666666666622</v>
      </c>
      <c r="O72" s="263">
        <v>136.26322463768113</v>
      </c>
      <c r="P72" s="263">
        <v>9.9624999999999932</v>
      </c>
      <c r="Q72" s="263">
        <v>92.875724637681159</v>
      </c>
      <c r="R72" s="263">
        <v>26.574999999999996</v>
      </c>
      <c r="DP72" s="18">
        <f>'Monthly Data'!F72</f>
        <v>39603334.04316061</v>
      </c>
      <c r="DQ72" s="18">
        <f>'Monthly Data'!J72</f>
        <v>9609320.7237130906</v>
      </c>
      <c r="DR72" s="18">
        <f>'Monthly Data'!N72</f>
        <v>23101196.568596739</v>
      </c>
      <c r="DS72" s="4">
        <f>'Monthly Data'!S72</f>
        <v>6275162.6858837437</v>
      </c>
      <c r="DT72" s="4">
        <f>'Monthly Data'!V72</f>
        <v>2612945.5044569829</v>
      </c>
      <c r="DU72" s="18">
        <f t="shared" si="86"/>
        <v>37647093.680778973</v>
      </c>
      <c r="DV72" s="18">
        <f t="shared" si="87"/>
        <v>10358116.027098183</v>
      </c>
      <c r="DW72" s="18">
        <f t="shared" si="88"/>
        <v>25584244.81639393</v>
      </c>
      <c r="DX72" s="18">
        <f t="shared" si="89"/>
        <v>6821773.1186476359</v>
      </c>
      <c r="DY72" s="18">
        <f t="shared" si="90"/>
        <v>3136371.5421426506</v>
      </c>
      <c r="EK72" s="1" t="s">
        <v>183</v>
      </c>
      <c r="ER72" s="24">
        <f>'Monthly Data'!F72/'Monthly Data'!G72/'Monthly Data'!CD72</f>
        <v>24.043988320924164</v>
      </c>
      <c r="ES72" s="259">
        <f>'Monthly Data'!J72/'Monthly Data'!K72/'Monthly Data'!CD72</f>
        <v>75.527161233302607</v>
      </c>
      <c r="ET72" s="24">
        <f>'Monthly Data'!N72/'Monthly Data'!P72/'Monthly Data'!CD72</f>
        <v>1428.6454278662177</v>
      </c>
      <c r="EU72" s="24">
        <f>'Monthly Data'!Q72/'Monthly Data'!U72/'Monthly Data'!CD72</f>
        <v>12043.530270417659</v>
      </c>
      <c r="EV72" s="24">
        <f>'Monthly Data'!V72/'Monthly Data'!Z72/'Monthly Data'!CD72</f>
        <v>87098.183481899425</v>
      </c>
      <c r="EW72" s="24"/>
      <c r="FG72" s="24"/>
    </row>
    <row r="73" spans="1:163" x14ac:dyDescent="0.25">
      <c r="A73" s="3">
        <v>44166</v>
      </c>
      <c r="B73" s="1">
        <f t="shared" si="84"/>
        <v>2020</v>
      </c>
      <c r="C73" s="1">
        <f t="shared" si="85"/>
        <v>12</v>
      </c>
      <c r="D73" s="263">
        <v>-0.80336021505376376</v>
      </c>
      <c r="E73" s="263">
        <v>644.90416666666681</v>
      </c>
      <c r="F73" s="263">
        <v>0</v>
      </c>
      <c r="G73" s="263">
        <v>582.90416666666681</v>
      </c>
      <c r="H73" s="263">
        <v>0</v>
      </c>
      <c r="I73" s="263">
        <v>520.90416666666681</v>
      </c>
      <c r="J73" s="263">
        <v>0</v>
      </c>
      <c r="K73" s="263">
        <v>458.90416666666681</v>
      </c>
      <c r="L73" s="263">
        <v>0</v>
      </c>
      <c r="M73" s="263">
        <v>396.9041666666667</v>
      </c>
      <c r="N73" s="263">
        <v>0</v>
      </c>
      <c r="O73" s="263">
        <v>334.90416666666664</v>
      </c>
      <c r="P73" s="263">
        <v>0</v>
      </c>
      <c r="Q73" s="263">
        <v>272.9041666666667</v>
      </c>
      <c r="R73" s="263">
        <v>0</v>
      </c>
      <c r="DP73" s="18">
        <f>'Monthly Data'!F73</f>
        <v>46095359.099475369</v>
      </c>
      <c r="DQ73" s="18">
        <f>'Monthly Data'!J73</f>
        <v>10889770.675347887</v>
      </c>
      <c r="DR73" s="18">
        <f>'Monthly Data'!N73</f>
        <v>31742077.27981564</v>
      </c>
      <c r="DS73" s="4">
        <f>'Monthly Data'!S73</f>
        <v>6594890.4345861645</v>
      </c>
      <c r="DT73" s="4">
        <f>'Monthly Data'!V73</f>
        <v>2701865.657163329</v>
      </c>
      <c r="DU73" s="18">
        <f t="shared" si="86"/>
        <v>44084194.564240769</v>
      </c>
      <c r="DV73" s="18">
        <f t="shared" si="87"/>
        <v>11558359.783715956</v>
      </c>
      <c r="DW73" s="18">
        <f t="shared" si="88"/>
        <v>29536334.444980819</v>
      </c>
      <c r="DX73" s="18">
        <f t="shared" si="89"/>
        <v>6857828.9406504119</v>
      </c>
      <c r="DY73" s="18">
        <f t="shared" si="90"/>
        <v>3181034.2609517248</v>
      </c>
      <c r="ER73" s="24">
        <f>'Monthly Data'!F73/'Monthly Data'!G73/'Monthly Data'!CD73</f>
        <v>27.109335783500672</v>
      </c>
      <c r="ES73" s="259">
        <f>'Monthly Data'!J73/'Monthly Data'!K73/'Monthly Data'!CD73</f>
        <v>82.693720577029694</v>
      </c>
      <c r="ET73" s="24">
        <f>'Monthly Data'!N73/'Monthly Data'!P73/'Monthly Data'!CD73</f>
        <v>1903.2304400896774</v>
      </c>
      <c r="EU73" s="24">
        <f>'Monthly Data'!Q73/'Monthly Data'!U73/'Monthly Data'!CD73</f>
        <v>12342.617665438342</v>
      </c>
      <c r="EV73" s="24">
        <f>'Monthly Data'!V73/'Monthly Data'!Z73/'Monthly Data'!CD73</f>
        <v>87156.956682688033</v>
      </c>
      <c r="EW73" s="24"/>
      <c r="FG73" s="24"/>
    </row>
    <row r="74" spans="1:163" x14ac:dyDescent="0.25">
      <c r="A74" s="3">
        <v>44197</v>
      </c>
      <c r="B74" s="1">
        <f t="shared" si="84"/>
        <v>2021</v>
      </c>
      <c r="C74" s="1">
        <f t="shared" si="85"/>
        <v>1</v>
      </c>
      <c r="D74" s="263">
        <v>-3.0807795698924729</v>
      </c>
      <c r="E74" s="263">
        <v>715.50416666666661</v>
      </c>
      <c r="F74" s="263">
        <v>0</v>
      </c>
      <c r="G74" s="263">
        <v>653.50416666666661</v>
      </c>
      <c r="H74" s="263">
        <v>0</v>
      </c>
      <c r="I74" s="263">
        <v>591.50416666666661</v>
      </c>
      <c r="J74" s="263">
        <v>0</v>
      </c>
      <c r="K74" s="263">
        <v>529.50416666666661</v>
      </c>
      <c r="L74" s="263">
        <v>0</v>
      </c>
      <c r="M74" s="263">
        <v>467.50416666666661</v>
      </c>
      <c r="N74" s="263">
        <v>0</v>
      </c>
      <c r="O74" s="263">
        <v>405.50416666666661</v>
      </c>
      <c r="P74" s="263">
        <v>0</v>
      </c>
      <c r="Q74" s="263">
        <v>343.50416666666661</v>
      </c>
      <c r="R74" s="263">
        <v>0</v>
      </c>
      <c r="DP74" s="18">
        <f ca="1">'Monthly Data'!F74</f>
        <v>51585862.116538197</v>
      </c>
      <c r="DQ74" s="18">
        <f ca="1">'Monthly Data'!J74</f>
        <v>10763346.682415618</v>
      </c>
      <c r="DR74" s="18">
        <f ca="1">'Monthly Data'!N74</f>
        <v>29798844.243443634</v>
      </c>
      <c r="DS74" s="4">
        <f ca="1">'Monthly Data'!S74</f>
        <v>6463542.8741169646</v>
      </c>
      <c r="DT74" s="4">
        <f>'Monthly Data'!V74</f>
        <v>2837674</v>
      </c>
      <c r="DU74" s="18">
        <f t="shared" si="86"/>
        <v>46264502.750268497</v>
      </c>
      <c r="DV74" s="18">
        <f t="shared" si="87"/>
        <v>11953214.630479176</v>
      </c>
      <c r="DW74" s="18">
        <f t="shared" si="88"/>
        <v>30951122.008299999</v>
      </c>
      <c r="DX74" s="18">
        <f t="shared" si="89"/>
        <v>6870021.7313042339</v>
      </c>
      <c r="DY74" s="18">
        <f t="shared" si="90"/>
        <v>3196137.5965635879</v>
      </c>
      <c r="EL74" s="1" t="s">
        <v>148</v>
      </c>
      <c r="EM74" s="1" t="s">
        <v>149</v>
      </c>
      <c r="EN74" s="1" t="s">
        <v>150</v>
      </c>
      <c r="EO74" s="1" t="s">
        <v>151</v>
      </c>
      <c r="ER74" s="24">
        <f ca="1">'Monthly Data'!F74/'Monthly Data'!G74/'Monthly Data'!CD74</f>
        <v>30.45943894192828</v>
      </c>
      <c r="ES74" s="259">
        <f ca="1">'Monthly Data'!J74/'Monthly Data'!K74/'Monthly Data'!CD74</f>
        <v>81.676013100641342</v>
      </c>
      <c r="ET74" s="24">
        <f ca="1">'Monthly Data'!N74/'Monthly Data'!P74/'Monthly Data'!CD74</f>
        <v>1800.0993260507209</v>
      </c>
      <c r="EU74" s="24">
        <f>'Monthly Data'!Q74/'Monthly Data'!U74/'Monthly Data'!CD74</f>
        <v>10629.482643462763</v>
      </c>
      <c r="EV74" s="24">
        <f>'Monthly Data'!V74/'Monthly Data'!Z74/'Monthly Data'!CD74</f>
        <v>91537.870967741939</v>
      </c>
      <c r="EW74" s="24"/>
      <c r="FG74" s="24"/>
    </row>
    <row r="75" spans="1:163" x14ac:dyDescent="0.25">
      <c r="A75" s="3">
        <v>44228</v>
      </c>
      <c r="B75" s="1">
        <f t="shared" si="84"/>
        <v>2021</v>
      </c>
      <c r="C75" s="1">
        <f t="shared" si="85"/>
        <v>2</v>
      </c>
      <c r="D75" s="263">
        <v>-5.3376488095238086</v>
      </c>
      <c r="E75" s="263">
        <v>709.45416666666654</v>
      </c>
      <c r="F75" s="263">
        <v>0</v>
      </c>
      <c r="G75" s="263">
        <v>653.45416666666654</v>
      </c>
      <c r="H75" s="263">
        <v>0</v>
      </c>
      <c r="I75" s="263">
        <v>597.45416666666665</v>
      </c>
      <c r="J75" s="263">
        <v>0</v>
      </c>
      <c r="K75" s="263">
        <v>541.45416666666677</v>
      </c>
      <c r="L75" s="263">
        <v>0</v>
      </c>
      <c r="M75" s="263">
        <v>485.45416666666677</v>
      </c>
      <c r="N75" s="263">
        <v>0</v>
      </c>
      <c r="O75" s="263">
        <v>429.45416666666677</v>
      </c>
      <c r="P75" s="263">
        <v>0</v>
      </c>
      <c r="Q75" s="263">
        <v>373.45416666666665</v>
      </c>
      <c r="R75" s="263">
        <v>0</v>
      </c>
      <c r="X75" s="269"/>
      <c r="CN75" s="414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P75" s="18">
        <f ca="1">'Monthly Data'!F75</f>
        <v>50364379.755166516</v>
      </c>
      <c r="DQ75" s="18">
        <f ca="1">'Monthly Data'!J75</f>
        <v>10132166.594761943</v>
      </c>
      <c r="DR75" s="18">
        <f ca="1">'Monthly Data'!N75</f>
        <v>25706093.351383086</v>
      </c>
      <c r="DS75" s="4">
        <f ca="1">'Monthly Data'!S75</f>
        <v>5458795.4616897674</v>
      </c>
      <c r="DT75" s="4">
        <f>'Monthly Data'!V75</f>
        <v>2471480</v>
      </c>
      <c r="DU75" s="18">
        <f t="shared" si="86"/>
        <v>46633549.249178298</v>
      </c>
      <c r="DV75" s="18">
        <f t="shared" si="87"/>
        <v>11986492.057366444</v>
      </c>
      <c r="DW75" s="18">
        <f t="shared" si="88"/>
        <v>31431067.64769794</v>
      </c>
      <c r="DX75" s="18">
        <f t="shared" si="89"/>
        <v>6873121.7396928472</v>
      </c>
      <c r="DY75" s="18">
        <f t="shared" si="90"/>
        <v>3199977.608946491</v>
      </c>
      <c r="EK75" s="1" t="s">
        <v>152</v>
      </c>
      <c r="EL75" s="1">
        <v>6789282.6316731302</v>
      </c>
      <c r="EM75" s="1">
        <v>163795.468825969</v>
      </c>
      <c r="EN75" s="1">
        <v>41.449758533226998</v>
      </c>
      <c r="EO75" s="274">
        <v>2.2028438159054801E-71</v>
      </c>
      <c r="ER75" s="24">
        <f ca="1">'Monthly Data'!F75/'Monthly Data'!G75/'Monthly Data'!CD75</f>
        <v>32.871488457580483</v>
      </c>
      <c r="ES75" s="259">
        <f ca="1">'Monthly Data'!J75/'Monthly Data'!K75/'Monthly Data'!CD75</f>
        <v>84.944387950720511</v>
      </c>
      <c r="ET75" s="24">
        <f ca="1">'Monthly Data'!N75/'Monthly Data'!P75/'Monthly Data'!CD75</f>
        <v>1709.6364293284842</v>
      </c>
      <c r="EU75" s="24">
        <f>'Monthly Data'!Q75/'Monthly Data'!U75/'Monthly Data'!CD75</f>
        <v>9655.7974499830161</v>
      </c>
      <c r="EV75" s="24">
        <f>'Monthly Data'!V75/'Monthly Data'!Z75/'Monthly Data'!CD75</f>
        <v>88267.142857142855</v>
      </c>
      <c r="EW75" s="24"/>
      <c r="FG75" s="24"/>
    </row>
    <row r="76" spans="1:163" x14ac:dyDescent="0.25">
      <c r="A76" s="3">
        <v>44256</v>
      </c>
      <c r="B76" s="1">
        <f t="shared" si="84"/>
        <v>2021</v>
      </c>
      <c r="C76" s="1">
        <f t="shared" si="85"/>
        <v>3</v>
      </c>
      <c r="D76" s="263">
        <v>2.1097942964001866</v>
      </c>
      <c r="E76" s="263">
        <v>554.59637681159427</v>
      </c>
      <c r="F76" s="263">
        <v>0</v>
      </c>
      <c r="G76" s="263">
        <v>492.59637681159415</v>
      </c>
      <c r="H76" s="263">
        <v>0</v>
      </c>
      <c r="I76" s="263">
        <v>430.59637681159427</v>
      </c>
      <c r="J76" s="263">
        <v>0</v>
      </c>
      <c r="K76" s="263">
        <v>368.59637681159427</v>
      </c>
      <c r="L76" s="263">
        <v>0</v>
      </c>
      <c r="M76" s="263">
        <v>306.89221014492756</v>
      </c>
      <c r="N76" s="263">
        <v>0.29583333333332895</v>
      </c>
      <c r="O76" s="263">
        <v>249.74637681159425</v>
      </c>
      <c r="P76" s="263">
        <v>5.1499999999999932</v>
      </c>
      <c r="Q76" s="263">
        <v>194.65054347826086</v>
      </c>
      <c r="R76" s="263">
        <v>12.05416666666666</v>
      </c>
      <c r="X76" s="269"/>
      <c r="CN76" s="414"/>
      <c r="CO76" s="269"/>
      <c r="CP76" s="269"/>
      <c r="CQ76" s="269"/>
      <c r="CR76" s="269"/>
      <c r="CS76" s="269"/>
      <c r="CT76" s="269"/>
      <c r="CU76" s="269"/>
      <c r="CV76" s="269"/>
      <c r="CW76" s="269"/>
      <c r="CX76" s="269"/>
      <c r="CY76" s="269"/>
      <c r="CZ76" s="269"/>
      <c r="DA76" s="269"/>
      <c r="DB76" s="269"/>
      <c r="DP76" s="18">
        <f ca="1">'Monthly Data'!F76</f>
        <v>41586785.497837111</v>
      </c>
      <c r="DQ76" s="18">
        <f ca="1">'Monthly Data'!J76</f>
        <v>11692819.533223221</v>
      </c>
      <c r="DR76" s="18">
        <f ca="1">'Monthly Data'!N76</f>
        <v>29786403.420041516</v>
      </c>
      <c r="DS76" s="4">
        <f ca="1">'Monthly Data'!S76</f>
        <v>6088324.3268875144</v>
      </c>
      <c r="DT76" s="4">
        <f>'Monthly Data'!V76</f>
        <v>3003749</v>
      </c>
      <c r="DU76" s="18">
        <f t="shared" si="86"/>
        <v>41316063.987081125</v>
      </c>
      <c r="DV76" s="18">
        <f t="shared" si="87"/>
        <v>11053282.32585831</v>
      </c>
      <c r="DW76" s="18">
        <f t="shared" si="88"/>
        <v>27834437.323837403</v>
      </c>
      <c r="DX76" s="18">
        <f t="shared" si="89"/>
        <v>6842283.6581828427</v>
      </c>
      <c r="DY76" s="18">
        <f t="shared" si="90"/>
        <v>3161778.1591326273</v>
      </c>
      <c r="EK76" s="1" t="s">
        <v>59</v>
      </c>
      <c r="EL76" s="1">
        <v>172.70241719293799</v>
      </c>
      <c r="EM76" s="1">
        <v>475.29197746020498</v>
      </c>
      <c r="EN76" s="1">
        <v>0.36336068223957702</v>
      </c>
      <c r="EO76" s="1">
        <v>0.71699680590079296</v>
      </c>
      <c r="ER76" s="24">
        <f ca="1">'Monthly Data'!F76/'Monthly Data'!G76/'Monthly Data'!CD76</f>
        <v>24.448419194249219</v>
      </c>
      <c r="ES76" s="259">
        <f ca="1">'Monthly Data'!J76/'Monthly Data'!K76/'Monthly Data'!CD76</f>
        <v>88.396467513046275</v>
      </c>
      <c r="ET76" s="24">
        <f ca="1">'Monthly Data'!N76/'Monthly Data'!P76/'Monthly Data'!CD76</f>
        <v>1792.6338119909433</v>
      </c>
      <c r="EU76" s="24">
        <f>'Monthly Data'!Q76/'Monthly Data'!U76/'Monthly Data'!CD76</f>
        <v>9914.3417398555994</v>
      </c>
      <c r="EV76" s="24">
        <f>'Monthly Data'!V76/'Monthly Data'!Z76/'Monthly Data'!CD76</f>
        <v>96895.129032258061</v>
      </c>
      <c r="EW76" s="24"/>
      <c r="FG76" s="24"/>
    </row>
    <row r="77" spans="1:163" x14ac:dyDescent="0.25">
      <c r="A77" s="3">
        <v>44287</v>
      </c>
      <c r="B77" s="1">
        <f t="shared" si="84"/>
        <v>2021</v>
      </c>
      <c r="C77" s="1">
        <f t="shared" si="85"/>
        <v>4</v>
      </c>
      <c r="D77" s="263">
        <v>7.3401388888888865</v>
      </c>
      <c r="E77" s="263">
        <v>379.79583333333329</v>
      </c>
      <c r="F77" s="263">
        <v>0</v>
      </c>
      <c r="G77" s="263">
        <v>319.79583333333329</v>
      </c>
      <c r="H77" s="263">
        <v>0</v>
      </c>
      <c r="I77" s="263">
        <v>260.00833333333338</v>
      </c>
      <c r="J77" s="263">
        <v>0.21249999999999858</v>
      </c>
      <c r="K77" s="263">
        <v>203.50416666666672</v>
      </c>
      <c r="L77" s="263">
        <v>3.7083333333333339</v>
      </c>
      <c r="M77" s="263">
        <v>150.85000000000002</v>
      </c>
      <c r="N77" s="263">
        <v>11.054166666666664</v>
      </c>
      <c r="O77" s="263">
        <v>102.15833333333332</v>
      </c>
      <c r="P77" s="263">
        <v>22.362499999999997</v>
      </c>
      <c r="Q77" s="263">
        <v>60.454166666666659</v>
      </c>
      <c r="R77" s="263">
        <v>40.658333333333331</v>
      </c>
      <c r="X77" s="269"/>
      <c r="CN77" s="414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P77" s="18">
        <f ca="1">'Monthly Data'!F77</f>
        <v>39270551.374150336</v>
      </c>
      <c r="DQ77" s="18">
        <f ca="1">'Monthly Data'!J77</f>
        <v>9326953.1395351123</v>
      </c>
      <c r="DR77" s="18">
        <f ca="1">'Monthly Data'!N77</f>
        <v>23602654.788700633</v>
      </c>
      <c r="DS77" s="4">
        <f ca="1">'Monthly Data'!S77</f>
        <v>6926734.3908607904</v>
      </c>
      <c r="DT77" s="4">
        <f>'Monthly Data'!V77</f>
        <v>2727156</v>
      </c>
      <c r="DU77" s="18">
        <f t="shared" si="86"/>
        <v>36974174.210148327</v>
      </c>
      <c r="DV77" s="18">
        <f t="shared" si="87"/>
        <v>10149042.785229301</v>
      </c>
      <c r="DW77" s="18">
        <f t="shared" si="88"/>
        <v>25044898.667018935</v>
      </c>
      <c r="DX77" s="18">
        <f t="shared" si="89"/>
        <v>6841840.862381178</v>
      </c>
      <c r="DY77" s="18">
        <f t="shared" si="90"/>
        <v>3133543.9890237078</v>
      </c>
      <c r="EK77" s="1" t="s">
        <v>58</v>
      </c>
      <c r="EL77" s="1">
        <v>7147.7045594139599</v>
      </c>
      <c r="EM77" s="1">
        <v>1026.6979573855299</v>
      </c>
      <c r="EN77" s="1">
        <v>6.9618377128317901</v>
      </c>
      <c r="EO77" s="274">
        <v>2.1460955118808699E-10</v>
      </c>
      <c r="ER77" s="24">
        <f ca="1">'Monthly Data'!F77/'Monthly Data'!G77/'Monthly Data'!CD77</f>
        <v>23.780445066641438</v>
      </c>
      <c r="ES77" s="259">
        <f ca="1">'Monthly Data'!J77/'Monthly Data'!K77/'Monthly Data'!CD77</f>
        <v>72.912391647397698</v>
      </c>
      <c r="ET77" s="24">
        <f ca="1">'Monthly Data'!N77/'Monthly Data'!P77/'Monthly Data'!CD77</f>
        <v>1465.0934071198405</v>
      </c>
      <c r="EU77" s="24">
        <f>'Monthly Data'!Q77/'Monthly Data'!U77/'Monthly Data'!CD77</f>
        <v>11887.132953708659</v>
      </c>
      <c r="EV77" s="24">
        <f>'Monthly Data'!V77/'Monthly Data'!Z77/'Monthly Data'!CD77</f>
        <v>90905.2</v>
      </c>
      <c r="EW77" s="24"/>
      <c r="FG77" s="24"/>
    </row>
    <row r="78" spans="1:163" x14ac:dyDescent="0.25">
      <c r="A78" s="3">
        <v>44317</v>
      </c>
      <c r="B78" s="1">
        <f t="shared" si="84"/>
        <v>2021</v>
      </c>
      <c r="C78" s="1">
        <f t="shared" si="85"/>
        <v>5</v>
      </c>
      <c r="D78" s="263">
        <v>13.049417562724015</v>
      </c>
      <c r="E78" s="263">
        <v>221.92222222222222</v>
      </c>
      <c r="F78" s="263">
        <v>6.4541666666666622</v>
      </c>
      <c r="G78" s="263">
        <v>173.64305555555555</v>
      </c>
      <c r="H78" s="263">
        <v>20.174999999999997</v>
      </c>
      <c r="I78" s="263">
        <v>127.04305555555555</v>
      </c>
      <c r="J78" s="263">
        <v>35.574999999999996</v>
      </c>
      <c r="K78" s="263">
        <v>83.376388888888897</v>
      </c>
      <c r="L78" s="263">
        <v>53.908333333333317</v>
      </c>
      <c r="M78" s="263">
        <v>50.724999999999987</v>
      </c>
      <c r="N78" s="263">
        <v>83.256944444444414</v>
      </c>
      <c r="O78" s="263">
        <v>25.983333333333327</v>
      </c>
      <c r="P78" s="263">
        <v>120.51527777777777</v>
      </c>
      <c r="Q78" s="263">
        <v>8.125</v>
      </c>
      <c r="R78" s="263">
        <v>164.65694444444446</v>
      </c>
      <c r="X78" s="269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414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P78" s="18">
        <f ca="1">'Monthly Data'!F78</f>
        <v>38438683.524425663</v>
      </c>
      <c r="DQ78" s="18">
        <f ca="1">'Monthly Data'!J78</f>
        <v>9012498.4994029496</v>
      </c>
      <c r="DR78" s="18">
        <f ca="1">'Monthly Data'!N78</f>
        <v>23210470.667977381</v>
      </c>
      <c r="DS78" s="4">
        <f ca="1">'Monthly Data'!S78</f>
        <v>6680382.3897179896</v>
      </c>
      <c r="DT78" s="4">
        <f>'Monthly Data'!V78</f>
        <v>2846646</v>
      </c>
      <c r="DU78" s="18">
        <f t="shared" si="86"/>
        <v>38341977.02504015</v>
      </c>
      <c r="DV78" s="18">
        <f t="shared" si="87"/>
        <v>10079980.781979864</v>
      </c>
      <c r="DW78" s="18">
        <f t="shared" si="88"/>
        <v>24646227.883523133</v>
      </c>
      <c r="DX78" s="18">
        <f t="shared" si="89"/>
        <v>7183363.8017423162</v>
      </c>
      <c r="DY78" s="18">
        <f t="shared" si="90"/>
        <v>3181808.8269057018</v>
      </c>
      <c r="ER78" s="24">
        <f ca="1">'Monthly Data'!F78/'Monthly Data'!G78/'Monthly Data'!CD78</f>
        <v>22.482141189889745</v>
      </c>
      <c r="ES78" s="259">
        <f ca="1">'Monthly Data'!J78/'Monthly Data'!K78/'Monthly Data'!CD78</f>
        <v>68.11756280348088</v>
      </c>
      <c r="ET78" s="24">
        <f ca="1">'Monthly Data'!N78/'Monthly Data'!P78/'Monthly Data'!CD78</f>
        <v>1394.273482788333</v>
      </c>
      <c r="EU78" s="24">
        <f>'Monthly Data'!Q78/'Monthly Data'!U78/'Monthly Data'!CD78</f>
        <v>11034.640324028183</v>
      </c>
      <c r="EV78" s="24">
        <f>'Monthly Data'!V78/'Monthly Data'!Z78/'Monthly Data'!CD78</f>
        <v>91827.290322580651</v>
      </c>
      <c r="EW78" s="24"/>
      <c r="FG78" s="24"/>
    </row>
    <row r="79" spans="1:163" x14ac:dyDescent="0.25">
      <c r="A79" s="3">
        <v>44348</v>
      </c>
      <c r="B79" s="1">
        <f t="shared" si="84"/>
        <v>2021</v>
      </c>
      <c r="C79" s="1">
        <f t="shared" si="85"/>
        <v>6</v>
      </c>
      <c r="D79" s="263">
        <v>20.055833333333332</v>
      </c>
      <c r="E79" s="263">
        <v>36.066666666666677</v>
      </c>
      <c r="F79" s="263">
        <v>37.74166666666666</v>
      </c>
      <c r="G79" s="263">
        <v>14.254166666666677</v>
      </c>
      <c r="H79" s="263">
        <v>75.92916666666666</v>
      </c>
      <c r="I79" s="263">
        <v>3.2708333333333357</v>
      </c>
      <c r="J79" s="263">
        <v>124.94583333333331</v>
      </c>
      <c r="K79" s="263">
        <v>0</v>
      </c>
      <c r="L79" s="263">
        <v>181.67499999999995</v>
      </c>
      <c r="M79" s="263">
        <v>0</v>
      </c>
      <c r="N79" s="263">
        <v>241.67500000000001</v>
      </c>
      <c r="O79" s="263">
        <v>0</v>
      </c>
      <c r="P79" s="263">
        <v>301.67500000000001</v>
      </c>
      <c r="Q79" s="263">
        <v>0</v>
      </c>
      <c r="R79" s="263">
        <v>361.67500000000001</v>
      </c>
      <c r="X79" s="269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414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P79" s="18">
        <f ca="1">'Monthly Data'!F79</f>
        <v>46157027.434236296</v>
      </c>
      <c r="DQ79" s="18">
        <f ca="1">'Monthly Data'!J79</f>
        <v>10159439.594147449</v>
      </c>
      <c r="DR79" s="18">
        <f ca="1">'Monthly Data'!N79</f>
        <v>25279139.756389167</v>
      </c>
      <c r="DS79" s="4">
        <f ca="1">'Monthly Data'!S79</f>
        <v>7248113.315856941</v>
      </c>
      <c r="DT79" s="4">
        <f>'Monthly Data'!V79</f>
        <v>3068568</v>
      </c>
      <c r="DU79" s="18">
        <f t="shared" si="86"/>
        <v>46907839.770535827</v>
      </c>
      <c r="DV79" s="18">
        <f t="shared" si="87"/>
        <v>11104682.034747129</v>
      </c>
      <c r="DW79" s="18">
        <f t="shared" si="88"/>
        <v>26600090.07642027</v>
      </c>
      <c r="DX79" s="18">
        <f t="shared" si="89"/>
        <v>8087841.8575046612</v>
      </c>
      <c r="DY79" s="18">
        <f t="shared" si="90"/>
        <v>3348314.7701151092</v>
      </c>
      <c r="EK79" s="1" t="s">
        <v>153</v>
      </c>
      <c r="ER79" s="24">
        <f ca="1">'Monthly Data'!F79/'Monthly Data'!G79/'Monthly Data'!CD79</f>
        <v>27.769972946740484</v>
      </c>
      <c r="ES79" s="259">
        <f ca="1">'Monthly Data'!J79/'Monthly Data'!K79/'Monthly Data'!CD79</f>
        <v>79.308661937138567</v>
      </c>
      <c r="ET79" s="24">
        <f ca="1">'Monthly Data'!N79/'Monthly Data'!P79/'Monthly Data'!CD79</f>
        <v>1569.1582716566834</v>
      </c>
      <c r="EU79" s="24">
        <f>'Monthly Data'!Q79/'Monthly Data'!U79/'Monthly Data'!CD79</f>
        <v>12514.031416502043</v>
      </c>
      <c r="EV79" s="24">
        <f>'Monthly Data'!V79/'Monthly Data'!Z79/'Monthly Data'!CD79</f>
        <v>102285.6</v>
      </c>
      <c r="EW79" s="24"/>
      <c r="FG79" s="24"/>
    </row>
    <row r="80" spans="1:163" x14ac:dyDescent="0.25">
      <c r="A80" s="3">
        <v>44378</v>
      </c>
      <c r="B80" s="1">
        <f t="shared" si="84"/>
        <v>2021</v>
      </c>
      <c r="C80" s="1">
        <f t="shared" si="85"/>
        <v>7</v>
      </c>
      <c r="D80" s="263">
        <v>20.221774193548388</v>
      </c>
      <c r="E80" s="263">
        <v>25.516666666666669</v>
      </c>
      <c r="F80" s="263">
        <v>32.391666666666652</v>
      </c>
      <c r="G80" s="263">
        <v>5.3541666666666572</v>
      </c>
      <c r="H80" s="263">
        <v>74.229166666666615</v>
      </c>
      <c r="I80" s="263">
        <v>0.74583333333333002</v>
      </c>
      <c r="J80" s="263">
        <v>131.62083333333331</v>
      </c>
      <c r="K80" s="263">
        <v>0</v>
      </c>
      <c r="L80" s="263">
        <v>192.87499999999994</v>
      </c>
      <c r="M80" s="263">
        <v>0</v>
      </c>
      <c r="N80" s="263">
        <v>254.87499999999994</v>
      </c>
      <c r="O80" s="263">
        <v>0</v>
      </c>
      <c r="P80" s="263">
        <v>316.87499999999994</v>
      </c>
      <c r="Q80" s="263">
        <v>0</v>
      </c>
      <c r="R80" s="263">
        <v>378.87499999999994</v>
      </c>
      <c r="X80" s="269"/>
      <c r="CN80" s="414"/>
      <c r="CO80" s="269"/>
      <c r="CP80" s="269"/>
      <c r="CQ80" s="269"/>
      <c r="CR80" s="269"/>
      <c r="CS80" s="269"/>
      <c r="CT80" s="269"/>
      <c r="CU80" s="269"/>
      <c r="CV80" s="269"/>
      <c r="CW80" s="269"/>
      <c r="CX80" s="269"/>
      <c r="CY80" s="269"/>
      <c r="CZ80" s="269"/>
      <c r="DA80" s="269"/>
      <c r="DB80" s="269"/>
      <c r="DP80" s="18">
        <f ca="1">'Monthly Data'!F80</f>
        <v>49491490.638636149</v>
      </c>
      <c r="DQ80" s="18">
        <f ca="1">'Monthly Data'!J80</f>
        <v>10931617.153714575</v>
      </c>
      <c r="DR80" s="18">
        <f ca="1">'Monthly Data'!N80</f>
        <v>26273466.379551142</v>
      </c>
      <c r="DS80" s="4">
        <f ca="1">'Monthly Data'!S80</f>
        <v>7248195.6049929485</v>
      </c>
      <c r="DT80" s="4">
        <f>'Monthly Data'!V80</f>
        <v>3205744</v>
      </c>
      <c r="DU80" s="18">
        <f t="shared" si="86"/>
        <v>47836128.826601394</v>
      </c>
      <c r="DV80" s="18">
        <f t="shared" si="87"/>
        <v>11241066.720300948</v>
      </c>
      <c r="DW80" s="18">
        <f t="shared" si="88"/>
        <v>26806279.472064681</v>
      </c>
      <c r="DX80" s="18">
        <f t="shared" si="89"/>
        <v>8167896.1485700971</v>
      </c>
      <c r="DY80" s="18">
        <f t="shared" si="90"/>
        <v>3363861.8884872845</v>
      </c>
      <c r="EK80" s="1" t="s">
        <v>154</v>
      </c>
      <c r="EL80" s="1">
        <v>43564230235612</v>
      </c>
      <c r="EM80" s="1" t="s">
        <v>155</v>
      </c>
      <c r="EN80" s="1">
        <v>612824.37037677399</v>
      </c>
      <c r="ER80" s="24">
        <f ca="1">'Monthly Data'!F80/'Monthly Data'!G80/'Monthly Data'!CD80</f>
        <v>28.857271672701199</v>
      </c>
      <c r="ES80" s="259">
        <f ca="1">'Monthly Data'!J80/'Monthly Data'!K80/'Monthly Data'!CD80</f>
        <v>82.525815916252654</v>
      </c>
      <c r="ET80" s="24">
        <f ca="1">'Monthly Data'!N80/'Monthly Data'!P80/'Monthly Data'!CD80</f>
        <v>1575.3367537804977</v>
      </c>
      <c r="EU80" s="24">
        <f>'Monthly Data'!Q80/'Monthly Data'!U80/'Monthly Data'!CD80</f>
        <v>12108.933504869616</v>
      </c>
      <c r="EV80" s="24">
        <f>'Monthly Data'!V80/'Monthly Data'!Z80/'Monthly Data'!CD80</f>
        <v>103411.09677419355</v>
      </c>
      <c r="EW80" s="24"/>
      <c r="FG80" s="24"/>
    </row>
    <row r="81" spans="1:163" x14ac:dyDescent="0.25">
      <c r="A81" s="3">
        <v>44409</v>
      </c>
      <c r="B81" s="1">
        <f t="shared" si="84"/>
        <v>2021</v>
      </c>
      <c r="C81" s="1">
        <f t="shared" si="85"/>
        <v>8</v>
      </c>
      <c r="D81" s="263">
        <v>22.58266129032258</v>
      </c>
      <c r="E81" s="263">
        <v>8.524999999999995</v>
      </c>
      <c r="F81" s="263">
        <v>88.587499999999991</v>
      </c>
      <c r="G81" s="263">
        <v>0.69166666666666643</v>
      </c>
      <c r="H81" s="263">
        <v>142.75416666666666</v>
      </c>
      <c r="I81" s="263">
        <v>0</v>
      </c>
      <c r="J81" s="263">
        <v>204.06249999999994</v>
      </c>
      <c r="K81" s="263">
        <v>0</v>
      </c>
      <c r="L81" s="263">
        <v>266.0625</v>
      </c>
      <c r="M81" s="263">
        <v>0</v>
      </c>
      <c r="N81" s="263">
        <v>328.06249999999989</v>
      </c>
      <c r="O81" s="263">
        <v>0</v>
      </c>
      <c r="P81" s="263">
        <v>390.06249999999989</v>
      </c>
      <c r="Q81" s="263">
        <v>0</v>
      </c>
      <c r="R81" s="263">
        <v>452.06249999999989</v>
      </c>
      <c r="X81" s="269"/>
      <c r="CN81" s="414"/>
      <c r="CO81" s="269"/>
      <c r="CP81" s="269"/>
      <c r="CQ81" s="269"/>
      <c r="CR81" s="269"/>
      <c r="CS81" s="269"/>
      <c r="CT81" s="269"/>
      <c r="CU81" s="269"/>
      <c r="CV81" s="269"/>
      <c r="CW81" s="269"/>
      <c r="CX81" s="269"/>
      <c r="CY81" s="269"/>
      <c r="CZ81" s="269"/>
      <c r="DA81" s="269"/>
      <c r="DB81" s="269"/>
      <c r="DP81" s="18">
        <f ca="1">'Monthly Data'!F81</f>
        <v>55296547.535997845</v>
      </c>
      <c r="DQ81" s="18">
        <f ca="1">'Monthly Data'!J81</f>
        <v>12105944.830178076</v>
      </c>
      <c r="DR81" s="18">
        <f ca="1">'Monthly Data'!N81</f>
        <v>29378242.468364421</v>
      </c>
      <c r="DS81" s="4">
        <f ca="1">'Monthly Data'!S81</f>
        <v>8367078.5521161593</v>
      </c>
      <c r="DT81" s="4">
        <f>'Monthly Data'!V81</f>
        <v>3545099</v>
      </c>
      <c r="DU81" s="18">
        <f t="shared" si="86"/>
        <v>52983034.530449785</v>
      </c>
      <c r="DV81" s="18">
        <f t="shared" si="87"/>
        <v>12220395.672711579</v>
      </c>
      <c r="DW81" s="18">
        <f t="shared" si="88"/>
        <v>27949498.138256006</v>
      </c>
      <c r="DX81" s="18">
        <f t="shared" si="89"/>
        <v>8691018.7760122065</v>
      </c>
      <c r="DY81" s="18">
        <f t="shared" si="90"/>
        <v>3465456.0604393892</v>
      </c>
      <c r="EK81" s="1" t="s">
        <v>156</v>
      </c>
      <c r="EL81" s="1">
        <v>0.51999126871649703</v>
      </c>
      <c r="EM81" s="1" t="s">
        <v>157</v>
      </c>
      <c r="EN81" s="1">
        <v>0.51171525610816104</v>
      </c>
      <c r="ER81" s="24">
        <f ca="1">'Monthly Data'!F81/'Monthly Data'!G81/'Monthly Data'!CD81</f>
        <v>32.290501582799273</v>
      </c>
      <c r="ES81" s="259">
        <f ca="1">'Monthly Data'!J81/'Monthly Data'!K81/'Monthly Data'!CD81</f>
        <v>91.305669712551577</v>
      </c>
      <c r="ET81" s="24">
        <f ca="1">'Monthly Data'!N81/'Monthly Data'!P81/'Monthly Data'!CD81</f>
        <v>1758.2286473376278</v>
      </c>
      <c r="EU81" s="24">
        <f>'Monthly Data'!Q81/'Monthly Data'!U81/'Monthly Data'!CD81</f>
        <v>14230.4754263828</v>
      </c>
      <c r="EV81" s="24">
        <f>'Monthly Data'!V81/'Monthly Data'!Z81/'Monthly Data'!CD81</f>
        <v>114358.03225806452</v>
      </c>
      <c r="EW81" s="24"/>
      <c r="FG81" s="24"/>
    </row>
    <row r="82" spans="1:163" x14ac:dyDescent="0.25">
      <c r="A82" s="3">
        <v>44440</v>
      </c>
      <c r="B82" s="1">
        <f t="shared" si="84"/>
        <v>2021</v>
      </c>
      <c r="C82" s="1">
        <f t="shared" si="85"/>
        <v>9</v>
      </c>
      <c r="D82" s="263">
        <v>16.975833333333334</v>
      </c>
      <c r="E82" s="263">
        <v>93.104166666666671</v>
      </c>
      <c r="F82" s="263">
        <v>2.37916666666667</v>
      </c>
      <c r="G82" s="263">
        <v>45.679166666666674</v>
      </c>
      <c r="H82" s="263">
        <v>14.954166666666683</v>
      </c>
      <c r="I82" s="263">
        <v>20.066666666666677</v>
      </c>
      <c r="J82" s="263">
        <v>49.341666666666683</v>
      </c>
      <c r="K82" s="263">
        <v>5.9833333333333432</v>
      </c>
      <c r="L82" s="263">
        <v>95.25833333333334</v>
      </c>
      <c r="M82" s="263">
        <v>0.28333333333333321</v>
      </c>
      <c r="N82" s="263">
        <v>149.55833333333328</v>
      </c>
      <c r="O82" s="263">
        <v>0</v>
      </c>
      <c r="P82" s="263">
        <v>209.27500000000001</v>
      </c>
      <c r="Q82" s="263">
        <v>0</v>
      </c>
      <c r="R82" s="263">
        <v>269.27499999999998</v>
      </c>
      <c r="X82" s="269"/>
      <c r="CN82" s="414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69"/>
      <c r="DA82" s="269"/>
      <c r="DB82" s="269"/>
      <c r="DP82" s="18">
        <f ca="1">'Monthly Data'!F82</f>
        <v>47844473.759628989</v>
      </c>
      <c r="DQ82" s="18">
        <f ca="1">'Monthly Data'!J82</f>
        <v>9946552.9282091726</v>
      </c>
      <c r="DR82" s="18">
        <f ca="1">'Monthly Data'!N82</f>
        <v>22144788.873658702</v>
      </c>
      <c r="DS82" s="4">
        <f ca="1">'Monthly Data'!S82</f>
        <v>6410256.2772931</v>
      </c>
      <c r="DT82" s="4">
        <f>'Monthly Data'!V82</f>
        <v>3231896</v>
      </c>
      <c r="DU82" s="18">
        <f t="shared" si="86"/>
        <v>40614522.378538944</v>
      </c>
      <c r="DV82" s="18">
        <f t="shared" si="87"/>
        <v>10037343.497195935</v>
      </c>
      <c r="DW82" s="18">
        <f t="shared" si="88"/>
        <v>25161190.089391645</v>
      </c>
      <c r="DX82" s="18">
        <f t="shared" si="89"/>
        <v>7470209.9875135096</v>
      </c>
      <c r="DY82" s="18">
        <f t="shared" si="90"/>
        <v>3228417.334374343</v>
      </c>
      <c r="EK82" s="1" t="s">
        <v>158</v>
      </c>
      <c r="EL82" s="1">
        <v>36.846544519496099</v>
      </c>
      <c r="EM82" s="1" t="s">
        <v>159</v>
      </c>
      <c r="EN82" s="274">
        <v>4.08861166859954E-13</v>
      </c>
      <c r="ER82" s="24">
        <f ca="1">'Monthly Data'!F82/'Monthly Data'!G82/'Monthly Data'!CD82</f>
        <v>28.85499895038236</v>
      </c>
      <c r="ES82" s="259">
        <f ca="1">'Monthly Data'!J82/'Monthly Data'!K82/'Monthly Data'!CD82</f>
        <v>77.411105363912924</v>
      </c>
      <c r="ET82" s="24">
        <f ca="1">'Monthly Data'!N82/'Monthly Data'!P82/'Monthly Data'!CD82</f>
        <v>1372.0439203010349</v>
      </c>
      <c r="EU82" s="24">
        <f>'Monthly Data'!Q82/'Monthly Data'!U82/'Monthly Data'!CD82</f>
        <v>10866.290039990028</v>
      </c>
      <c r="EV82" s="24">
        <f>'Monthly Data'!V82/'Monthly Data'!Z82/'Monthly Data'!CD82</f>
        <v>107729.86666666667</v>
      </c>
      <c r="EW82" s="24"/>
      <c r="FG82" s="24"/>
    </row>
    <row r="83" spans="1:163" x14ac:dyDescent="0.25">
      <c r="A83" s="3">
        <v>44470</v>
      </c>
      <c r="B83" s="1">
        <f t="shared" si="84"/>
        <v>2021</v>
      </c>
      <c r="C83" s="1">
        <f t="shared" si="85"/>
        <v>10</v>
      </c>
      <c r="D83" s="263">
        <v>13.09072580645161</v>
      </c>
      <c r="E83" s="263">
        <v>214.18749999999994</v>
      </c>
      <c r="F83" s="263">
        <v>0</v>
      </c>
      <c r="G83" s="263">
        <v>153.47499999999997</v>
      </c>
      <c r="H83" s="263">
        <v>1.2875000000000014</v>
      </c>
      <c r="I83" s="263">
        <v>108.43333333333334</v>
      </c>
      <c r="J83" s="263">
        <v>18.245833333333344</v>
      </c>
      <c r="K83" s="263">
        <v>72.749999999999986</v>
      </c>
      <c r="L83" s="263">
        <v>44.562500000000028</v>
      </c>
      <c r="M83" s="263">
        <v>44.166666666666664</v>
      </c>
      <c r="N83" s="263">
        <v>77.979166666666686</v>
      </c>
      <c r="O83" s="263">
        <v>22.266666666666666</v>
      </c>
      <c r="P83" s="263">
        <v>118.07916666666668</v>
      </c>
      <c r="Q83" s="263">
        <v>6.6666666666666643</v>
      </c>
      <c r="R83" s="263">
        <v>164.47916666666669</v>
      </c>
      <c r="X83" s="269"/>
      <c r="CN83" s="414"/>
      <c r="CO83" s="269"/>
      <c r="CP83" s="269"/>
      <c r="CQ83" s="269"/>
      <c r="CR83" s="269"/>
      <c r="CS83" s="269"/>
      <c r="CT83" s="269"/>
      <c r="CU83" s="269"/>
      <c r="CV83" s="269"/>
      <c r="CW83" s="269"/>
      <c r="CX83" s="269"/>
      <c r="CY83" s="269"/>
      <c r="CZ83" s="269"/>
      <c r="DA83" s="269"/>
      <c r="DB83" s="269"/>
      <c r="DP83" s="18">
        <f ca="1">'Monthly Data'!F83</f>
        <v>36826483.568265937</v>
      </c>
      <c r="DQ83" s="18">
        <f ca="1">'Monthly Data'!J83</f>
        <v>9633925.5435520504</v>
      </c>
      <c r="DR83" s="18">
        <f ca="1">'Monthly Data'!N83</f>
        <v>26549272.757541277</v>
      </c>
      <c r="DS83" s="4">
        <f ca="1">'Monthly Data'!S83</f>
        <v>6890337.5874573551</v>
      </c>
      <c r="DT83" s="4">
        <f>'Monthly Data'!V83</f>
        <v>3100549</v>
      </c>
      <c r="DU83" s="18">
        <f t="shared" si="86"/>
        <v>37642647.670567647</v>
      </c>
      <c r="DV83" s="18">
        <f t="shared" si="87"/>
        <v>9850309.3343152888</v>
      </c>
      <c r="DW83" s="18">
        <f t="shared" si="88"/>
        <v>24489306.755457599</v>
      </c>
      <c r="DX83" s="18">
        <f t="shared" si="89"/>
        <v>7115429.9061947037</v>
      </c>
      <c r="DY83" s="18">
        <f t="shared" si="90"/>
        <v>3167432.5303534297</v>
      </c>
      <c r="EK83" s="1" t="s">
        <v>160</v>
      </c>
      <c r="EL83" s="1">
        <v>-4.25173978384977E-2</v>
      </c>
      <c r="EM83" s="1" t="s">
        <v>161</v>
      </c>
      <c r="EN83" s="1">
        <v>2.0839869346193498</v>
      </c>
      <c r="ER83" s="24">
        <f ca="1">'Monthly Data'!F83/'Monthly Data'!G83/'Monthly Data'!CD83</f>
        <v>21.529043347057545</v>
      </c>
      <c r="ES83" s="259">
        <f ca="1">'Monthly Data'!J83/'Monthly Data'!K83/'Monthly Data'!CD83</f>
        <v>72.576317544952246</v>
      </c>
      <c r="ET83" s="24">
        <f ca="1">'Monthly Data'!N83/'Monthly Data'!P83/'Monthly Data'!CD83</f>
        <v>1585.9780619797657</v>
      </c>
      <c r="EU83" s="24">
        <f>'Monthly Data'!Q83/'Monthly Data'!U83/'Monthly Data'!CD83</f>
        <v>11425.159157634547</v>
      </c>
      <c r="EV83" s="24">
        <f>'Monthly Data'!V83/'Monthly Data'!Z83/'Monthly Data'!CD83</f>
        <v>100017.70967741935</v>
      </c>
      <c r="EW83" s="24"/>
      <c r="FG83" s="24"/>
    </row>
    <row r="84" spans="1:163" x14ac:dyDescent="0.25">
      <c r="A84" s="3">
        <v>44501</v>
      </c>
      <c r="B84" s="1">
        <f t="shared" si="84"/>
        <v>2021</v>
      </c>
      <c r="C84" s="1">
        <f t="shared" si="85"/>
        <v>11</v>
      </c>
      <c r="D84" s="263">
        <v>3.122913216011042</v>
      </c>
      <c r="E84" s="263">
        <v>506.31260351966881</v>
      </c>
      <c r="F84" s="263">
        <v>0</v>
      </c>
      <c r="G84" s="263">
        <v>446.3126035196687</v>
      </c>
      <c r="H84" s="263">
        <v>0</v>
      </c>
      <c r="I84" s="263">
        <v>386.3126035196687</v>
      </c>
      <c r="J84" s="263">
        <v>0</v>
      </c>
      <c r="K84" s="263">
        <v>326.31260351966864</v>
      </c>
      <c r="L84" s="263">
        <v>0</v>
      </c>
      <c r="M84" s="263">
        <v>266.31260351966876</v>
      </c>
      <c r="N84" s="263">
        <v>0</v>
      </c>
      <c r="O84" s="263">
        <v>206.31260351966876</v>
      </c>
      <c r="P84" s="263">
        <v>0</v>
      </c>
      <c r="Q84" s="263">
        <v>148.50427018633536</v>
      </c>
      <c r="R84" s="263">
        <v>2.1916666666666682</v>
      </c>
      <c r="X84" s="269"/>
      <c r="CN84" s="414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P84" s="18">
        <f ca="1">'Monthly Data'!F84</f>
        <v>39499510.438780338</v>
      </c>
      <c r="DQ84" s="18">
        <f ca="1">'Monthly Data'!J84</f>
        <v>10325575.805831861</v>
      </c>
      <c r="DR84" s="18">
        <f ca="1">'Monthly Data'!N84</f>
        <v>26220542.418517999</v>
      </c>
      <c r="DS84" s="4">
        <f ca="1">'Monthly Data'!S84</f>
        <v>6745645.0199029651</v>
      </c>
      <c r="DT84" s="4">
        <f>'Monthly Data'!V84</f>
        <v>3042708</v>
      </c>
      <c r="DU84" s="18">
        <f t="shared" si="86"/>
        <v>39989428.692744821</v>
      </c>
      <c r="DV84" s="18">
        <f t="shared" si="87"/>
        <v>10805610.052242439</v>
      </c>
      <c r="DW84" s="18">
        <f t="shared" si="88"/>
        <v>26959425.885658644</v>
      </c>
      <c r="DX84" s="18">
        <f t="shared" si="89"/>
        <v>6835275.4620299218</v>
      </c>
      <c r="DY84" s="18">
        <f t="shared" si="90"/>
        <v>3153097.0342337796</v>
      </c>
      <c r="ER84" s="24">
        <f ca="1">'Monthly Data'!F84/'Monthly Data'!G84/'Monthly Data'!CD84</f>
        <v>23.794169114653375</v>
      </c>
      <c r="ES84" s="259">
        <f ca="1">'Monthly Data'!J84/'Monthly Data'!K84/'Monthly Data'!CD84</f>
        <v>80.398472364960369</v>
      </c>
      <c r="ET84" s="24">
        <f ca="1">'Monthly Data'!N84/'Monthly Data'!P84/'Monthly Data'!CD84</f>
        <v>1615.5602229524338</v>
      </c>
      <c r="EU84" s="24">
        <f>'Monthly Data'!Q84/'Monthly Data'!U84/'Monthly Data'!CD84</f>
        <v>11520.658733398541</v>
      </c>
      <c r="EV84" s="24">
        <f>'Monthly Data'!V84/'Monthly Data'!Z84/'Monthly Data'!CD84</f>
        <v>101423.6</v>
      </c>
      <c r="EW84" s="24"/>
      <c r="FG84" s="24"/>
    </row>
    <row r="85" spans="1:163" x14ac:dyDescent="0.25">
      <c r="A85" s="3">
        <v>44531</v>
      </c>
      <c r="B85" s="1">
        <f t="shared" si="84"/>
        <v>2021</v>
      </c>
      <c r="C85" s="1">
        <f t="shared" si="85"/>
        <v>12</v>
      </c>
      <c r="D85" s="263">
        <v>0.80497311827956974</v>
      </c>
      <c r="E85" s="263">
        <v>595.04583333333335</v>
      </c>
      <c r="F85" s="263">
        <v>0</v>
      </c>
      <c r="G85" s="263">
        <v>533.04583333333346</v>
      </c>
      <c r="H85" s="263">
        <v>0</v>
      </c>
      <c r="I85" s="263">
        <v>471.04583333333335</v>
      </c>
      <c r="J85" s="263">
        <v>0</v>
      </c>
      <c r="K85" s="263">
        <v>409.04583333333335</v>
      </c>
      <c r="L85" s="263">
        <v>0</v>
      </c>
      <c r="M85" s="263">
        <v>347.04583333333335</v>
      </c>
      <c r="N85" s="263">
        <v>0</v>
      </c>
      <c r="O85" s="263">
        <v>285.45833333333331</v>
      </c>
      <c r="P85" s="263">
        <v>0.41249999999999964</v>
      </c>
      <c r="Q85" s="263">
        <v>225.45833333333331</v>
      </c>
      <c r="R85" s="263">
        <v>2.4124999999999996</v>
      </c>
      <c r="X85" s="269"/>
      <c r="CO85" s="414"/>
      <c r="CP85" s="414"/>
      <c r="DP85" s="18">
        <f ca="1">'Monthly Data'!F85</f>
        <v>45672744.360261507</v>
      </c>
      <c r="DQ85" s="18">
        <f ca="1">'Monthly Data'!J85</f>
        <v>12083532.655526424</v>
      </c>
      <c r="DR85" s="18">
        <f ca="1">'Monthly Data'!N85</f>
        <v>31156263.187342376</v>
      </c>
      <c r="DS85" s="4">
        <f ca="1">'Monthly Data'!S85</f>
        <v>6129735.4379778169</v>
      </c>
      <c r="DT85" s="4">
        <f>'Monthly Data'!V85</f>
        <v>3065363</v>
      </c>
      <c r="DU85" s="18">
        <f t="shared" si="86"/>
        <v>42544441.981969289</v>
      </c>
      <c r="DV85" s="18">
        <f t="shared" si="87"/>
        <v>11279509.86065359</v>
      </c>
      <c r="DW85" s="18">
        <f t="shared" si="88"/>
        <v>28545465.463989984</v>
      </c>
      <c r="DX85" s="18">
        <f t="shared" si="89"/>
        <v>6849218.2859665342</v>
      </c>
      <c r="DY85" s="18">
        <f t="shared" si="90"/>
        <v>3170368.1541332901</v>
      </c>
      <c r="EK85" s="1" t="s">
        <v>162</v>
      </c>
      <c r="ER85" s="24">
        <f ca="1">'Monthly Data'!F85/'Monthly Data'!G85/'Monthly Data'!CD85</f>
        <v>26.617664255424184</v>
      </c>
      <c r="ES85" s="259">
        <f ca="1">'Monthly Data'!J85/'Monthly Data'!K85/'Monthly Data'!CD85</f>
        <v>91.136632215273167</v>
      </c>
      <c r="ET85" s="24">
        <f ca="1">'Monthly Data'!N85/'Monthly Data'!P85/'Monthly Data'!CD85</f>
        <v>1837.3688262866294</v>
      </c>
      <c r="EU85" s="24">
        <f>'Monthly Data'!Q85/'Monthly Data'!U85/'Monthly Data'!CD85</f>
        <v>9978.7400713896495</v>
      </c>
      <c r="EV85" s="24">
        <f>'Monthly Data'!V85/'Monthly Data'!Z85/'Monthly Data'!CD85</f>
        <v>98882.677419354834</v>
      </c>
      <c r="EW85" s="24"/>
      <c r="FG85" s="24"/>
    </row>
    <row r="86" spans="1:163" x14ac:dyDescent="0.25">
      <c r="A86" s="3">
        <v>44562</v>
      </c>
      <c r="B86" s="1">
        <f t="shared" si="84"/>
        <v>2022</v>
      </c>
      <c r="C86" s="1">
        <f t="shared" si="85"/>
        <v>1</v>
      </c>
      <c r="D86" s="263">
        <v>-8.6287634408602152</v>
      </c>
      <c r="E86" s="263">
        <v>887.49166666666656</v>
      </c>
      <c r="F86" s="263">
        <v>0</v>
      </c>
      <c r="G86" s="263">
        <v>825.49166666666656</v>
      </c>
      <c r="H86" s="263">
        <v>0</v>
      </c>
      <c r="I86" s="263">
        <v>763.49166666666656</v>
      </c>
      <c r="J86" s="263">
        <v>0</v>
      </c>
      <c r="K86" s="263">
        <v>701.49166666666656</v>
      </c>
      <c r="L86" s="263">
        <v>0</v>
      </c>
      <c r="M86" s="263">
        <v>639.49166666666679</v>
      </c>
      <c r="N86" s="263">
        <v>0</v>
      </c>
      <c r="O86" s="263">
        <v>577.49166666666656</v>
      </c>
      <c r="P86" s="263">
        <v>0</v>
      </c>
      <c r="Q86" s="263">
        <v>515.49166666666679</v>
      </c>
      <c r="R86" s="263">
        <v>0</v>
      </c>
      <c r="X86" s="269"/>
      <c r="DP86" s="18">
        <f ca="1">'Monthly Data'!F86</f>
        <v>51393450.856421806</v>
      </c>
      <c r="DQ86" s="18">
        <f ca="1">'Monthly Data'!J86</f>
        <v>12661457.120738978</v>
      </c>
      <c r="DR86" s="18">
        <f ca="1">'Monthly Data'!N86</f>
        <v>35176801.96527338</v>
      </c>
      <c r="DS86" s="4">
        <f ca="1">'Monthly Data'!S86</f>
        <v>6908368.2735126922</v>
      </c>
      <c r="DT86" s="4">
        <f>'Monthly Data'!V86</f>
        <v>3019557</v>
      </c>
      <c r="DU86" s="18">
        <f t="shared" si="86"/>
        <v>51575915.698490098</v>
      </c>
      <c r="DV86" s="18">
        <f t="shared" si="87"/>
        <v>12915114.034979023</v>
      </c>
      <c r="DW86" s="18">
        <f t="shared" si="88"/>
        <v>34397662.745500527</v>
      </c>
      <c r="DX86" s="18">
        <f t="shared" si="89"/>
        <v>6899724.3882812038</v>
      </c>
      <c r="DY86" s="18">
        <f t="shared" si="90"/>
        <v>3232930.5842908588</v>
      </c>
      <c r="EK86" s="1" t="s">
        <v>163</v>
      </c>
      <c r="EL86" s="1">
        <v>7280463.8216159698</v>
      </c>
      <c r="EM86" s="1" t="s">
        <v>164</v>
      </c>
      <c r="EN86" s="1">
        <v>876995.77145982697</v>
      </c>
      <c r="ER86" s="24">
        <f ca="1">'Monthly Data'!F86/'Monthly Data'!G86/'Monthly Data'!CD86</f>
        <v>29.988482054753931</v>
      </c>
      <c r="ES86" s="259">
        <f ca="1">'Monthly Data'!J86/'Monthly Data'!K86/'Monthly Data'!CD86</f>
        <v>95.250489894822593</v>
      </c>
      <c r="ET86" s="24">
        <f ca="1">'Monthly Data'!N86/'Monthly Data'!P86/'Monthly Data'!CD86</f>
        <v>2074.4708359540828</v>
      </c>
      <c r="EU86" s="24">
        <f>'Monthly Data'!Q86/'Monthly Data'!U86/'Monthly Data'!CD86</f>
        <v>10795.763260648249</v>
      </c>
      <c r="EV86" s="24">
        <f>'Monthly Data'!V86/'Monthly Data'!Z86/'Monthly Data'!CD86</f>
        <v>97405.06451612903</v>
      </c>
      <c r="EW86" s="24"/>
      <c r="FG86" s="24"/>
    </row>
    <row r="87" spans="1:163" x14ac:dyDescent="0.25">
      <c r="A87" s="3">
        <v>44593</v>
      </c>
      <c r="B87" s="1">
        <f t="shared" si="84"/>
        <v>2022</v>
      </c>
      <c r="C87" s="1">
        <f t="shared" si="85"/>
        <v>2</v>
      </c>
      <c r="D87" s="263">
        <v>-4.7446428571428587</v>
      </c>
      <c r="E87" s="263">
        <v>692.85</v>
      </c>
      <c r="F87" s="263">
        <v>0</v>
      </c>
      <c r="G87" s="263">
        <v>636.84999999999991</v>
      </c>
      <c r="H87" s="263">
        <v>0</v>
      </c>
      <c r="I87" s="263">
        <v>580.84999999999991</v>
      </c>
      <c r="J87" s="263">
        <v>0</v>
      </c>
      <c r="K87" s="263">
        <v>524.84999999999991</v>
      </c>
      <c r="L87" s="263">
        <v>0</v>
      </c>
      <c r="M87" s="263">
        <v>468.84999999999991</v>
      </c>
      <c r="N87" s="263">
        <v>0</v>
      </c>
      <c r="O87" s="263">
        <v>412.84999999999991</v>
      </c>
      <c r="P87" s="263">
        <v>0</v>
      </c>
      <c r="Q87" s="263">
        <v>356.85</v>
      </c>
      <c r="R87" s="263">
        <v>0</v>
      </c>
      <c r="DP87" s="18">
        <f ca="1">'Monthly Data'!F87</f>
        <v>45926797.99056749</v>
      </c>
      <c r="DQ87" s="18">
        <f ca="1">'Monthly Data'!J87</f>
        <v>11636323.473382473</v>
      </c>
      <c r="DR87" s="18">
        <f ca="1">'Monthly Data'!N87</f>
        <v>33408771.139714204</v>
      </c>
      <c r="DS87" s="4">
        <f ca="1">'Monthly Data'!S87</f>
        <v>7161065.1241702577</v>
      </c>
      <c r="DT87" s="4">
        <f>'Monthly Data'!V87</f>
        <v>2697106</v>
      </c>
      <c r="DU87" s="18">
        <f t="shared" si="86"/>
        <v>46120770.205191009</v>
      </c>
      <c r="DV87" s="18">
        <f t="shared" si="87"/>
        <v>11893627.529253162</v>
      </c>
      <c r="DW87" s="18">
        <f t="shared" si="88"/>
        <v>31098328.717113249</v>
      </c>
      <c r="DX87" s="18">
        <f t="shared" si="89"/>
        <v>6870254.1599740395</v>
      </c>
      <c r="DY87" s="18">
        <f t="shared" si="90"/>
        <v>3196425.5083555281</v>
      </c>
      <c r="ER87" s="24">
        <f ca="1">'Monthly Data'!F87/'Monthly Data'!G87/'Monthly Data'!CD87</f>
        <v>29.682817014014194</v>
      </c>
      <c r="ES87" s="259">
        <f ca="1">'Monthly Data'!J87/'Monthly Data'!K87/'Monthly Data'!CD87</f>
        <v>96.782249928325854</v>
      </c>
      <c r="ET87" s="24">
        <f ca="1">'Monthly Data'!N87/'Monthly Data'!P87/'Monthly Data'!CD87</f>
        <v>2185.293768950432</v>
      </c>
      <c r="EU87" s="24">
        <f>'Monthly Data'!Q87/'Monthly Data'!U87/'Monthly Data'!CD87</f>
        <v>12449.083524433197</v>
      </c>
      <c r="EV87" s="24">
        <f>'Monthly Data'!V87/'Monthly Data'!Z87/'Monthly Data'!CD87</f>
        <v>96325.21428571429</v>
      </c>
      <c r="EW87" s="24"/>
      <c r="FG87" s="24"/>
    </row>
    <row r="88" spans="1:163" x14ac:dyDescent="0.25">
      <c r="A88" s="3">
        <v>44621</v>
      </c>
      <c r="B88" s="1">
        <f t="shared" si="84"/>
        <v>2022</v>
      </c>
      <c r="C88" s="1">
        <f t="shared" si="85"/>
        <v>3</v>
      </c>
      <c r="D88" s="263">
        <v>0.42836021505376332</v>
      </c>
      <c r="E88" s="263">
        <v>606.7208333333333</v>
      </c>
      <c r="F88" s="263">
        <v>0</v>
      </c>
      <c r="G88" s="263">
        <v>544.7208333333333</v>
      </c>
      <c r="H88" s="263">
        <v>0</v>
      </c>
      <c r="I88" s="263">
        <v>482.72083333333353</v>
      </c>
      <c r="J88" s="263">
        <v>0</v>
      </c>
      <c r="K88" s="263">
        <v>420.72083333333353</v>
      </c>
      <c r="L88" s="263">
        <v>0</v>
      </c>
      <c r="M88" s="263">
        <v>358.72083333333347</v>
      </c>
      <c r="N88" s="263">
        <v>0</v>
      </c>
      <c r="O88" s="263">
        <v>296.72083333333336</v>
      </c>
      <c r="P88" s="263">
        <v>0</v>
      </c>
      <c r="Q88" s="263">
        <v>236.04166666666666</v>
      </c>
      <c r="R88" s="263">
        <v>1.3208333333333311</v>
      </c>
      <c r="DP88" s="18">
        <f ca="1">'Monthly Data'!F88</f>
        <v>48810308.762926959</v>
      </c>
      <c r="DQ88" s="18">
        <f ca="1">'Monthly Data'!J88</f>
        <v>11910788.05307324</v>
      </c>
      <c r="DR88" s="18">
        <f ca="1">'Monthly Data'!N88</f>
        <v>30298393.215115838</v>
      </c>
      <c r="DS88" s="4">
        <f ca="1">'Monthly Data'!S88</f>
        <v>7060294.2042749701</v>
      </c>
      <c r="DT88" s="4">
        <f>'Monthly Data'!V88</f>
        <v>3147951</v>
      </c>
      <c r="DU88" s="18">
        <f t="shared" si="86"/>
        <v>42904995.77902133</v>
      </c>
      <c r="DV88" s="18">
        <f t="shared" si="87"/>
        <v>11344806.324335754</v>
      </c>
      <c r="DW88" s="18">
        <f t="shared" si="88"/>
        <v>28771160.151410416</v>
      </c>
      <c r="DX88" s="18">
        <f t="shared" si="89"/>
        <v>6851234.5866872622</v>
      </c>
      <c r="DY88" s="18">
        <f t="shared" si="90"/>
        <v>3172865.7666441756</v>
      </c>
      <c r="EK88" s="1" t="s">
        <v>184</v>
      </c>
      <c r="ER88" s="24">
        <f ca="1">'Monthly Data'!F88/'Monthly Data'!G88/'Monthly Data'!CD88</f>
        <v>28.385694516336621</v>
      </c>
      <c r="ES88" s="259">
        <f ca="1">'Monthly Data'!J88/'Monthly Data'!K88/'Monthly Data'!CD88</f>
        <v>89.707907880918867</v>
      </c>
      <c r="ET88" s="24">
        <f ca="1">'Monthly Data'!N88/'Monthly Data'!P88/'Monthly Data'!CD88</f>
        <v>1783.5173778617752</v>
      </c>
      <c r="EU88" s="24">
        <f>'Monthly Data'!Q88/'Monthly Data'!U88/'Monthly Data'!CD88</f>
        <v>11059.448965294059</v>
      </c>
      <c r="EV88" s="24">
        <f>'Monthly Data'!V88/'Monthly Data'!Z88/'Monthly Data'!CD88</f>
        <v>101546.80645161291</v>
      </c>
      <c r="EW88" s="24"/>
      <c r="FG88" s="24"/>
    </row>
    <row r="89" spans="1:163" x14ac:dyDescent="0.25">
      <c r="A89" s="3">
        <v>44652</v>
      </c>
      <c r="B89" s="1">
        <f t="shared" si="84"/>
        <v>2022</v>
      </c>
      <c r="C89" s="1">
        <f t="shared" si="85"/>
        <v>4</v>
      </c>
      <c r="D89" s="263">
        <v>6.1888888888888882</v>
      </c>
      <c r="E89" s="263">
        <v>414.33333333333331</v>
      </c>
      <c r="F89" s="263">
        <v>0</v>
      </c>
      <c r="G89" s="263">
        <v>354.33333333333331</v>
      </c>
      <c r="H89" s="263">
        <v>0</v>
      </c>
      <c r="I89" s="263">
        <v>294.33333333333337</v>
      </c>
      <c r="J89" s="263">
        <v>0</v>
      </c>
      <c r="K89" s="263">
        <v>234.33333333333331</v>
      </c>
      <c r="L89" s="263">
        <v>0</v>
      </c>
      <c r="M89" s="263">
        <v>176.58749999999998</v>
      </c>
      <c r="N89" s="263">
        <v>2.2541666666666629</v>
      </c>
      <c r="O89" s="263">
        <v>123.04166666666666</v>
      </c>
      <c r="P89" s="263">
        <v>8.7083333333333286</v>
      </c>
      <c r="Q89" s="263">
        <v>75.575000000000003</v>
      </c>
      <c r="R89" s="263">
        <v>21.24166666666666</v>
      </c>
      <c r="DP89" s="18">
        <f ca="1">'Monthly Data'!F89</f>
        <v>41007387.697194375</v>
      </c>
      <c r="DQ89" s="18">
        <f ca="1">'Monthly Data'!J89</f>
        <v>10242680.969626591</v>
      </c>
      <c r="DR89" s="18">
        <f ca="1">'Monthly Data'!N89</f>
        <v>27521169.928174544</v>
      </c>
      <c r="DS89" s="4">
        <f ca="1">'Monthly Data'!S89</f>
        <v>6937129.8462657398</v>
      </c>
      <c r="DT89" s="4">
        <f>'Monthly Data'!V89</f>
        <v>2970947</v>
      </c>
      <c r="DU89" s="18">
        <f t="shared" si="86"/>
        <v>37307398.188612826</v>
      </c>
      <c r="DV89" s="18">
        <f t="shared" si="87"/>
        <v>10291184.264213853</v>
      </c>
      <c r="DW89" s="18">
        <f t="shared" si="88"/>
        <v>25325930.292028166</v>
      </c>
      <c r="DX89" s="18">
        <f t="shared" si="89"/>
        <v>6819779.7197691882</v>
      </c>
      <c r="DY89" s="18">
        <f t="shared" si="90"/>
        <v>3133902.298380143</v>
      </c>
      <c r="EK89" s="1" t="s">
        <v>185</v>
      </c>
      <c r="ER89" s="24">
        <f ca="1">'Monthly Data'!F89/'Monthly Data'!G89/'Monthly Data'!CD89</f>
        <v>24.591841595419773</v>
      </c>
      <c r="ES89" s="259">
        <f ca="1">'Monthly Data'!J89/'Monthly Data'!K89/'Monthly Data'!CD89</f>
        <v>79.697175300549262</v>
      </c>
      <c r="ET89" s="24">
        <f ca="1">'Monthly Data'!N89/'Monthly Data'!P89/'Monthly Data'!CD89</f>
        <v>1695.6974693884501</v>
      </c>
      <c r="EU89" s="24">
        <f>'Monthly Data'!Q89/'Monthly Data'!U89/'Monthly Data'!CD89</f>
        <v>11195.580575629438</v>
      </c>
      <c r="EV89" s="24">
        <f>'Monthly Data'!V89/'Monthly Data'!Z89/'Monthly Data'!CD89</f>
        <v>99031.566666666666</v>
      </c>
      <c r="EW89" s="24"/>
      <c r="FG89" s="24"/>
    </row>
    <row r="90" spans="1:163" x14ac:dyDescent="0.25">
      <c r="A90" s="3">
        <v>44682</v>
      </c>
      <c r="B90" s="1">
        <f t="shared" si="84"/>
        <v>2022</v>
      </c>
      <c r="C90" s="1">
        <f t="shared" si="85"/>
        <v>5</v>
      </c>
      <c r="D90" s="263">
        <v>15.065725806451612</v>
      </c>
      <c r="E90" s="263">
        <v>158.97916666666669</v>
      </c>
      <c r="F90" s="263">
        <v>6.0166666666666657</v>
      </c>
      <c r="G90" s="263">
        <v>109.50833333333333</v>
      </c>
      <c r="H90" s="263">
        <v>18.545833333333334</v>
      </c>
      <c r="I90" s="263">
        <v>70.650000000000006</v>
      </c>
      <c r="J90" s="263">
        <v>41.6875</v>
      </c>
      <c r="K90" s="263">
        <v>39.324999999999996</v>
      </c>
      <c r="L90" s="263">
        <v>72.362499999999997</v>
      </c>
      <c r="M90" s="263">
        <v>14.399999999999993</v>
      </c>
      <c r="N90" s="263">
        <v>109.43749999999997</v>
      </c>
      <c r="O90" s="263">
        <v>0.93333333333333179</v>
      </c>
      <c r="P90" s="263">
        <v>157.97083333333333</v>
      </c>
      <c r="Q90" s="263">
        <v>0</v>
      </c>
      <c r="R90" s="263">
        <v>219.03749999999999</v>
      </c>
      <c r="DP90" s="18">
        <f ca="1">'Monthly Data'!F90</f>
        <v>37087491.951189153</v>
      </c>
      <c r="DQ90" s="18">
        <f ca="1">'Monthly Data'!J90</f>
        <v>10163818.692467652</v>
      </c>
      <c r="DR90" s="18">
        <f ca="1">'Monthly Data'!N90</f>
        <v>25761255.044132829</v>
      </c>
      <c r="DS90" s="4">
        <f ca="1">'Monthly Data'!S90</f>
        <v>7876523.1750036683</v>
      </c>
      <c r="DT90" s="4">
        <f>'Monthly Data'!V90</f>
        <v>3078921</v>
      </c>
      <c r="DU90" s="18">
        <f t="shared" si="86"/>
        <v>38822703.405023031</v>
      </c>
      <c r="DV90" s="18">
        <f t="shared" si="87"/>
        <v>10012571.941715753</v>
      </c>
      <c r="DW90" s="18">
        <f t="shared" si="88"/>
        <v>24553189.791201808</v>
      </c>
      <c r="DX90" s="18">
        <f t="shared" si="89"/>
        <v>7308995.3176613012</v>
      </c>
      <c r="DY90" s="18">
        <f t="shared" si="90"/>
        <v>3199654.7677718764</v>
      </c>
      <c r="EK90" s="1" t="s">
        <v>186</v>
      </c>
      <c r="ER90" s="24">
        <f ca="1">'Monthly Data'!F90/'Monthly Data'!G90/'Monthly Data'!CD90</f>
        <v>21.453407239229566</v>
      </c>
      <c r="ES90" s="259">
        <f ca="1">'Monthly Data'!J90/'Monthly Data'!K90/'Monthly Data'!CD90</f>
        <v>76.425435690410197</v>
      </c>
      <c r="ET90" s="24">
        <f ca="1">'Monthly Data'!N90/'Monthly Data'!P90/'Monthly Data'!CD90</f>
        <v>1538.904124500169</v>
      </c>
      <c r="EU90" s="24">
        <f>'Monthly Data'!Q90/'Monthly Data'!U90/'Monthly Data'!CD90</f>
        <v>12513.64191002306</v>
      </c>
      <c r="EV90" s="24">
        <f>'Monthly Data'!V90/'Monthly Data'!Z90/'Monthly Data'!CD90</f>
        <v>99320.032258064515</v>
      </c>
      <c r="EW90" s="24"/>
      <c r="FG90" s="24"/>
    </row>
    <row r="91" spans="1:163" x14ac:dyDescent="0.25">
      <c r="A91" s="3">
        <v>44713</v>
      </c>
      <c r="B91" s="1">
        <f t="shared" si="84"/>
        <v>2022</v>
      </c>
      <c r="C91" s="1">
        <f t="shared" si="85"/>
        <v>6</v>
      </c>
      <c r="D91" s="263">
        <v>18.03075013875014</v>
      </c>
      <c r="E91" s="263">
        <v>75.529010989011013</v>
      </c>
      <c r="F91" s="263">
        <v>16.451515151515149</v>
      </c>
      <c r="G91" s="263">
        <v>36.166510989010987</v>
      </c>
      <c r="H91" s="263">
        <v>37.089015151515156</v>
      </c>
      <c r="I91" s="263">
        <v>6.1903205128205077</v>
      </c>
      <c r="J91" s="263">
        <v>67.11282467532466</v>
      </c>
      <c r="K91" s="263">
        <v>0</v>
      </c>
      <c r="L91" s="263">
        <v>120.92250416250417</v>
      </c>
      <c r="M91" s="263">
        <v>0</v>
      </c>
      <c r="N91" s="263">
        <v>180.92250416250408</v>
      </c>
      <c r="O91" s="263">
        <v>0</v>
      </c>
      <c r="P91" s="263">
        <v>240.92250416250408</v>
      </c>
      <c r="Q91" s="263">
        <v>0</v>
      </c>
      <c r="R91" s="263">
        <v>300.92250416250414</v>
      </c>
      <c r="X91" s="269"/>
      <c r="CS91" s="414"/>
      <c r="CT91" s="414"/>
      <c r="CU91" s="414"/>
      <c r="DD91" s="414"/>
      <c r="DE91" s="414"/>
      <c r="DP91" s="18">
        <f ca="1">'Monthly Data'!F91</f>
        <v>41601516.495561585</v>
      </c>
      <c r="DQ91" s="18">
        <f ca="1">'Monthly Data'!J91</f>
        <v>10484665.203940179</v>
      </c>
      <c r="DR91" s="18">
        <f ca="1">'Monthly Data'!N91</f>
        <v>27040158.176146176</v>
      </c>
      <c r="DS91" s="4">
        <f ca="1">'Monthly Data'!S91</f>
        <v>8322270.4452530704</v>
      </c>
      <c r="DT91" s="4">
        <f>'Monthly Data'!V91</f>
        <v>3066956</v>
      </c>
      <c r="DU91" s="18">
        <f t="shared" si="86"/>
        <v>42635424.845186099</v>
      </c>
      <c r="DV91" s="18">
        <f t="shared" si="87"/>
        <v>10304612.708157621</v>
      </c>
      <c r="DW91" s="18">
        <f t="shared" si="88"/>
        <v>25651111.258191254</v>
      </c>
      <c r="DX91" s="18">
        <f t="shared" si="89"/>
        <v>7653600.966011215</v>
      </c>
      <c r="DY91" s="18">
        <f t="shared" si="90"/>
        <v>3263982.0697409464</v>
      </c>
      <c r="ER91" s="24">
        <f ca="1">'Monthly Data'!F91/'Monthly Data'!G91/'Monthly Data'!CD91</f>
        <v>24.80976878589329</v>
      </c>
      <c r="ES91" s="259">
        <f ca="1">'Monthly Data'!J91/'Monthly Data'!K91/'Monthly Data'!CD91</f>
        <v>81.16322343969793</v>
      </c>
      <c r="ET91" s="24">
        <f ca="1">'Monthly Data'!N91/'Monthly Data'!P91/'Monthly Data'!CD91</f>
        <v>1666.0602696331594</v>
      </c>
      <c r="EU91" s="24">
        <f>'Monthly Data'!Q91/'Monthly Data'!U91/'Monthly Data'!CD91</f>
        <v>13751.786670846872</v>
      </c>
      <c r="EV91" s="24">
        <f>'Monthly Data'!V91/'Monthly Data'!Z91/'Monthly Data'!CD91</f>
        <v>102231.86666666667</v>
      </c>
      <c r="EW91" s="24"/>
      <c r="FG91" s="24"/>
    </row>
    <row r="92" spans="1:163" x14ac:dyDescent="0.25">
      <c r="A92" s="3">
        <v>44743</v>
      </c>
      <c r="B92" s="1">
        <f t="shared" si="84"/>
        <v>2022</v>
      </c>
      <c r="C92" s="1">
        <f t="shared" si="85"/>
        <v>7</v>
      </c>
      <c r="D92" s="263">
        <v>21.15659155778647</v>
      </c>
      <c r="E92" s="263">
        <v>8.9945652173913082</v>
      </c>
      <c r="F92" s="263">
        <v>44.848903508771912</v>
      </c>
      <c r="G92" s="263">
        <v>0.62083333333333357</v>
      </c>
      <c r="H92" s="263">
        <v>98.475171624713937</v>
      </c>
      <c r="I92" s="263">
        <v>0</v>
      </c>
      <c r="J92" s="263">
        <v>159.8543382913806</v>
      </c>
      <c r="K92" s="263">
        <v>0</v>
      </c>
      <c r="L92" s="263">
        <v>221.8543382913806</v>
      </c>
      <c r="M92" s="263">
        <v>0</v>
      </c>
      <c r="N92" s="263">
        <v>283.8543382913806</v>
      </c>
      <c r="O92" s="263">
        <v>0</v>
      </c>
      <c r="P92" s="263">
        <v>345.85433829138066</v>
      </c>
      <c r="Q92" s="263">
        <v>0</v>
      </c>
      <c r="R92" s="263">
        <v>407.8543382913806</v>
      </c>
      <c r="X92" s="269"/>
      <c r="CS92" s="414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269"/>
      <c r="DF92" s="269"/>
      <c r="DG92" s="269"/>
      <c r="DP92" s="18">
        <f ca="1">'Monthly Data'!F92</f>
        <v>50131950.701144941</v>
      </c>
      <c r="DQ92" s="18">
        <f ca="1">'Monthly Data'!J92</f>
        <v>11721265.66598122</v>
      </c>
      <c r="DR92" s="18">
        <f ca="1">'Monthly Data'!N92</f>
        <v>30484938.389494199</v>
      </c>
      <c r="DS92" s="4">
        <f ca="1">'Monthly Data'!S92</f>
        <v>8827559.3099206332</v>
      </c>
      <c r="DT92" s="4">
        <f>'Monthly Data'!V92</f>
        <v>2783162</v>
      </c>
      <c r="DU92" s="18">
        <f t="shared" si="86"/>
        <v>49874098.719624922</v>
      </c>
      <c r="DV92" s="18">
        <f t="shared" si="87"/>
        <v>11626322.374257168</v>
      </c>
      <c r="DW92" s="18">
        <f t="shared" si="88"/>
        <v>27258948.581797622</v>
      </c>
      <c r="DX92" s="18">
        <f t="shared" si="89"/>
        <v>8375031.8970041983</v>
      </c>
      <c r="DY92" s="18">
        <f t="shared" si="90"/>
        <v>3404089.138734017</v>
      </c>
      <c r="EL92" s="1" t="s">
        <v>148</v>
      </c>
      <c r="EM92" s="1" t="s">
        <v>149</v>
      </c>
      <c r="EN92" s="1" t="s">
        <v>150</v>
      </c>
      <c r="EO92" s="1" t="s">
        <v>151</v>
      </c>
      <c r="ER92" s="24">
        <f ca="1">'Monthly Data'!F92/'Monthly Data'!G92/'Monthly Data'!CD92</f>
        <v>29.003707158508053</v>
      </c>
      <c r="ES92" s="259">
        <f ca="1">'Monthly Data'!J92/'Monthly Data'!K92/'Monthly Data'!CD92</f>
        <v>87.727458019468756</v>
      </c>
      <c r="ET92" s="24">
        <f ca="1">'Monthly Data'!N92/'Monthly Data'!P92/'Monthly Data'!CD92</f>
        <v>1817.7173924926478</v>
      </c>
      <c r="EU92" s="24">
        <f>'Monthly Data'!Q92/'Monthly Data'!U92/'Monthly Data'!CD92</f>
        <v>14209.424754731031</v>
      </c>
      <c r="EV92" s="24">
        <f>'Monthly Data'!V92/'Monthly Data'!Z92/'Monthly Data'!CD92</f>
        <v>89779.419354838712</v>
      </c>
      <c r="EW92" s="24"/>
      <c r="FG92" s="24"/>
    </row>
    <row r="93" spans="1:163" x14ac:dyDescent="0.25">
      <c r="A93" s="3">
        <v>44774</v>
      </c>
      <c r="B93" s="1">
        <f t="shared" si="84"/>
        <v>2022</v>
      </c>
      <c r="C93" s="1">
        <f t="shared" si="85"/>
        <v>8</v>
      </c>
      <c r="D93" s="263">
        <v>21.363978494623655</v>
      </c>
      <c r="E93" s="263">
        <v>7.3916666666666764</v>
      </c>
      <c r="F93" s="263">
        <v>49.674999999999997</v>
      </c>
      <c r="G93" s="263">
        <v>0.76250000000000284</v>
      </c>
      <c r="H93" s="263">
        <v>105.04583333333332</v>
      </c>
      <c r="I93" s="263">
        <v>0</v>
      </c>
      <c r="J93" s="263">
        <v>166.28333333333327</v>
      </c>
      <c r="K93" s="263">
        <v>0</v>
      </c>
      <c r="L93" s="263">
        <v>228.28333333333333</v>
      </c>
      <c r="M93" s="263">
        <v>0</v>
      </c>
      <c r="N93" s="263">
        <v>290.28333333333336</v>
      </c>
      <c r="O93" s="263">
        <v>0</v>
      </c>
      <c r="P93" s="263">
        <v>352.28333333333342</v>
      </c>
      <c r="Q93" s="263">
        <v>0</v>
      </c>
      <c r="R93" s="263">
        <v>414.28333333333336</v>
      </c>
      <c r="X93" s="269"/>
      <c r="CS93" s="414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269"/>
      <c r="DF93" s="269"/>
      <c r="DG93" s="269"/>
      <c r="DP93" s="18">
        <f ca="1">'Monthly Data'!F93</f>
        <v>54577182.915429443</v>
      </c>
      <c r="DQ93" s="18">
        <f ca="1">'Monthly Data'!J93</f>
        <v>12184861.329755293</v>
      </c>
      <c r="DR93" s="18">
        <f ca="1">'Monthly Data'!N93</f>
        <v>28259452.094492789</v>
      </c>
      <c r="DS93" s="4">
        <f ca="1">'Monthly Data'!S93</f>
        <v>8328062.3203116339</v>
      </c>
      <c r="DT93" s="4">
        <f>'Monthly Data'!V93</f>
        <v>2720948</v>
      </c>
      <c r="DU93" s="18">
        <f t="shared" si="86"/>
        <v>50326217.336211629</v>
      </c>
      <c r="DV93" s="18">
        <f t="shared" si="87"/>
        <v>11712715.794447161</v>
      </c>
      <c r="DW93" s="18">
        <f t="shared" si="88"/>
        <v>27359372.112274982</v>
      </c>
      <c r="DX93" s="18">
        <f t="shared" si="89"/>
        <v>8420984.4541780129</v>
      </c>
      <c r="DY93" s="18">
        <f t="shared" si="90"/>
        <v>3413013.4554243176</v>
      </c>
      <c r="EK93" s="1" t="s">
        <v>152</v>
      </c>
      <c r="EL93" s="1">
        <v>3096125.2406271701</v>
      </c>
      <c r="EM93" s="1">
        <v>104854.742802516</v>
      </c>
      <c r="EN93" s="1">
        <v>29.5277558065108</v>
      </c>
      <c r="EO93" s="274">
        <v>8.7280497178398108E-56</v>
      </c>
      <c r="ER93" s="24">
        <f ca="1">'Monthly Data'!F93/'Monthly Data'!G93/'Monthly Data'!CD93</f>
        <v>31.460379328362578</v>
      </c>
      <c r="ES93" s="259">
        <f ca="1">'Monthly Data'!J93/'Monthly Data'!K93/'Monthly Data'!CD93</f>
        <v>91.197225729775411</v>
      </c>
      <c r="ET93" s="24">
        <f ca="1">'Monthly Data'!N93/'Monthly Data'!P93/'Monthly Data'!CD93</f>
        <v>1681.9100163369117</v>
      </c>
      <c r="EU93" s="24">
        <f>'Monthly Data'!Q93/'Monthly Data'!U93/'Monthly Data'!CD93</f>
        <v>13309.977365136125</v>
      </c>
      <c r="EV93" s="24">
        <f>'Monthly Data'!V93/'Monthly Data'!Z93/'Monthly Data'!CD93</f>
        <v>87772.516129032258</v>
      </c>
      <c r="EW93" s="24"/>
      <c r="FG93" s="24"/>
    </row>
    <row r="94" spans="1:163" x14ac:dyDescent="0.25">
      <c r="A94" s="3">
        <v>44805</v>
      </c>
      <c r="B94" s="1">
        <f t="shared" si="84"/>
        <v>2022</v>
      </c>
      <c r="C94" s="1">
        <f t="shared" si="85"/>
        <v>9</v>
      </c>
      <c r="D94" s="263">
        <v>16.37402777777778</v>
      </c>
      <c r="E94" s="263">
        <v>111.79166666666666</v>
      </c>
      <c r="F94" s="263">
        <v>3.0124999999999957</v>
      </c>
      <c r="G94" s="263">
        <v>71.412499999999994</v>
      </c>
      <c r="H94" s="263">
        <v>22.633333333333329</v>
      </c>
      <c r="I94" s="263">
        <v>45.029166666666661</v>
      </c>
      <c r="J94" s="263">
        <v>56.250000000000007</v>
      </c>
      <c r="K94" s="263">
        <v>22.833333333333329</v>
      </c>
      <c r="L94" s="263">
        <v>94.054166666666674</v>
      </c>
      <c r="M94" s="263">
        <v>8.5708333333333329</v>
      </c>
      <c r="N94" s="263">
        <v>139.79166666666663</v>
      </c>
      <c r="O94" s="263">
        <v>2.1000000000000014</v>
      </c>
      <c r="P94" s="263">
        <v>193.32083333333327</v>
      </c>
      <c r="Q94" s="263">
        <v>0</v>
      </c>
      <c r="R94" s="263">
        <v>251.2208333333333</v>
      </c>
      <c r="X94" s="269"/>
      <c r="CS94" s="414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P94" s="18">
        <f ca="1">'Monthly Data'!F94</f>
        <v>45526290.729115523</v>
      </c>
      <c r="DQ94" s="18">
        <f ca="1">'Monthly Data'!J94</f>
        <v>10446268.078779444</v>
      </c>
      <c r="DR94" s="18">
        <f ca="1">'Monthly Data'!N94</f>
        <v>27495717.611174747</v>
      </c>
      <c r="DS94" s="4">
        <f ca="1">'Monthly Data'!S94</f>
        <v>8119499.6764864782</v>
      </c>
      <c r="DT94" s="4">
        <f>'Monthly Data'!V94</f>
        <v>2739776</v>
      </c>
      <c r="DU94" s="18">
        <f t="shared" si="86"/>
        <v>40448053.248360656</v>
      </c>
      <c r="DV94" s="18">
        <f t="shared" si="87"/>
        <v>10160773.185684757</v>
      </c>
      <c r="DW94" s="18">
        <f t="shared" si="88"/>
        <v>25050713.68001584</v>
      </c>
      <c r="DX94" s="18">
        <f t="shared" si="89"/>
        <v>7463034.2312223688</v>
      </c>
      <c r="DY94" s="18">
        <f t="shared" si="90"/>
        <v>3228518.7183016688</v>
      </c>
      <c r="EK94" s="1" t="s">
        <v>63</v>
      </c>
      <c r="EL94" s="1">
        <v>213.92826645698599</v>
      </c>
      <c r="EM94" s="1">
        <v>221.71079100620699</v>
      </c>
      <c r="EN94" s="1">
        <v>0.96489785402911399</v>
      </c>
      <c r="EO94" s="1">
        <v>0.33660324885627202</v>
      </c>
      <c r="ER94" s="24">
        <f ca="1">'Monthly Data'!F94/'Monthly Data'!G94/'Monthly Data'!CD94</f>
        <v>27.095595627401053</v>
      </c>
      <c r="ES94" s="259">
        <f ca="1">'Monthly Data'!J94/'Monthly Data'!K94/'Monthly Data'!CD94</f>
        <v>80.65993420414982</v>
      </c>
      <c r="ET94" s="24">
        <f ca="1">'Monthly Data'!N94/'Monthly Data'!P94/'Monthly Data'!CD94</f>
        <v>1691.0035431226781</v>
      </c>
      <c r="EU94" s="24">
        <f>'Monthly Data'!Q94/'Monthly Data'!U94/'Monthly Data'!CD94</f>
        <v>13362.981615066377</v>
      </c>
      <c r="EV94" s="24">
        <f>'Monthly Data'!V94/'Monthly Data'!Z94/'Monthly Data'!CD94</f>
        <v>91325.866666666669</v>
      </c>
      <c r="EW94" s="24"/>
      <c r="FG94" s="24"/>
    </row>
    <row r="95" spans="1:163" x14ac:dyDescent="0.25">
      <c r="A95" s="3">
        <v>44835</v>
      </c>
      <c r="B95" s="1">
        <f t="shared" si="84"/>
        <v>2022</v>
      </c>
      <c r="C95" s="1">
        <f t="shared" si="85"/>
        <v>10</v>
      </c>
      <c r="D95" s="263">
        <v>9.3272381954184187</v>
      </c>
      <c r="E95" s="263">
        <v>330.85561594202903</v>
      </c>
      <c r="F95" s="263">
        <v>0</v>
      </c>
      <c r="G95" s="263">
        <v>268.85561594202898</v>
      </c>
      <c r="H95" s="263">
        <v>0</v>
      </c>
      <c r="I95" s="263">
        <v>206.85561594202895</v>
      </c>
      <c r="J95" s="263">
        <v>0</v>
      </c>
      <c r="K95" s="263">
        <v>147.2764492753623</v>
      </c>
      <c r="L95" s="263">
        <v>2.4208333333333307</v>
      </c>
      <c r="M95" s="263">
        <v>94.459782608695647</v>
      </c>
      <c r="N95" s="263">
        <v>11.604166666666668</v>
      </c>
      <c r="O95" s="263">
        <v>52.855615942028983</v>
      </c>
      <c r="P95" s="263">
        <v>32</v>
      </c>
      <c r="Q95" s="263">
        <v>23.659782608695654</v>
      </c>
      <c r="R95" s="263">
        <v>64.804166666666674</v>
      </c>
      <c r="X95" s="269"/>
      <c r="CS95" s="414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P95" s="18">
        <f ca="1">'Monthly Data'!F95</f>
        <v>35851514.868957214</v>
      </c>
      <c r="DQ95" s="18">
        <f ca="1">'Monthly Data'!J95</f>
        <v>9864109.8868810162</v>
      </c>
      <c r="DR95" s="18">
        <f ca="1">'Monthly Data'!N95</f>
        <v>26748748.465016764</v>
      </c>
      <c r="DS95" s="4">
        <f ca="1">'Monthly Data'!S95</f>
        <v>8411833.9390506037</v>
      </c>
      <c r="DT95" s="4">
        <f>'Monthly Data'!V95</f>
        <v>2642054</v>
      </c>
      <c r="DU95" s="18">
        <f t="shared" si="86"/>
        <v>35276397.502830252</v>
      </c>
      <c r="DV95" s="18">
        <f t="shared" si="87"/>
        <v>9834466.341119932</v>
      </c>
      <c r="DW95" s="18">
        <f t="shared" si="88"/>
        <v>24065488.880462699</v>
      </c>
      <c r="DX95" s="18">
        <f t="shared" si="89"/>
        <v>6822899.4659114191</v>
      </c>
      <c r="DY95" s="18">
        <f t="shared" si="90"/>
        <v>3119693.303027038</v>
      </c>
      <c r="EK95" s="1" t="s">
        <v>58</v>
      </c>
      <c r="EL95" s="1">
        <v>1388.13556894421</v>
      </c>
      <c r="EM95" s="1">
        <v>357.92366093941001</v>
      </c>
      <c r="EN95" s="1">
        <v>3.8783006557903801</v>
      </c>
      <c r="EO95" s="1">
        <v>1.7494470081985799E-4</v>
      </c>
      <c r="ER95" s="24">
        <f ca="1">'Monthly Data'!F95/'Monthly Data'!G95/'Monthly Data'!CD95</f>
        <v>20.685408067462859</v>
      </c>
      <c r="ES95" s="259">
        <f ca="1">'Monthly Data'!J95/'Monthly Data'!K95/'Monthly Data'!CD95</f>
        <v>73.690850654283025</v>
      </c>
      <c r="ET95" s="24">
        <f ca="1">'Monthly Data'!N95/'Monthly Data'!P95/'Monthly Data'!CD95</f>
        <v>1591.9978850742034</v>
      </c>
      <c r="EU95" s="24">
        <f>'Monthly Data'!Q95/'Monthly Data'!U95/'Monthly Data'!CD95</f>
        <v>13451.522725654142</v>
      </c>
      <c r="EV95" s="24">
        <f>'Monthly Data'!V95/'Monthly Data'!Z95/'Monthly Data'!CD95</f>
        <v>85227.548387096773</v>
      </c>
      <c r="EW95" s="24"/>
      <c r="FG95" s="24"/>
    </row>
    <row r="96" spans="1:163" x14ac:dyDescent="0.25">
      <c r="A96" s="3">
        <v>44866</v>
      </c>
      <c r="B96" s="1">
        <f t="shared" si="84"/>
        <v>2022</v>
      </c>
      <c r="C96" s="1">
        <f t="shared" si="85"/>
        <v>11</v>
      </c>
      <c r="D96" s="263">
        <v>4.2722222222222213</v>
      </c>
      <c r="E96" s="263">
        <v>471.83333333333348</v>
      </c>
      <c r="F96" s="263">
        <v>0</v>
      </c>
      <c r="G96" s="263">
        <v>411.83333333333348</v>
      </c>
      <c r="H96" s="263">
        <v>0</v>
      </c>
      <c r="I96" s="263">
        <v>351.83333333333343</v>
      </c>
      <c r="J96" s="263">
        <v>0</v>
      </c>
      <c r="K96" s="263">
        <v>294.14166666666671</v>
      </c>
      <c r="L96" s="263">
        <v>2.3083333333333318</v>
      </c>
      <c r="M96" s="263">
        <v>238.41249999999999</v>
      </c>
      <c r="N96" s="263">
        <v>6.5791666666666675</v>
      </c>
      <c r="O96" s="263">
        <v>185.6583333333333</v>
      </c>
      <c r="P96" s="263">
        <v>13.824999999999999</v>
      </c>
      <c r="Q96" s="263">
        <v>138.80000000000001</v>
      </c>
      <c r="R96" s="263">
        <v>26.966666666666669</v>
      </c>
      <c r="X96" s="269"/>
      <c r="CS96" s="414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P96" s="18">
        <f ca="1">'Monthly Data'!F96</f>
        <v>39277344.220478997</v>
      </c>
      <c r="DQ96" s="18">
        <f ca="1">'Monthly Data'!J96</f>
        <v>10711710.156730885</v>
      </c>
      <c r="DR96" s="18">
        <f ca="1">'Monthly Data'!N96</f>
        <v>27275002.248175103</v>
      </c>
      <c r="DS96" s="4">
        <f ca="1">'Monthly Data'!S96</f>
        <v>7443581.0338858347</v>
      </c>
      <c r="DT96" s="4">
        <f>'Monthly Data'!V96</f>
        <v>2584119</v>
      </c>
      <c r="DU96" s="18">
        <f t="shared" si="86"/>
        <v>39458587.481092498</v>
      </c>
      <c r="DV96" s="18">
        <f t="shared" si="87"/>
        <v>10643792.436688377</v>
      </c>
      <c r="DW96" s="18">
        <f t="shared" si="88"/>
        <v>26648294.243439104</v>
      </c>
      <c r="DX96" s="18">
        <f t="shared" si="89"/>
        <v>6846956.3314034557</v>
      </c>
      <c r="DY96" s="18">
        <f t="shared" si="90"/>
        <v>3150332.6930588256</v>
      </c>
      <c r="ER96" s="24">
        <f ca="1">'Monthly Data'!F96/'Monthly Data'!G96/'Monthly Data'!CD96</f>
        <v>23.324808169270099</v>
      </c>
      <c r="ES96" s="259">
        <f ca="1">'Monthly Data'!J96/'Monthly Data'!K96/'Monthly Data'!CD96</f>
        <v>82.461202130337838</v>
      </c>
      <c r="ET96" s="24">
        <f ca="1">'Monthly Data'!N96/'Monthly Data'!P96/'Monthly Data'!CD96</f>
        <v>1674.3402239518173</v>
      </c>
      <c r="EU96" s="24">
        <f>'Monthly Data'!Q96/'Monthly Data'!U96/'Monthly Data'!CD96</f>
        <v>12102.411336972746</v>
      </c>
      <c r="EV96" s="24">
        <f>'Monthly Data'!V96/'Monthly Data'!Z96/'Monthly Data'!CD96</f>
        <v>86137.3</v>
      </c>
      <c r="EW96" s="24"/>
      <c r="FG96" s="24"/>
    </row>
    <row r="97" spans="1:163" x14ac:dyDescent="0.25">
      <c r="A97" s="3">
        <v>44896</v>
      </c>
      <c r="B97" s="1">
        <f t="shared" si="84"/>
        <v>2022</v>
      </c>
      <c r="C97" s="1">
        <f t="shared" si="85"/>
        <v>12</v>
      </c>
      <c r="D97" s="263">
        <v>-0.87486559139784936</v>
      </c>
      <c r="E97" s="263">
        <v>647.12083333333328</v>
      </c>
      <c r="F97" s="263">
        <v>0</v>
      </c>
      <c r="G97" s="263">
        <v>585.12083333333328</v>
      </c>
      <c r="H97" s="263">
        <v>0</v>
      </c>
      <c r="I97" s="263">
        <v>523.12083333333328</v>
      </c>
      <c r="J97" s="263">
        <v>0</v>
      </c>
      <c r="K97" s="263">
        <v>461.12083333333328</v>
      </c>
      <c r="L97" s="263">
        <v>0</v>
      </c>
      <c r="M97" s="263">
        <v>399.12083333333328</v>
      </c>
      <c r="N97" s="263">
        <v>0</v>
      </c>
      <c r="O97" s="263">
        <v>337.12083333333322</v>
      </c>
      <c r="P97" s="263">
        <v>0</v>
      </c>
      <c r="Q97" s="263">
        <v>275.12083333333322</v>
      </c>
      <c r="R97" s="263">
        <v>0</v>
      </c>
      <c r="CS97" s="414"/>
      <c r="CT97" s="269"/>
      <c r="CU97" s="269"/>
      <c r="CV97" s="269"/>
      <c r="CW97" s="269"/>
      <c r="CX97" s="269"/>
      <c r="CY97" s="269"/>
      <c r="CZ97" s="269"/>
      <c r="DA97" s="269"/>
      <c r="DB97" s="269"/>
      <c r="DC97" s="269"/>
      <c r="DD97" s="269"/>
      <c r="DE97" s="269"/>
      <c r="DF97" s="269"/>
      <c r="DG97" s="269"/>
      <c r="DP97" s="18">
        <f ca="1">'Monthly Data'!F97</f>
        <v>45943881.762200601</v>
      </c>
      <c r="DQ97" s="18">
        <f ca="1">'Monthly Data'!J97</f>
        <v>12176416.001356015</v>
      </c>
      <c r="DR97" s="18">
        <f ca="1">'Monthly Data'!N97</f>
        <v>33271813.999341901</v>
      </c>
      <c r="DS97" s="4">
        <f ca="1">'Monthly Data'!S97</f>
        <v>7190527.751085096</v>
      </c>
      <c r="DT97" s="4">
        <f>'Monthly Data'!V97</f>
        <v>2398663</v>
      </c>
      <c r="DU97" s="18">
        <f t="shared" si="86"/>
        <v>44152650.88830632</v>
      </c>
      <c r="DV97" s="18">
        <f t="shared" si="87"/>
        <v>11570757.256477877</v>
      </c>
      <c r="DW97" s="18">
        <f t="shared" si="88"/>
        <v>29580755.300958499</v>
      </c>
      <c r="DX97" s="18">
        <f t="shared" si="89"/>
        <v>6858211.7643418564</v>
      </c>
      <c r="DY97" s="18">
        <f t="shared" si="90"/>
        <v>3181508.4686090378</v>
      </c>
      <c r="EK97" s="1" t="s">
        <v>153</v>
      </c>
      <c r="ER97" s="24">
        <f ca="1">'Monthly Data'!F97/'Monthly Data'!G97/'Monthly Data'!CD97</f>
        <v>26.408308868453361</v>
      </c>
      <c r="ES97" s="259">
        <f ca="1">'Monthly Data'!J97/'Monthly Data'!K97/'Monthly Data'!CD97</f>
        <v>90.754993749299501</v>
      </c>
      <c r="ET97" s="24">
        <f ca="1">'Monthly Data'!N97/'Monthly Data'!P97/'Monthly Data'!CD97</f>
        <v>1972.949122351868</v>
      </c>
      <c r="EU97" s="24">
        <f>'Monthly Data'!Q97/'Monthly Data'!U97/'Monthly Data'!CD97</f>
        <v>11254.218970214311</v>
      </c>
      <c r="EV97" s="24">
        <f>'Monthly Data'!V97/'Monthly Data'!Z97/'Monthly Data'!CD97</f>
        <v>77376.225806451606</v>
      </c>
      <c r="EW97" s="24"/>
      <c r="FG97" s="24"/>
    </row>
    <row r="98" spans="1:163" x14ac:dyDescent="0.25">
      <c r="A98" s="3">
        <v>44927</v>
      </c>
      <c r="B98" s="1">
        <f t="shared" si="84"/>
        <v>2023</v>
      </c>
      <c r="C98" s="1">
        <f t="shared" si="85"/>
        <v>1</v>
      </c>
      <c r="D98" s="263">
        <v>-1.4861559139784948</v>
      </c>
      <c r="E98" s="263">
        <v>666.07083333333355</v>
      </c>
      <c r="F98" s="263">
        <v>0</v>
      </c>
      <c r="G98" s="263">
        <v>604.07083333333344</v>
      </c>
      <c r="H98" s="263">
        <v>0</v>
      </c>
      <c r="I98" s="263">
        <v>542.07083333333333</v>
      </c>
      <c r="J98" s="263">
        <v>0</v>
      </c>
      <c r="K98" s="263">
        <v>480.07083333333327</v>
      </c>
      <c r="L98" s="263">
        <v>0</v>
      </c>
      <c r="M98" s="263">
        <v>418.07083333333327</v>
      </c>
      <c r="N98" s="263">
        <v>0</v>
      </c>
      <c r="O98" s="263">
        <v>356.07083333333321</v>
      </c>
      <c r="P98" s="263">
        <v>0</v>
      </c>
      <c r="Q98" s="263">
        <v>294.07083333333327</v>
      </c>
      <c r="R98" s="263">
        <v>0</v>
      </c>
      <c r="CS98" s="414"/>
      <c r="CT98" s="269"/>
      <c r="CU98" s="269"/>
      <c r="CV98" s="269"/>
      <c r="CW98" s="269"/>
      <c r="CX98" s="269"/>
      <c r="CY98" s="269"/>
      <c r="CZ98" s="269"/>
      <c r="DA98" s="269"/>
      <c r="DB98" s="269"/>
      <c r="DC98" s="269"/>
      <c r="DD98" s="269"/>
      <c r="DE98" s="269"/>
      <c r="DF98" s="269"/>
      <c r="DG98" s="269"/>
      <c r="DP98" s="18">
        <f ca="1">'Monthly Data'!F98</f>
        <v>49786995.901728272</v>
      </c>
      <c r="DQ98" s="18">
        <f ca="1">'Monthly Data'!J98</f>
        <v>11917827.94576852</v>
      </c>
      <c r="DR98" s="18">
        <f ca="1">'Monthly Data'!N98</f>
        <v>33661587.019219451</v>
      </c>
      <c r="DS98" s="4">
        <f ca="1">'Monthly Data'!S98</f>
        <v>7276587.4379076399</v>
      </c>
      <c r="DT98" s="4">
        <f>'Monthly Data'!V98</f>
        <v>2718971.7479580869</v>
      </c>
      <c r="DU98" s="18">
        <f t="shared" si="86"/>
        <v>44737875.252686284</v>
      </c>
      <c r="DV98" s="18">
        <f t="shared" si="87"/>
        <v>11676741.666480187</v>
      </c>
      <c r="DW98" s="18">
        <f t="shared" si="88"/>
        <v>29960503.520857908</v>
      </c>
      <c r="DX98" s="18">
        <f t="shared" si="89"/>
        <v>6861484.4751476627</v>
      </c>
      <c r="DY98" s="18">
        <f t="shared" si="90"/>
        <v>3185562.4092583978</v>
      </c>
      <c r="EK98" s="1" t="s">
        <v>154</v>
      </c>
      <c r="EL98" s="1">
        <v>5859570223165.9102</v>
      </c>
      <c r="EM98" s="1" t="s">
        <v>155</v>
      </c>
      <c r="EN98" s="1">
        <v>224752.16663383399</v>
      </c>
      <c r="ER98" s="24">
        <f ca="1">'Monthly Data'!F98/'Monthly Data'!G98/'Monthly Data'!CD98</f>
        <v>28.520753065337189</v>
      </c>
      <c r="ES98" s="259">
        <f ca="1">'Monthly Data'!J98/'Monthly Data'!K98/'Monthly Data'!CD98</f>
        <v>88.8687153875928</v>
      </c>
      <c r="ET98" s="24">
        <f ca="1">'Monthly Data'!N98/'Monthly Data'!P98/'Monthly Data'!CD98</f>
        <v>2003.4273907403553</v>
      </c>
      <c r="EU98" s="24">
        <f>'Monthly Data'!Q98/'Monthly Data'!U98/'Monthly Data'!CD98</f>
        <v>11385.029380763741</v>
      </c>
      <c r="EV98" s="24">
        <f>'Monthly Data'!V98/'Monthly Data'!Z98/'Monthly Data'!CD98</f>
        <v>87708.76606316409</v>
      </c>
      <c r="EW98" s="24"/>
      <c r="FG98" s="24"/>
    </row>
    <row r="99" spans="1:163" x14ac:dyDescent="0.25">
      <c r="A99" s="3">
        <v>44958</v>
      </c>
      <c r="B99" s="1">
        <f t="shared" si="84"/>
        <v>2023</v>
      </c>
      <c r="C99" s="1">
        <f t="shared" si="85"/>
        <v>2</v>
      </c>
      <c r="D99" s="263">
        <v>-2.4797619047619048</v>
      </c>
      <c r="E99" s="263">
        <v>629.43333333333328</v>
      </c>
      <c r="F99" s="263">
        <v>0</v>
      </c>
      <c r="G99" s="263">
        <v>573.43333333333328</v>
      </c>
      <c r="H99" s="263">
        <v>0</v>
      </c>
      <c r="I99" s="263">
        <v>517.43333333333328</v>
      </c>
      <c r="J99" s="263">
        <v>0</v>
      </c>
      <c r="K99" s="263">
        <v>461.43333333333328</v>
      </c>
      <c r="L99" s="263">
        <v>0</v>
      </c>
      <c r="M99" s="263">
        <v>405.43333333333328</v>
      </c>
      <c r="N99" s="263">
        <v>0</v>
      </c>
      <c r="O99" s="263">
        <v>349.43333333333328</v>
      </c>
      <c r="P99" s="263">
        <v>0</v>
      </c>
      <c r="Q99" s="263">
        <v>293.51666666666665</v>
      </c>
      <c r="R99" s="263">
        <v>8.3333333333332149E-2</v>
      </c>
      <c r="CS99" s="414"/>
      <c r="CT99" s="269"/>
      <c r="CU99" s="269"/>
      <c r="CV99" s="269"/>
      <c r="CW99" s="269"/>
      <c r="CX99" s="269"/>
      <c r="CY99" s="269"/>
      <c r="CZ99" s="269"/>
      <c r="DA99" s="269"/>
      <c r="DB99" s="269"/>
      <c r="DC99" s="269"/>
      <c r="DD99" s="269"/>
      <c r="DE99" s="269"/>
      <c r="DF99" s="269"/>
      <c r="DG99" s="269"/>
      <c r="DP99" s="18">
        <f ca="1">'Monthly Data'!F99</f>
        <v>48115533.851268791</v>
      </c>
      <c r="DQ99" s="18">
        <f ca="1">'Monthly Data'!J99</f>
        <v>11283419.234318363</v>
      </c>
      <c r="DR99" s="18">
        <f ca="1">'Monthly Data'!N99</f>
        <v>29222997.72258636</v>
      </c>
      <c r="DS99" s="4">
        <f ca="1">'Monthly Data'!S99</f>
        <v>7137341.2992951712</v>
      </c>
      <c r="DT99" s="4">
        <f>'Monthly Data'!V99</f>
        <v>2576085.9383378797</v>
      </c>
      <c r="DU99" s="18">
        <f t="shared" si="86"/>
        <v>44162301.685871951</v>
      </c>
      <c r="DV99" s="18">
        <f t="shared" si="87"/>
        <v>11538947.951365048</v>
      </c>
      <c r="DW99" s="18">
        <f t="shared" si="88"/>
        <v>29827491.446473617</v>
      </c>
      <c r="DX99" s="18">
        <f t="shared" si="89"/>
        <v>6859301.9483503867</v>
      </c>
      <c r="DY99" s="18">
        <f t="shared" si="90"/>
        <v>3182858.8907910474</v>
      </c>
      <c r="EK99" s="1" t="s">
        <v>156</v>
      </c>
      <c r="EL99" s="1">
        <v>0.66014927301634896</v>
      </c>
      <c r="EM99" s="1" t="s">
        <v>157</v>
      </c>
      <c r="EN99" s="1">
        <v>0.65428977772352703</v>
      </c>
      <c r="ER99" s="24">
        <f ca="1">'Monthly Data'!F99/'Monthly Data'!G99/'Monthly Data'!CD99</f>
        <v>30.487215883253786</v>
      </c>
      <c r="ES99" s="259">
        <f ca="1">'Monthly Data'!J99/'Monthly Data'!K99/'Monthly Data'!CD99</f>
        <v>93.152856765721907</v>
      </c>
      <c r="ET99" s="24">
        <f ca="1">'Monthly Data'!N99/'Monthly Data'!P99/'Monthly Data'!CD99</f>
        <v>1922.0598344242539</v>
      </c>
      <c r="EU99" s="24">
        <f>'Monthly Data'!Q99/'Monthly Data'!U99/'Monthly Data'!CD99</f>
        <v>12321.630646917858</v>
      </c>
      <c r="EV99" s="24">
        <f>'Monthly Data'!V99/'Monthly Data'!Z99/'Monthly Data'!CD99</f>
        <v>92003.069226352847</v>
      </c>
      <c r="EW99" s="24"/>
      <c r="FG99" s="24"/>
    </row>
    <row r="100" spans="1:163" x14ac:dyDescent="0.25">
      <c r="A100" s="3">
        <v>44986</v>
      </c>
      <c r="B100" s="1">
        <f t="shared" si="84"/>
        <v>2023</v>
      </c>
      <c r="C100" s="1">
        <f t="shared" si="85"/>
        <v>3</v>
      </c>
      <c r="D100" s="263">
        <v>0.22473118279569884</v>
      </c>
      <c r="E100" s="263">
        <v>613.0333333333333</v>
      </c>
      <c r="F100" s="263">
        <v>0</v>
      </c>
      <c r="G100" s="263">
        <v>551.03333333333342</v>
      </c>
      <c r="H100" s="263">
        <v>0</v>
      </c>
      <c r="I100" s="263">
        <v>489.03333333333336</v>
      </c>
      <c r="J100" s="263">
        <v>0</v>
      </c>
      <c r="K100" s="263">
        <v>427.0333333333333</v>
      </c>
      <c r="L100" s="263">
        <v>0</v>
      </c>
      <c r="M100" s="263">
        <v>365.03333333333336</v>
      </c>
      <c r="N100" s="263">
        <v>0</v>
      </c>
      <c r="O100" s="263">
        <v>303.03333333333342</v>
      </c>
      <c r="P100" s="263">
        <v>0</v>
      </c>
      <c r="Q100" s="263">
        <v>241.03333333333333</v>
      </c>
      <c r="R100" s="263">
        <v>0</v>
      </c>
      <c r="CS100" s="414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P100" s="18">
        <f ca="1">'Monthly Data'!F100</f>
        <v>44054035.717063427</v>
      </c>
      <c r="DQ100" s="18">
        <f ca="1">'Monthly Data'!J100</f>
        <v>11829923.550221913</v>
      </c>
      <c r="DR100" s="18">
        <f ca="1">'Monthly Data'!N100</f>
        <v>28904938.26976084</v>
      </c>
      <c r="DS100" s="4">
        <f ca="1">'Monthly Data'!S100</f>
        <v>6748870.9005109631</v>
      </c>
      <c r="DT100" s="4">
        <f>'Monthly Data'!V100</f>
        <v>2739789.2561942837</v>
      </c>
      <c r="DU100" s="18">
        <f t="shared" si="86"/>
        <v>43099941.8898471</v>
      </c>
      <c r="DV100" s="18">
        <f t="shared" si="87"/>
        <v>11380111.157482959</v>
      </c>
      <c r="DW100" s="18">
        <f t="shared" si="88"/>
        <v>28897659.393527303</v>
      </c>
      <c r="DX100" s="18">
        <f t="shared" si="89"/>
        <v>6852324.7706957925</v>
      </c>
      <c r="DY100" s="18">
        <f t="shared" si="90"/>
        <v>3174216.1888261852</v>
      </c>
      <c r="EK100" s="1" t="s">
        <v>158</v>
      </c>
      <c r="EL100" s="1">
        <v>25.539681246538699</v>
      </c>
      <c r="EM100" s="1" t="s">
        <v>159</v>
      </c>
      <c r="EN100" s="274">
        <v>6.4422922719144E-10</v>
      </c>
      <c r="ER100" s="24">
        <f ca="1">'Monthly Data'!F100/'Monthly Data'!G100/'Monthly Data'!CD100</f>
        <v>25.101971744243986</v>
      </c>
      <c r="ES100" s="259">
        <f ca="1">'Monthly Data'!J100/'Monthly Data'!K100/'Monthly Data'!CD100</f>
        <v>88.274447629871077</v>
      </c>
      <c r="ET100" s="24">
        <f ca="1">'Monthly Data'!N100/'Monthly Data'!P100/'Monthly Data'!CD100</f>
        <v>1714.0025065085886</v>
      </c>
      <c r="EU100" s="24">
        <f>'Monthly Data'!Q100/'Monthly Data'!U100/'Monthly Data'!CD100</f>
        <v>10426.761715869705</v>
      </c>
      <c r="EV100" s="24">
        <f>'Monthly Data'!V100/'Monthly Data'!Z100/'Monthly Data'!CD100</f>
        <v>88380.29858691238</v>
      </c>
      <c r="EW100" s="24"/>
      <c r="FG100" s="24"/>
    </row>
    <row r="101" spans="1:163" x14ac:dyDescent="0.25">
      <c r="A101" s="3">
        <v>45017</v>
      </c>
      <c r="B101" s="1">
        <f t="shared" si="84"/>
        <v>2023</v>
      </c>
      <c r="C101" s="1">
        <f t="shared" si="85"/>
        <v>4</v>
      </c>
      <c r="D101" s="263">
        <v>7.9533333333333323</v>
      </c>
      <c r="E101" s="263">
        <v>361.4</v>
      </c>
      <c r="F101" s="263">
        <v>0</v>
      </c>
      <c r="G101" s="263">
        <v>301.39999999999998</v>
      </c>
      <c r="H101" s="263">
        <v>0</v>
      </c>
      <c r="I101" s="263">
        <v>243.15833333333336</v>
      </c>
      <c r="J101" s="263">
        <v>1.75833333333334</v>
      </c>
      <c r="K101" s="263">
        <v>193.11666666666667</v>
      </c>
      <c r="L101" s="263">
        <v>11.71666666666667</v>
      </c>
      <c r="M101" s="263">
        <v>144.11666666666667</v>
      </c>
      <c r="N101" s="263">
        <v>22.716666666666676</v>
      </c>
      <c r="O101" s="263">
        <v>98.574999999999989</v>
      </c>
      <c r="P101" s="263">
        <v>37.175000000000004</v>
      </c>
      <c r="Q101" s="263">
        <v>58.116666666666674</v>
      </c>
      <c r="R101" s="263">
        <v>56.716666666666676</v>
      </c>
      <c r="CS101" s="414"/>
      <c r="CT101" s="269"/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/>
      <c r="DE101" s="269"/>
      <c r="DF101" s="269"/>
      <c r="DG101" s="269"/>
      <c r="DP101" s="18">
        <f ca="1">'Monthly Data'!F101</f>
        <v>41477781.625128642</v>
      </c>
      <c r="DQ101" s="18">
        <f ca="1">'Monthly Data'!J101</f>
        <v>10009865.136958813</v>
      </c>
      <c r="DR101" s="18">
        <f ca="1">'Monthly Data'!N101</f>
        <v>25571616.771525819</v>
      </c>
      <c r="DS101" s="4">
        <f ca="1">'Monthly Data'!S101</f>
        <v>6916620.2189699095</v>
      </c>
      <c r="DT101" s="4">
        <f>'Monthly Data'!V101</f>
        <v>2517469.3774617161</v>
      </c>
      <c r="DU101" s="18">
        <f t="shared" si="86"/>
        <v>37473546.177579165</v>
      </c>
      <c r="DV101" s="18">
        <f t="shared" si="87"/>
        <v>10162420.061237236</v>
      </c>
      <c r="DW101" s="18">
        <f t="shared" si="88"/>
        <v>25155263.533552792</v>
      </c>
      <c r="DX101" s="18">
        <f t="shared" si="89"/>
        <v>6897919.2001187196</v>
      </c>
      <c r="DY101" s="18">
        <f t="shared" si="90"/>
        <v>3143220.1910441928</v>
      </c>
      <c r="EK101" s="1" t="s">
        <v>160</v>
      </c>
      <c r="EL101" s="1">
        <v>-0.217625956259513</v>
      </c>
      <c r="EM101" s="1" t="s">
        <v>161</v>
      </c>
      <c r="EN101" s="1">
        <v>2.43422611966936</v>
      </c>
      <c r="ER101" s="24">
        <f ca="1">'Monthly Data'!F101/'Monthly Data'!G101/'Monthly Data'!CD101</f>
        <v>24.443844291885391</v>
      </c>
      <c r="ES101" s="259">
        <f ca="1">'Monthly Data'!J101/'Monthly Data'!K101/'Monthly Data'!CD101</f>
        <v>77.165164484727214</v>
      </c>
      <c r="ET101" s="24">
        <f ca="1">'Monthly Data'!N101/'Monthly Data'!P101/'Monthly Data'!CD101</f>
        <v>1566.8882825689839</v>
      </c>
      <c r="EU101" s="24">
        <f>'Monthly Data'!Q101/'Monthly Data'!U101/'Monthly Data'!CD101</f>
        <v>11078.488789087303</v>
      </c>
      <c r="EV101" s="24">
        <f>'Monthly Data'!V101/'Monthly Data'!Z101/'Monthly Data'!CD101</f>
        <v>83915.645915390531</v>
      </c>
      <c r="EW101" s="24"/>
      <c r="FG101" s="24"/>
    </row>
    <row r="102" spans="1:163" x14ac:dyDescent="0.25">
      <c r="A102" s="3">
        <v>45047</v>
      </c>
      <c r="B102" s="1">
        <f t="shared" si="84"/>
        <v>2023</v>
      </c>
      <c r="C102" s="1">
        <f t="shared" si="85"/>
        <v>5</v>
      </c>
      <c r="D102" s="263">
        <v>12.986102150537635</v>
      </c>
      <c r="E102" s="263">
        <v>219.04750000000001</v>
      </c>
      <c r="F102" s="263">
        <v>1.6166666666666636</v>
      </c>
      <c r="G102" s="263">
        <v>163.56416666666669</v>
      </c>
      <c r="H102" s="263">
        <v>8.1333333333333258</v>
      </c>
      <c r="I102" s="263">
        <v>113.00166666666665</v>
      </c>
      <c r="J102" s="263">
        <v>19.570833333333329</v>
      </c>
      <c r="K102" s="263">
        <v>68.776666666666671</v>
      </c>
      <c r="L102" s="263">
        <v>37.345833333333331</v>
      </c>
      <c r="M102" s="263">
        <v>37.480833333333329</v>
      </c>
      <c r="N102" s="263">
        <v>68.049999999999983</v>
      </c>
      <c r="O102" s="263">
        <v>20.284999999999989</v>
      </c>
      <c r="P102" s="263">
        <v>112.85416666666666</v>
      </c>
      <c r="Q102" s="263">
        <v>7.2058333333333309</v>
      </c>
      <c r="R102" s="263">
        <v>161.77500000000001</v>
      </c>
      <c r="CS102" s="414"/>
      <c r="CT102" s="269"/>
      <c r="CU102" s="269"/>
      <c r="CV102" s="269"/>
      <c r="CW102" s="269"/>
      <c r="CX102" s="269"/>
      <c r="CY102" s="269"/>
      <c r="CZ102" s="269"/>
      <c r="DA102" s="269"/>
      <c r="DB102" s="269"/>
      <c r="DC102" s="269"/>
      <c r="DD102" s="269"/>
      <c r="DE102" s="269"/>
      <c r="DF102" s="269"/>
      <c r="DG102" s="269"/>
      <c r="DP102" s="18">
        <f ca="1">'Monthly Data'!F102</f>
        <v>37681102.394657172</v>
      </c>
      <c r="DQ102" s="18">
        <f ca="1">'Monthly Data'!J102</f>
        <v>10377500.408066193</v>
      </c>
      <c r="DR102" s="18">
        <f ca="1">'Monthly Data'!N102</f>
        <v>26149280.443362694</v>
      </c>
      <c r="DS102" s="4">
        <f ca="1">'Monthly Data'!S102</f>
        <v>7166374.0619376265</v>
      </c>
      <c r="DT102" s="4">
        <f>'Monthly Data'!V102</f>
        <v>2612878.6013215701</v>
      </c>
      <c r="DU102" s="18">
        <f t="shared" si="86"/>
        <v>36821673.060656354</v>
      </c>
      <c r="DV102" s="18">
        <f t="shared" si="87"/>
        <v>9778881.0907607805</v>
      </c>
      <c r="DW102" s="18">
        <f t="shared" si="88"/>
        <v>24294497.536207512</v>
      </c>
      <c r="DX102" s="18">
        <f t="shared" si="89"/>
        <v>7062692.6453799829</v>
      </c>
      <c r="DY102" s="18">
        <f t="shared" si="90"/>
        <v>3155984.5299293958</v>
      </c>
      <c r="ER102" s="24">
        <f ca="1">'Monthly Data'!F102/'Monthly Data'!G102/'Monthly Data'!CD102</f>
        <v>21.322283791213628</v>
      </c>
      <c r="ES102" s="259">
        <f ca="1">'Monthly Data'!J102/'Monthly Data'!K102/'Monthly Data'!CD102</f>
        <v>77.293483648015382</v>
      </c>
      <c r="ET102" s="24">
        <f ca="1">'Monthly Data'!N102/'Monthly Data'!P102/'Monthly Data'!CD102</f>
        <v>1544.9179040152837</v>
      </c>
      <c r="EU102" s="24">
        <f>'Monthly Data'!Q102/'Monthly Data'!U102/'Monthly Data'!CD102</f>
        <v>11162.436163562297</v>
      </c>
      <c r="EV102" s="24">
        <f>'Monthly Data'!V102/'Monthly Data'!Z102/'Monthly Data'!CD102</f>
        <v>84286.406494244191</v>
      </c>
      <c r="EW102" s="24"/>
      <c r="FG102" s="24"/>
    </row>
    <row r="103" spans="1:163" x14ac:dyDescent="0.25">
      <c r="A103" s="3">
        <v>45078</v>
      </c>
      <c r="B103" s="1">
        <f t="shared" si="84"/>
        <v>2023</v>
      </c>
      <c r="C103" s="1">
        <f t="shared" si="85"/>
        <v>6</v>
      </c>
      <c r="D103" s="263">
        <v>18.851388888888884</v>
      </c>
      <c r="E103" s="263">
        <v>55.599999999999994</v>
      </c>
      <c r="F103" s="263">
        <v>21.141666666666666</v>
      </c>
      <c r="G103" s="263">
        <v>21.441666666666659</v>
      </c>
      <c r="H103" s="263">
        <v>46.983333333333334</v>
      </c>
      <c r="I103" s="263">
        <v>4.2708333333333268</v>
      </c>
      <c r="J103" s="263">
        <v>89.8125</v>
      </c>
      <c r="K103" s="263">
        <v>0</v>
      </c>
      <c r="L103" s="263">
        <v>145.54166666666666</v>
      </c>
      <c r="M103" s="263">
        <v>0</v>
      </c>
      <c r="N103" s="263">
        <v>205.54166666666669</v>
      </c>
      <c r="O103" s="263">
        <v>0</v>
      </c>
      <c r="P103" s="263">
        <v>265.54166666666669</v>
      </c>
      <c r="Q103" s="263">
        <v>0</v>
      </c>
      <c r="R103" s="263">
        <v>325.54166666666669</v>
      </c>
      <c r="CS103" s="414"/>
      <c r="CT103" s="269"/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/>
      <c r="DE103" s="269"/>
      <c r="DF103" s="269"/>
      <c r="DG103" s="269"/>
      <c r="DP103" s="18">
        <f ca="1">'Monthly Data'!F103</f>
        <v>44205525.740265645</v>
      </c>
      <c r="DQ103" s="18">
        <f ca="1">'Monthly Data'!J103</f>
        <v>11128957.523446629</v>
      </c>
      <c r="DR103" s="18">
        <f ca="1">'Monthly Data'!N103</f>
        <v>26011151.457731459</v>
      </c>
      <c r="DS103" s="4">
        <f ca="1">'Monthly Data'!S103</f>
        <v>7927235.7616078435</v>
      </c>
      <c r="DT103" s="4">
        <f>'Monthly Data'!V103</f>
        <v>2552437.8310888154</v>
      </c>
      <c r="DU103" s="18">
        <f t="shared" si="86"/>
        <v>44366765.687770486</v>
      </c>
      <c r="DV103" s="18">
        <f t="shared" si="87"/>
        <v>10624711.859384967</v>
      </c>
      <c r="DW103" s="18">
        <f t="shared" si="88"/>
        <v>26035672.639858291</v>
      </c>
      <c r="DX103" s="18">
        <f t="shared" si="89"/>
        <v>7829571.46609117</v>
      </c>
      <c r="DY103" s="18">
        <f t="shared" si="90"/>
        <v>3298156.8048905921</v>
      </c>
      <c r="EK103" s="1" t="s">
        <v>162</v>
      </c>
      <c r="ER103" s="24">
        <f ca="1">'Monthly Data'!F103/'Monthly Data'!G103/'Monthly Data'!CD103</f>
        <v>25.744143205889923</v>
      </c>
      <c r="ES103" s="259">
        <f ca="1">'Monthly Data'!J103/'Monthly Data'!K103/'Monthly Data'!CD103</f>
        <v>83.796081043947211</v>
      </c>
      <c r="ET103" s="24">
        <f ca="1">'Monthly Data'!N103/'Monthly Data'!P103/'Monthly Data'!CD103</f>
        <v>1727.1680914828326</v>
      </c>
      <c r="EU103" s="24">
        <f>'Monthly Data'!Q103/'Monthly Data'!U103/'Monthly Data'!CD103</f>
        <v>12937.041979872005</v>
      </c>
      <c r="EV103" s="24">
        <f>'Monthly Data'!V103/'Monthly Data'!Z103/'Monthly Data'!CD103</f>
        <v>85081.261036293843</v>
      </c>
      <c r="EW103" s="24"/>
      <c r="FG103" s="24"/>
    </row>
    <row r="104" spans="1:163" x14ac:dyDescent="0.25">
      <c r="A104" s="3">
        <v>45108</v>
      </c>
      <c r="B104" s="1">
        <f t="shared" si="84"/>
        <v>2023</v>
      </c>
      <c r="C104" s="1">
        <f t="shared" si="85"/>
        <v>7</v>
      </c>
      <c r="D104" s="263">
        <v>21.218817204301072</v>
      </c>
      <c r="E104" s="263">
        <v>7.3166666666666593</v>
      </c>
      <c r="F104" s="263">
        <v>45.099999999999966</v>
      </c>
      <c r="G104" s="263">
        <v>0.12499999999999645</v>
      </c>
      <c r="H104" s="263">
        <v>99.908333333333317</v>
      </c>
      <c r="I104" s="263">
        <v>0</v>
      </c>
      <c r="J104" s="263">
        <v>161.78333333333336</v>
      </c>
      <c r="K104" s="263">
        <v>0</v>
      </c>
      <c r="L104" s="263">
        <v>223.78333333333336</v>
      </c>
      <c r="M104" s="263">
        <v>0</v>
      </c>
      <c r="N104" s="263">
        <v>285.78333333333342</v>
      </c>
      <c r="O104" s="263">
        <v>0</v>
      </c>
      <c r="P104" s="263">
        <v>347.78333333333342</v>
      </c>
      <c r="Q104" s="263">
        <v>0</v>
      </c>
      <c r="R104" s="263">
        <v>409.7833333333333</v>
      </c>
      <c r="DP104" s="18">
        <f ca="1">'Monthly Data'!F104</f>
        <v>53148053.94264774</v>
      </c>
      <c r="DQ104" s="18">
        <f ca="1">'Monthly Data'!J104</f>
        <v>12548734.369748404</v>
      </c>
      <c r="DR104" s="18">
        <f ca="1">'Monthly Data'!N104</f>
        <v>29221325.233950596</v>
      </c>
      <c r="DS104" s="4">
        <f ca="1">'Monthly Data'!S104</f>
        <v>8119868.4054430835</v>
      </c>
      <c r="DT104" s="4">
        <f>'Monthly Data'!V104</f>
        <v>2671992.2080055689</v>
      </c>
      <c r="DU104" s="18">
        <f t="shared" si="86"/>
        <v>50009755.158007458</v>
      </c>
      <c r="DV104" s="18">
        <f t="shared" si="87"/>
        <v>11652244.385102773</v>
      </c>
      <c r="DW104" s="18">
        <f t="shared" si="88"/>
        <v>27289080.272850752</v>
      </c>
      <c r="DX104" s="18">
        <f t="shared" si="89"/>
        <v>8388819.7836606503</v>
      </c>
      <c r="DY104" s="18">
        <f t="shared" si="90"/>
        <v>3406766.8453640686</v>
      </c>
      <c r="EK104" s="1" t="s">
        <v>163</v>
      </c>
      <c r="EL104" s="1">
        <v>3202858.0539965802</v>
      </c>
      <c r="EM104" s="1" t="s">
        <v>164</v>
      </c>
      <c r="EN104" s="1">
        <v>381268.02200996201</v>
      </c>
      <c r="ER104" s="24">
        <f ca="1">'Monthly Data'!F104/'Monthly Data'!G104/'Monthly Data'!CD104</f>
        <v>30.016516150859406</v>
      </c>
      <c r="ES104" s="259">
        <f ca="1">'Monthly Data'!J104/'Monthly Data'!K104/'Monthly Data'!CD104</f>
        <v>91.41776939817295</v>
      </c>
      <c r="ET104" s="24">
        <f ca="1">'Monthly Data'!N104/'Monthly Data'!P104/'Monthly Data'!CD104</f>
        <v>1881.4838216438477</v>
      </c>
      <c r="EU104" s="24">
        <f>'Monthly Data'!Q104/'Monthly Data'!U104/'Monthly Data'!CD104</f>
        <v>12858.668285231226</v>
      </c>
      <c r="EV104" s="24">
        <f>'Monthly Data'!V104/'Monthly Data'!Z104/'Monthly Data'!CD104</f>
        <v>86193.297032437709</v>
      </c>
      <c r="EW104" s="24"/>
      <c r="FG104" s="24"/>
    </row>
    <row r="105" spans="1:163" x14ac:dyDescent="0.25">
      <c r="A105" s="3">
        <v>45139</v>
      </c>
      <c r="B105" s="1">
        <f t="shared" si="84"/>
        <v>2023</v>
      </c>
      <c r="C105" s="1">
        <f t="shared" si="85"/>
        <v>8</v>
      </c>
      <c r="D105" s="263">
        <v>19.348544880785411</v>
      </c>
      <c r="E105" s="263">
        <v>32.211775362318839</v>
      </c>
      <c r="F105" s="263">
        <v>12.016666666666676</v>
      </c>
      <c r="G105" s="263">
        <v>9.274999999999995</v>
      </c>
      <c r="H105" s="263">
        <v>51.079891304347839</v>
      </c>
      <c r="I105" s="263">
        <v>1.6125000000000007</v>
      </c>
      <c r="J105" s="263">
        <v>105.41739130434784</v>
      </c>
      <c r="K105" s="263">
        <v>0</v>
      </c>
      <c r="L105" s="263">
        <v>165.80489130434788</v>
      </c>
      <c r="M105" s="263">
        <v>0</v>
      </c>
      <c r="N105" s="263">
        <v>227.80489130434788</v>
      </c>
      <c r="O105" s="263">
        <v>0</v>
      </c>
      <c r="P105" s="263">
        <v>289.8048913043479</v>
      </c>
      <c r="Q105" s="263">
        <v>0</v>
      </c>
      <c r="R105" s="263">
        <v>351.80489130434785</v>
      </c>
      <c r="DP105" s="18">
        <f ca="1">'Monthly Data'!F105</f>
        <v>52355701.773249552</v>
      </c>
      <c r="DQ105" s="18">
        <f ca="1">'Monthly Data'!J105</f>
        <v>11742365.348617151</v>
      </c>
      <c r="DR105" s="18">
        <f ca="1">'Monthly Data'!N105</f>
        <v>27248513.558368277</v>
      </c>
      <c r="DS105" s="4">
        <f ca="1">'Monthly Data'!S105</f>
        <v>8174529.1976424176</v>
      </c>
      <c r="DT105" s="4">
        <f>'Monthly Data'!V105</f>
        <v>2937780.5360975759</v>
      </c>
      <c r="DU105" s="18">
        <f t="shared" si="86"/>
        <v>45932425.368368119</v>
      </c>
      <c r="DV105" s="18">
        <f t="shared" si="87"/>
        <v>10882143.269412646</v>
      </c>
      <c r="DW105" s="18">
        <f t="shared" si="88"/>
        <v>26383433.30903551</v>
      </c>
      <c r="DX105" s="18">
        <f t="shared" si="89"/>
        <v>7974407.0092223538</v>
      </c>
      <c r="DY105" s="18">
        <f t="shared" si="90"/>
        <v>3326284.9077516641</v>
      </c>
      <c r="ER105" s="24">
        <f ca="1">'Monthly Data'!F105/'Monthly Data'!G105/'Monthly Data'!CD105</f>
        <v>29.464812812308224</v>
      </c>
      <c r="ES105" s="259">
        <f ca="1">'Monthly Data'!J105/'Monthly Data'!K105/'Monthly Data'!CD105</f>
        <v>85.485438724362467</v>
      </c>
      <c r="ET105" s="24">
        <f ca="1">'Monthly Data'!N105/'Monthly Data'!P105/'Monthly Data'!CD105</f>
        <v>1744.0164847905965</v>
      </c>
      <c r="EU105" s="24">
        <f>'Monthly Data'!Q105/'Monthly Data'!U105/'Monthly Data'!CD105</f>
        <v>12950.357142564982</v>
      </c>
      <c r="EV105" s="24">
        <f>'Monthly Data'!V105/'Monthly Data'!Z105/'Monthly Data'!CD105</f>
        <v>94767.114067663744</v>
      </c>
      <c r="EW105" s="24"/>
      <c r="FG105" s="24"/>
    </row>
    <row r="106" spans="1:163" x14ac:dyDescent="0.25">
      <c r="A106" s="3">
        <v>45170</v>
      </c>
      <c r="B106" s="1">
        <f t="shared" si="84"/>
        <v>2023</v>
      </c>
      <c r="C106" s="1">
        <f t="shared" si="85"/>
        <v>9</v>
      </c>
      <c r="D106" s="263">
        <v>17.433055555555555</v>
      </c>
      <c r="E106" s="263">
        <v>95.22083333333336</v>
      </c>
      <c r="F106" s="263">
        <v>18.212499999999995</v>
      </c>
      <c r="G106" s="263">
        <v>47.591666666666676</v>
      </c>
      <c r="H106" s="263">
        <v>30.583333333333329</v>
      </c>
      <c r="I106" s="263">
        <v>15.216666666666669</v>
      </c>
      <c r="J106" s="263">
        <v>58.208333333333314</v>
      </c>
      <c r="K106" s="263">
        <v>2.3583333333333378</v>
      </c>
      <c r="L106" s="263">
        <v>105.35</v>
      </c>
      <c r="M106" s="263">
        <v>0</v>
      </c>
      <c r="N106" s="263">
        <v>162.99166666666662</v>
      </c>
      <c r="O106" s="263">
        <v>0</v>
      </c>
      <c r="P106" s="263">
        <v>222.99166666666656</v>
      </c>
      <c r="Q106" s="263">
        <v>0</v>
      </c>
      <c r="R106" s="263">
        <v>282.99166666666656</v>
      </c>
      <c r="DP106" s="18">
        <f ca="1">'Monthly Data'!F106</f>
        <v>46566233.731656738</v>
      </c>
      <c r="DQ106" s="18">
        <f ca="1">'Monthly Data'!J106</f>
        <v>10872890.40478022</v>
      </c>
      <c r="DR106" s="18">
        <f ca="1">'Monthly Data'!N106</f>
        <v>25834097.328989398</v>
      </c>
      <c r="DS106" s="4">
        <f ca="1">'Monthly Data'!S106</f>
        <v>7952862.3344004741</v>
      </c>
      <c r="DT106" s="4">
        <f>'Monthly Data'!V106</f>
        <v>2945265.9434799016</v>
      </c>
      <c r="DU106" s="18">
        <f t="shared" si="86"/>
        <v>41447271.332824133</v>
      </c>
      <c r="DV106" s="18">
        <f t="shared" si="87"/>
        <v>10145830.934308531</v>
      </c>
      <c r="DW106" s="18">
        <f t="shared" si="88"/>
        <v>25371024.247080278</v>
      </c>
      <c r="DX106" s="18">
        <f t="shared" si="89"/>
        <v>7542293.307007391</v>
      </c>
      <c r="DY106" s="18">
        <f t="shared" si="90"/>
        <v>3242365.3228154425</v>
      </c>
      <c r="ER106" s="24">
        <f ca="1">'Monthly Data'!F106/'Monthly Data'!G106/'Monthly Data'!CD106</f>
        <v>27.093869629171312</v>
      </c>
      <c r="ES106" s="259">
        <f ca="1">'Monthly Data'!J106/'Monthly Data'!K106/'Monthly Data'!CD106</f>
        <v>81.812568884727014</v>
      </c>
      <c r="ET106" s="24">
        <f ca="1">'Monthly Data'!N106/'Monthly Data'!P106/'Monthly Data'!CD106</f>
        <v>1705.220945807881</v>
      </c>
      <c r="EU106" s="24">
        <f>'Monthly Data'!Q106/'Monthly Data'!U106/'Monthly Data'!CD106</f>
        <v>12965.062986115221</v>
      </c>
      <c r="EV106" s="24">
        <f>'Monthly Data'!V106/'Monthly Data'!Z106/'Monthly Data'!CD106</f>
        <v>98175.531449330054</v>
      </c>
      <c r="EW106" s="24"/>
      <c r="FG106" s="24"/>
    </row>
    <row r="107" spans="1:163" x14ac:dyDescent="0.25">
      <c r="A107" s="3">
        <v>45200</v>
      </c>
      <c r="B107" s="1">
        <f t="shared" si="84"/>
        <v>2023</v>
      </c>
      <c r="C107" s="1">
        <f t="shared" si="85"/>
        <v>10</v>
      </c>
      <c r="D107" s="263">
        <v>11.553225806451612</v>
      </c>
      <c r="E107" s="263">
        <v>261.85000000000002</v>
      </c>
      <c r="F107" s="263">
        <v>0</v>
      </c>
      <c r="G107" s="263">
        <v>207.15416666666667</v>
      </c>
      <c r="H107" s="263">
        <v>7.3041666666666707</v>
      </c>
      <c r="I107" s="263">
        <v>157.42916666666665</v>
      </c>
      <c r="J107" s="263">
        <v>19.579166666666676</v>
      </c>
      <c r="K107" s="263">
        <v>111.18333333333332</v>
      </c>
      <c r="L107" s="263">
        <v>35.333333333333343</v>
      </c>
      <c r="M107" s="263">
        <v>68.475000000000009</v>
      </c>
      <c r="N107" s="263">
        <v>54.625</v>
      </c>
      <c r="O107" s="263">
        <v>37.779166666666669</v>
      </c>
      <c r="P107" s="263">
        <v>85.929166666666674</v>
      </c>
      <c r="Q107" s="263">
        <v>17.783333333333335</v>
      </c>
      <c r="R107" s="263">
        <v>127.93333333333337</v>
      </c>
      <c r="DP107" s="18">
        <f ca="1">'Monthly Data'!F107</f>
        <v>39171671.5658613</v>
      </c>
      <c r="DQ107" s="18">
        <f ca="1">'Monthly Data'!J107</f>
        <v>10590155.23735683</v>
      </c>
      <c r="DR107" s="18">
        <f ca="1">'Monthly Data'!N107</f>
        <v>25438509.770386744</v>
      </c>
      <c r="DS107" s="4">
        <f ca="1">'Monthly Data'!S107</f>
        <v>6667523.0009363433</v>
      </c>
      <c r="DT107" s="4">
        <f>'Monthly Data'!V107</f>
        <v>2948633.5569325746</v>
      </c>
      <c r="DU107" s="18">
        <f t="shared" si="86"/>
        <v>37187186.993067026</v>
      </c>
      <c r="DV107" s="18">
        <f t="shared" si="87"/>
        <v>10000313.047488526</v>
      </c>
      <c r="DW107" s="18">
        <f t="shared" si="88"/>
        <v>24435367.619847313</v>
      </c>
      <c r="DX107" s="18">
        <f t="shared" si="89"/>
        <v>7053660.6574563766</v>
      </c>
      <c r="DY107" s="18">
        <f t="shared" si="90"/>
        <v>3159821.4354421743</v>
      </c>
      <c r="ER107" s="24">
        <f ca="1">'Monthly Data'!F107/'Monthly Data'!G107/'Monthly Data'!CD107</f>
        <v>22.04393267115891</v>
      </c>
      <c r="ES107" s="259">
        <f ca="1">'Monthly Data'!J107/'Monthly Data'!K107/'Monthly Data'!CD107</f>
        <v>76.923645774032522</v>
      </c>
      <c r="ET107" s="24">
        <f ca="1">'Monthly Data'!N107/'Monthly Data'!P107/'Monthly Data'!CD107</f>
        <v>1615.3486011167606</v>
      </c>
      <c r="EU107" s="24">
        <f>'Monthly Data'!Q107/'Monthly Data'!U107/'Monthly Data'!CD107</f>
        <v>10237.090088227582</v>
      </c>
      <c r="EV107" s="24">
        <f>'Monthly Data'!V107/'Monthly Data'!Z107/'Monthly Data'!CD107</f>
        <v>95117.211513954026</v>
      </c>
      <c r="EW107" s="24"/>
      <c r="FG107" s="24"/>
    </row>
    <row r="108" spans="1:163" x14ac:dyDescent="0.25">
      <c r="A108" s="3">
        <v>45231</v>
      </c>
      <c r="B108" s="1">
        <f t="shared" si="84"/>
        <v>2023</v>
      </c>
      <c r="C108" s="1">
        <f t="shared" si="85"/>
        <v>11</v>
      </c>
      <c r="D108" s="263">
        <v>2.9802294685990343</v>
      </c>
      <c r="E108" s="263">
        <v>510.59311594202899</v>
      </c>
      <c r="F108" s="263">
        <v>0</v>
      </c>
      <c r="G108" s="263">
        <v>450.59311594202899</v>
      </c>
      <c r="H108" s="263">
        <v>0</v>
      </c>
      <c r="I108" s="263">
        <v>390.59311594202899</v>
      </c>
      <c r="J108" s="263">
        <v>0</v>
      </c>
      <c r="K108" s="263">
        <v>330.59311594202904</v>
      </c>
      <c r="L108" s="263">
        <v>0</v>
      </c>
      <c r="M108" s="263">
        <v>270.59311594202899</v>
      </c>
      <c r="N108" s="263">
        <v>0</v>
      </c>
      <c r="O108" s="263">
        <v>210.95561594202897</v>
      </c>
      <c r="P108" s="263">
        <v>0.36249999999999893</v>
      </c>
      <c r="Q108" s="263">
        <v>153.42644927536227</v>
      </c>
      <c r="R108" s="263">
        <v>2.8333333333333304</v>
      </c>
      <c r="DP108" s="18">
        <f ca="1">'Monthly Data'!F108</f>
        <v>41789523.983142883</v>
      </c>
      <c r="DQ108" s="18">
        <f ca="1">'Monthly Data'!J108</f>
        <v>11130031.213250717</v>
      </c>
      <c r="DR108" s="18">
        <f ca="1">'Monthly Data'!N108</f>
        <v>27643217.62062512</v>
      </c>
      <c r="DS108" s="4">
        <f ca="1">'Monthly Data'!S108</f>
        <v>7486805.8952734377</v>
      </c>
      <c r="DT108" s="4">
        <f>'Monthly Data'!V108</f>
        <v>3365865.081233291</v>
      </c>
      <c r="DU108" s="18">
        <f t="shared" si="86"/>
        <v>40121621.841114029</v>
      </c>
      <c r="DV108" s="18">
        <f t="shared" si="87"/>
        <v>10829550.294120613</v>
      </c>
      <c r="DW108" s="18">
        <f t="shared" si="88"/>
        <v>27052469.458342664</v>
      </c>
      <c r="DX108" s="18">
        <f t="shared" si="89"/>
        <v>6836014.7168720877</v>
      </c>
      <c r="DY108" s="18">
        <f t="shared" si="90"/>
        <v>3154012.7568358425</v>
      </c>
      <c r="ER108" s="24">
        <f ca="1">'Monthly Data'!F108/'Monthly Data'!G108/'Monthly Data'!CD108</f>
        <v>24.304854618872319</v>
      </c>
      <c r="ES108" s="259">
        <f ca="1">'Monthly Data'!J108/'Monthly Data'!K108/'Monthly Data'!CD108</f>
        <v>83.184089785132429</v>
      </c>
      <c r="ET108" s="24">
        <f ca="1">'Monthly Data'!N108/'Monthly Data'!P108/'Monthly Data'!CD108</f>
        <v>1817.4370559253859</v>
      </c>
      <c r="EU108" s="24">
        <f>'Monthly Data'!Q108/'Monthly Data'!U108/'Monthly Data'!CD108</f>
        <v>12089.038432890717</v>
      </c>
      <c r="EV108" s="24">
        <f>'Monthly Data'!V108/'Monthly Data'!Z108/'Monthly Data'!CD108</f>
        <v>112195.50270777637</v>
      </c>
      <c r="EW108" s="24"/>
      <c r="FG108" s="24"/>
    </row>
    <row r="109" spans="1:163" x14ac:dyDescent="0.25">
      <c r="A109" s="3">
        <v>45261</v>
      </c>
      <c r="B109" s="1">
        <f t="shared" si="84"/>
        <v>2023</v>
      </c>
      <c r="C109" s="1">
        <f t="shared" si="85"/>
        <v>12</v>
      </c>
      <c r="D109" s="263">
        <v>2.2038978494623653</v>
      </c>
      <c r="E109" s="263">
        <v>551.67916666666667</v>
      </c>
      <c r="F109" s="263">
        <v>0</v>
      </c>
      <c r="G109" s="263">
        <v>489.67916666666667</v>
      </c>
      <c r="H109" s="263">
        <v>0</v>
      </c>
      <c r="I109" s="263">
        <v>427.67916666666667</v>
      </c>
      <c r="J109" s="263">
        <v>0</v>
      </c>
      <c r="K109" s="263">
        <v>365.67916666666667</v>
      </c>
      <c r="L109" s="263">
        <v>0</v>
      </c>
      <c r="M109" s="263">
        <v>303.67916666666667</v>
      </c>
      <c r="N109" s="263">
        <v>0</v>
      </c>
      <c r="O109" s="263">
        <v>241.67916666666659</v>
      </c>
      <c r="P109" s="263">
        <v>0</v>
      </c>
      <c r="Q109" s="263">
        <v>180.36666666666662</v>
      </c>
      <c r="R109" s="263">
        <v>0.68750000000000178</v>
      </c>
      <c r="DP109" s="18">
        <f ca="1">'Monthly Data'!F109</f>
        <v>46337671.865408465</v>
      </c>
      <c r="DQ109" s="18">
        <f ca="1">'Monthly Data'!J109</f>
        <v>12205774.280737044</v>
      </c>
      <c r="DR109" s="18">
        <f ca="1">'Monthly Data'!N109</f>
        <v>28937646.579592828</v>
      </c>
      <c r="DS109" s="4">
        <f ca="1">'Monthly Data'!S109</f>
        <v>6814669.4166436857</v>
      </c>
      <c r="DT109" s="4">
        <f>'Monthly Data'!V109</f>
        <v>3262989.9218887375</v>
      </c>
      <c r="DU109" s="18">
        <f t="shared" si="86"/>
        <v>41205168.634461224</v>
      </c>
      <c r="DV109" s="18">
        <f t="shared" si="87"/>
        <v>11036966.822108289</v>
      </c>
      <c r="DW109" s="18">
        <f t="shared" si="88"/>
        <v>27668153.55843081</v>
      </c>
      <c r="DX109" s="18">
        <f t="shared" si="89"/>
        <v>6841728.7578076003</v>
      </c>
      <c r="DY109" s="18">
        <f t="shared" si="90"/>
        <v>3161090.7983112722</v>
      </c>
      <c r="ER109" s="24">
        <f ca="1">'Monthly Data'!F109/'Monthly Data'!G109/'Monthly Data'!CD109</f>
        <v>26.079797759078136</v>
      </c>
      <c r="ES109" s="259">
        <f ca="1">'Monthly Data'!J109/'Monthly Data'!K109/'Monthly Data'!CD109</f>
        <v>88.005063526447032</v>
      </c>
      <c r="ET109" s="24">
        <f ca="1">'Monthly Data'!N109/'Monthly Data'!P109/'Monthly Data'!CD109</f>
        <v>1837.5442328926104</v>
      </c>
      <c r="EU109" s="24">
        <f>'Monthly Data'!Q109/'Monthly Data'!U109/'Monthly Data'!CD109</f>
        <v>10488.254238932146</v>
      </c>
      <c r="EV109" s="24">
        <f>'Monthly Data'!V109/'Monthly Data'!Z109/'Monthly Data'!CD109</f>
        <v>105257.73941576573</v>
      </c>
      <c r="EW109" s="24"/>
      <c r="FG109" s="24"/>
    </row>
    <row r="110" spans="1:163" x14ac:dyDescent="0.25">
      <c r="A110" s="3">
        <v>45292</v>
      </c>
      <c r="B110" s="1">
        <f t="shared" si="84"/>
        <v>2024</v>
      </c>
      <c r="C110" s="1">
        <f t="shared" si="85"/>
        <v>1</v>
      </c>
      <c r="D110" s="263">
        <v>-2.5482526881720431</v>
      </c>
      <c r="E110" s="263">
        <v>698.99583333333328</v>
      </c>
      <c r="F110" s="263">
        <v>0</v>
      </c>
      <c r="G110" s="263">
        <v>636.99583333333339</v>
      </c>
      <c r="H110" s="263">
        <v>0</v>
      </c>
      <c r="I110" s="263">
        <v>574.99583333333339</v>
      </c>
      <c r="J110" s="263">
        <v>0</v>
      </c>
      <c r="K110" s="263">
        <v>512.99583333333328</v>
      </c>
      <c r="L110" s="263">
        <v>0</v>
      </c>
      <c r="M110" s="263">
        <v>450.99583333333322</v>
      </c>
      <c r="N110" s="263">
        <v>0</v>
      </c>
      <c r="O110" s="263">
        <v>388.99583333333317</v>
      </c>
      <c r="P110" s="263">
        <v>0</v>
      </c>
      <c r="Q110" s="263">
        <v>326.99583333333317</v>
      </c>
      <c r="R110" s="263">
        <v>0</v>
      </c>
      <c r="DP110" s="18">
        <f ca="1">'Monthly Data'!F110</f>
        <v>49476659.038921513</v>
      </c>
      <c r="DQ110" s="18">
        <f ca="1">'Monthly Data'!J110</f>
        <v>13014635.147972617</v>
      </c>
      <c r="DR110" s="18">
        <f ca="1">'Monthly Data'!N110</f>
        <v>32762071.883867092</v>
      </c>
      <c r="DS110" s="4">
        <f ca="1">'Monthly Data'!S110</f>
        <v>7527605.8341107564</v>
      </c>
      <c r="DT110" s="4">
        <f>'Monthly Data'!V110</f>
        <v>3490906.9121080958</v>
      </c>
      <c r="DU110" s="18">
        <f t="shared" si="86"/>
        <v>45754683.284201339</v>
      </c>
      <c r="DV110" s="18">
        <f t="shared" si="87"/>
        <v>11860886.083331166</v>
      </c>
      <c r="DW110" s="18">
        <f t="shared" si="88"/>
        <v>30620303.528255697</v>
      </c>
      <c r="DX110" s="18">
        <f t="shared" si="89"/>
        <v>6867170.7022337401</v>
      </c>
      <c r="DY110" s="18">
        <f t="shared" si="90"/>
        <v>3192605.9974314938</v>
      </c>
      <c r="ER110" s="24">
        <f ca="1">'Monthly Data'!F110/'Monthly Data'!G110/'Monthly Data'!CD110</f>
        <v>27.720733987321733</v>
      </c>
      <c r="ES110" s="259">
        <f ca="1">'Monthly Data'!J110/'Monthly Data'!K110/'Monthly Data'!CD110</f>
        <v>94.790458400808589</v>
      </c>
      <c r="ET110" s="24">
        <f ca="1">'Monthly Data'!N110/'Monthly Data'!P110/'Monthly Data'!CD110</f>
        <v>2064.142633812191</v>
      </c>
      <c r="EU110" s="24">
        <f>'Monthly Data'!Q110/'Monthly Data'!U110/'Monthly Data'!CD110</f>
        <v>12373.170777988615</v>
      </c>
      <c r="EV110" s="24">
        <f>'Monthly Data'!V110/'Monthly Data'!Z110/'Monthly Data'!CD110</f>
        <v>112609.90039058373</v>
      </c>
      <c r="EW110" s="24"/>
      <c r="FG110" s="24"/>
    </row>
    <row r="111" spans="1:163" x14ac:dyDescent="0.25">
      <c r="A111" s="3">
        <v>45323</v>
      </c>
      <c r="B111" s="1">
        <f t="shared" si="84"/>
        <v>2024</v>
      </c>
      <c r="C111" s="1">
        <f t="shared" si="85"/>
        <v>2</v>
      </c>
      <c r="D111" s="263">
        <v>-0.72298850574712648</v>
      </c>
      <c r="E111" s="263">
        <v>600.96666666666647</v>
      </c>
      <c r="F111" s="263">
        <v>0</v>
      </c>
      <c r="G111" s="263">
        <v>542.96666666666658</v>
      </c>
      <c r="H111" s="263">
        <v>0</v>
      </c>
      <c r="I111" s="263">
        <v>484.96666666666658</v>
      </c>
      <c r="J111" s="263">
        <v>0</v>
      </c>
      <c r="K111" s="263">
        <v>426.96666666666664</v>
      </c>
      <c r="L111" s="263">
        <v>0</v>
      </c>
      <c r="M111" s="263">
        <v>368.96666666666664</v>
      </c>
      <c r="N111" s="263">
        <v>0</v>
      </c>
      <c r="O111" s="263">
        <v>310.9666666666667</v>
      </c>
      <c r="P111" s="263">
        <v>0</v>
      </c>
      <c r="Q111" s="263">
        <v>252.9666666666667</v>
      </c>
      <c r="R111" s="263">
        <v>0</v>
      </c>
      <c r="DP111" s="18">
        <f ca="1">'Monthly Data'!F111</f>
        <v>43226633.74598562</v>
      </c>
      <c r="DQ111" s="18">
        <f ca="1">'Monthly Data'!J111</f>
        <v>11809067.11452879</v>
      </c>
      <c r="DR111" s="18">
        <f ca="1">'Monthly Data'!N111</f>
        <v>28308241.473781988</v>
      </c>
      <c r="DS111" s="4">
        <f ca="1">'Monthly Data'!S111</f>
        <v>6745787.1723414566</v>
      </c>
      <c r="DT111" s="4">
        <f>'Monthly Data'!V111</f>
        <v>3323334.9163271203</v>
      </c>
      <c r="DU111" s="18">
        <f t="shared" si="86"/>
        <v>43097883.053033099</v>
      </c>
      <c r="DV111" s="18">
        <f t="shared" si="87"/>
        <v>11357366.92173928</v>
      </c>
      <c r="DW111" s="18">
        <f t="shared" si="88"/>
        <v>29056639.299131632</v>
      </c>
      <c r="DX111" s="18">
        <f t="shared" si="89"/>
        <v>6853004.066870085</v>
      </c>
      <c r="DY111" s="18">
        <f t="shared" si="90"/>
        <v>3175057.6400075825</v>
      </c>
      <c r="ER111" s="24">
        <f ca="1">'Monthly Data'!F111/'Monthly Data'!G111/'Monthly Data'!CD111</f>
        <v>25.894647211712037</v>
      </c>
      <c r="ES111" s="259">
        <f ca="1">'Monthly Data'!J111/'Monthly Data'!K111/'Monthly Data'!CD111</f>
        <v>91.983106131877193</v>
      </c>
      <c r="ET111" s="24">
        <f ca="1">'Monthly Data'!N111/'Monthly Data'!P111/'Monthly Data'!CD111</f>
        <v>1902.8192158218719</v>
      </c>
      <c r="EU111" s="24">
        <f>'Monthly Data'!Q111/'Monthly Data'!U111/'Monthly Data'!CD111</f>
        <v>11623.354969574037</v>
      </c>
      <c r="EV111" s="24">
        <f>'Monthly Data'!V111/'Monthly Data'!Z111/'Monthly Data'!CD111</f>
        <v>114597.75573541794</v>
      </c>
      <c r="EW111" s="24"/>
      <c r="FG111" s="24"/>
    </row>
    <row r="112" spans="1:163" x14ac:dyDescent="0.25">
      <c r="A112" s="3">
        <v>45352</v>
      </c>
      <c r="B112" s="1">
        <f t="shared" si="84"/>
        <v>2024</v>
      </c>
      <c r="C112" s="1">
        <f t="shared" si="85"/>
        <v>3</v>
      </c>
      <c r="D112" s="263">
        <v>3.1576612903225802</v>
      </c>
      <c r="E112" s="263">
        <v>522.11249999999995</v>
      </c>
      <c r="F112" s="263">
        <v>0</v>
      </c>
      <c r="G112" s="263">
        <v>460.11250000000001</v>
      </c>
      <c r="H112" s="263">
        <v>0</v>
      </c>
      <c r="I112" s="263">
        <v>398.11250000000001</v>
      </c>
      <c r="J112" s="263">
        <v>0</v>
      </c>
      <c r="K112" s="263">
        <v>336.11249999999995</v>
      </c>
      <c r="L112" s="263">
        <v>0</v>
      </c>
      <c r="M112" s="263">
        <v>274.11250000000001</v>
      </c>
      <c r="N112" s="263">
        <v>0</v>
      </c>
      <c r="O112" s="263">
        <v>212.11250000000004</v>
      </c>
      <c r="P112" s="263">
        <v>0</v>
      </c>
      <c r="Q112" s="263">
        <v>154.69166666666669</v>
      </c>
      <c r="R112" s="263">
        <v>4.5791666666666657</v>
      </c>
      <c r="DP112" s="18">
        <f ca="1">'Monthly Data'!F112</f>
        <v>44980060.036208034</v>
      </c>
      <c r="DQ112" s="18">
        <f ca="1">'Monthly Data'!J112</f>
        <v>11846684.157773821</v>
      </c>
      <c r="DR112" s="18">
        <f ca="1">'Monthly Data'!N112</f>
        <v>27974502.183322255</v>
      </c>
      <c r="DS112" s="4">
        <f ca="1">'Monthly Data'!S112</f>
        <v>7044960.5105721559</v>
      </c>
      <c r="DT112" s="4">
        <f>'Monthly Data'!V112</f>
        <v>3467586.9126952323</v>
      </c>
      <c r="DU112" s="18">
        <f t="shared" si="86"/>
        <v>40292074.50745149</v>
      </c>
      <c r="DV112" s="18">
        <f t="shared" si="87"/>
        <v>10871605.04256203</v>
      </c>
      <c r="DW112" s="18">
        <f t="shared" si="88"/>
        <v>27075652.817796201</v>
      </c>
      <c r="DX112" s="18">
        <f t="shared" si="89"/>
        <v>6836622.5230059298</v>
      </c>
      <c r="DY112" s="18">
        <f t="shared" si="90"/>
        <v>3154765.6525663608</v>
      </c>
      <c r="ER112" s="24">
        <f ca="1">'Monthly Data'!F112/'Monthly Data'!G112/'Monthly Data'!CD112</f>
        <v>25.155943733201962</v>
      </c>
      <c r="ES112" s="259">
        <f ca="1">'Monthly Data'!J112/'Monthly Data'!K112/'Monthly Data'!CD112</f>
        <v>86.244888707666803</v>
      </c>
      <c r="ET112" s="24">
        <f ca="1">'Monthly Data'!N112/'Monthly Data'!P112/'Monthly Data'!CD112</f>
        <v>1759.0707528970795</v>
      </c>
      <c r="EU112" s="24">
        <f>'Monthly Data'!Q112/'Monthly Data'!U112/'Monthly Data'!CD112</f>
        <v>11424.969639468691</v>
      </c>
      <c r="EV112" s="24">
        <f>'Monthly Data'!V112/'Monthly Data'!Z112/'Monthly Data'!CD112</f>
        <v>111857.64234500749</v>
      </c>
      <c r="EW112" s="24"/>
      <c r="FG112" s="24"/>
    </row>
    <row r="113" spans="1:163" x14ac:dyDescent="0.25">
      <c r="A113" s="3">
        <v>45383</v>
      </c>
      <c r="B113" s="1">
        <f t="shared" si="84"/>
        <v>2024</v>
      </c>
      <c r="C113" s="1">
        <f t="shared" si="85"/>
        <v>4</v>
      </c>
      <c r="D113" s="263">
        <v>7.7234027777777765</v>
      </c>
      <c r="E113" s="263">
        <v>368.29791666666671</v>
      </c>
      <c r="F113" s="263">
        <v>0</v>
      </c>
      <c r="G113" s="263">
        <v>308.29791666666665</v>
      </c>
      <c r="H113" s="263">
        <v>0</v>
      </c>
      <c r="I113" s="263">
        <v>248.29791666666665</v>
      </c>
      <c r="J113" s="263">
        <v>0</v>
      </c>
      <c r="K113" s="263">
        <v>188.29791666666671</v>
      </c>
      <c r="L113" s="263">
        <v>0</v>
      </c>
      <c r="M113" s="263">
        <v>130.68125000000001</v>
      </c>
      <c r="N113" s="263">
        <v>2.3833333333333346</v>
      </c>
      <c r="O113" s="263">
        <v>78.922916666666652</v>
      </c>
      <c r="P113" s="263">
        <v>10.625</v>
      </c>
      <c r="Q113" s="263">
        <v>41.093749999999993</v>
      </c>
      <c r="R113" s="263">
        <v>32.795833333333334</v>
      </c>
      <c r="DP113" s="18">
        <f ca="1">'Monthly Data'!F113</f>
        <v>40976628.503210261</v>
      </c>
      <c r="DQ113" s="18">
        <f ca="1">'Monthly Data'!J113</f>
        <v>10810229.198586483</v>
      </c>
      <c r="DR113" s="18">
        <f ca="1">'Monthly Data'!N113</f>
        <v>23880897.692670103</v>
      </c>
      <c r="DS113" s="4">
        <f ca="1">'Monthly Data'!S113</f>
        <v>7401293.8488028552</v>
      </c>
      <c r="DT113" s="4">
        <f>'Monthly Data'!V113</f>
        <v>3191122.9196558725</v>
      </c>
      <c r="DU113" s="18">
        <f t="shared" si="86"/>
        <v>35894790.666490853</v>
      </c>
      <c r="DV113" s="18">
        <f t="shared" si="87"/>
        <v>10033715.32096176</v>
      </c>
      <c r="DW113" s="18">
        <f t="shared" si="88"/>
        <v>24443830.947859675</v>
      </c>
      <c r="DX113" s="18">
        <f t="shared" si="89"/>
        <v>6811851.599429925</v>
      </c>
      <c r="DY113" s="18">
        <f t="shared" si="90"/>
        <v>3124081.6538981022</v>
      </c>
      <c r="ER113" s="24">
        <f ca="1">'Monthly Data'!F113/'Monthly Data'!G113/'Monthly Data'!CD113</f>
        <v>23.630864808111891</v>
      </c>
      <c r="ES113" s="259">
        <f ca="1">'Monthly Data'!J113/'Monthly Data'!K113/'Monthly Data'!CD113</f>
        <v>81.286030517982425</v>
      </c>
      <c r="ET113" s="24">
        <f ca="1">'Monthly Data'!N113/'Monthly Data'!P113/'Monthly Data'!CD113</f>
        <v>1548.6963484221856</v>
      </c>
      <c r="EU113" s="24">
        <f>'Monthly Data'!Q113/'Monthly Data'!U113/'Monthly Data'!CD113</f>
        <v>12487.772549019608</v>
      </c>
      <c r="EV113" s="24">
        <f>'Monthly Data'!V113/'Monthly Data'!Z113/'Monthly Data'!CD113</f>
        <v>106370.76398852908</v>
      </c>
      <c r="EW113" s="24"/>
      <c r="FG113" s="24"/>
    </row>
    <row r="114" spans="1:163" x14ac:dyDescent="0.25">
      <c r="A114" s="3">
        <v>45413</v>
      </c>
      <c r="B114" s="1">
        <f t="shared" si="84"/>
        <v>2024</v>
      </c>
      <c r="C114" s="1">
        <f t="shared" si="85"/>
        <v>5</v>
      </c>
      <c r="D114" s="263">
        <v>15.455779569892472</v>
      </c>
      <c r="E114" s="263">
        <v>143.5708333333333</v>
      </c>
      <c r="F114" s="263">
        <v>2.6999999999999957</v>
      </c>
      <c r="G114" s="263">
        <v>89.52916666666664</v>
      </c>
      <c r="H114" s="263">
        <v>10.658333333333328</v>
      </c>
      <c r="I114" s="263">
        <v>44.158333333333317</v>
      </c>
      <c r="J114" s="263">
        <v>27.287500000000005</v>
      </c>
      <c r="K114" s="263">
        <v>15.562499999999984</v>
      </c>
      <c r="L114" s="263">
        <v>60.691666666666663</v>
      </c>
      <c r="M114" s="263">
        <v>2.9208333333333272</v>
      </c>
      <c r="N114" s="263">
        <v>110.05000000000001</v>
      </c>
      <c r="O114" s="263">
        <v>0</v>
      </c>
      <c r="P114" s="263">
        <v>169.12916666666669</v>
      </c>
      <c r="Q114" s="263">
        <v>0</v>
      </c>
      <c r="R114" s="263">
        <v>231.12916666666669</v>
      </c>
      <c r="DP114" s="18">
        <f ca="1">'Monthly Data'!F114</f>
        <v>40992624.283915721</v>
      </c>
      <c r="DQ114" s="18">
        <f ca="1">'Monthly Data'!J114</f>
        <v>10819174.870085414</v>
      </c>
      <c r="DR114" s="18">
        <f ca="1">'Monthly Data'!N114</f>
        <v>25683253.31217394</v>
      </c>
      <c r="DS114" s="4">
        <f ca="1">'Monthly Data'!S114</f>
        <v>7911842.1870335545</v>
      </c>
      <c r="DT114" s="4">
        <f>'Monthly Data'!V114</f>
        <v>3367176.9152232935</v>
      </c>
      <c r="DU114" s="18">
        <f t="shared" si="86"/>
        <v>38131930.776832335</v>
      </c>
      <c r="DV114" s="18">
        <f t="shared" si="87"/>
        <v>9707574.440123044</v>
      </c>
      <c r="DW114" s="18">
        <f t="shared" si="88"/>
        <v>24544053.773261491</v>
      </c>
      <c r="DX114" s="18">
        <f t="shared" si="89"/>
        <v>7223593.1692017801</v>
      </c>
      <c r="DY114" s="18">
        <f t="shared" si="90"/>
        <v>3180998.3506772853</v>
      </c>
      <c r="ER114" s="24">
        <f ca="1">'Monthly Data'!F114/'Monthly Data'!G114/'Monthly Data'!CD114</f>
        <v>22.83641686963114</v>
      </c>
      <c r="ES114" s="259">
        <f ca="1">'Monthly Data'!J114/'Monthly Data'!K114/'Monthly Data'!CD114</f>
        <v>78.64029764995432</v>
      </c>
      <c r="ET114" s="24">
        <f ca="1">'Monthly Data'!N114/'Monthly Data'!P114/'Monthly Data'!CD114</f>
        <v>1608.7224122877508</v>
      </c>
      <c r="EU114" s="24">
        <f>'Monthly Data'!Q114/'Monthly Data'!U114/'Monthly Data'!CD114</f>
        <v>13037.540796963947</v>
      </c>
      <c r="EV114" s="24">
        <f>'Monthly Data'!V114/'Monthly Data'!Z114/'Monthly Data'!CD114</f>
        <v>108618.61016849334</v>
      </c>
      <c r="EW114" s="24"/>
      <c r="FG114" s="24"/>
    </row>
    <row r="115" spans="1:163" x14ac:dyDescent="0.25">
      <c r="A115" s="3">
        <v>45444</v>
      </c>
      <c r="B115" s="1">
        <f t="shared" si="84"/>
        <v>2024</v>
      </c>
      <c r="C115" s="1">
        <f t="shared" si="85"/>
        <v>6</v>
      </c>
      <c r="D115" s="263">
        <v>18.805138888888891</v>
      </c>
      <c r="E115" s="263">
        <v>60.86249999999999</v>
      </c>
      <c r="F115" s="263">
        <v>25.01666666666668</v>
      </c>
      <c r="G115" s="263">
        <v>31.570833333333319</v>
      </c>
      <c r="H115" s="263">
        <v>55.725000000000009</v>
      </c>
      <c r="I115" s="263">
        <v>10.312499999999995</v>
      </c>
      <c r="J115" s="263">
        <v>94.466666666666669</v>
      </c>
      <c r="K115" s="263">
        <v>2.4583333333333321</v>
      </c>
      <c r="L115" s="263">
        <v>146.61250000000007</v>
      </c>
      <c r="M115" s="263">
        <v>0</v>
      </c>
      <c r="N115" s="263">
        <v>204.15416666666667</v>
      </c>
      <c r="O115" s="263">
        <v>0</v>
      </c>
      <c r="P115" s="263">
        <v>264.15416666666664</v>
      </c>
      <c r="Q115" s="263">
        <v>0</v>
      </c>
      <c r="R115" s="263">
        <v>324.1541666666667</v>
      </c>
      <c r="DP115" s="18">
        <f ca="1">'Monthly Data'!F115</f>
        <v>45944836.893358529</v>
      </c>
      <c r="DQ115" s="18">
        <f ca="1">'Monthly Data'!J115</f>
        <v>11549073.488623625</v>
      </c>
      <c r="DR115" s="18">
        <f ca="1">'Monthly Data'!N115</f>
        <v>27231708.21783587</v>
      </c>
      <c r="DS115" s="4">
        <f ca="1">'Monthly Data'!S115</f>
        <v>8689046.5252642538</v>
      </c>
      <c r="DT115" s="4">
        <f>'Monthly Data'!V115</f>
        <v>3275187.9175393358</v>
      </c>
      <c r="DU115" s="18">
        <f t="shared" si="86"/>
        <v>44345109.457007177</v>
      </c>
      <c r="DV115" s="18">
        <f t="shared" si="87"/>
        <v>10672891.919459417</v>
      </c>
      <c r="DW115" s="18">
        <f t="shared" si="88"/>
        <v>26013999.322702486</v>
      </c>
      <c r="DX115" s="18">
        <f t="shared" si="89"/>
        <v>7837225.4663902102</v>
      </c>
      <c r="DY115" s="18">
        <f t="shared" si="90"/>
        <v>3299643.2667290033</v>
      </c>
      <c r="ER115" s="24">
        <f ca="1">'Monthly Data'!F115/'Monthly Data'!G115/'Monthly Data'!CD115</f>
        <v>26.43379124069163</v>
      </c>
      <c r="ES115" s="259">
        <f ca="1">'Monthly Data'!J115/'Monthly Data'!K115/'Monthly Data'!CD115</f>
        <v>86.763379825885536</v>
      </c>
      <c r="ET115" s="24">
        <f ca="1">'Monthly Data'!N115/'Monthly Data'!P115/'Monthly Data'!CD115</f>
        <v>1755.7516581454463</v>
      </c>
      <c r="EU115" s="24">
        <f>'Monthly Data'!Q115/'Monthly Data'!U115/'Monthly Data'!CD115</f>
        <v>14979.333333333334</v>
      </c>
      <c r="EV115" s="24">
        <f>'Monthly Data'!V115/'Monthly Data'!Z115/'Monthly Data'!CD115</f>
        <v>109172.93058464452</v>
      </c>
      <c r="EW115" s="24"/>
      <c r="FG115" s="24"/>
    </row>
    <row r="116" spans="1:163" x14ac:dyDescent="0.25">
      <c r="A116" s="3">
        <v>45474</v>
      </c>
      <c r="B116" s="1">
        <f t="shared" si="84"/>
        <v>2024</v>
      </c>
      <c r="C116" s="1">
        <f t="shared" si="85"/>
        <v>7</v>
      </c>
      <c r="D116" s="263">
        <v>21.778763440860214</v>
      </c>
      <c r="E116" s="263">
        <v>5.5666666666666629</v>
      </c>
      <c r="F116" s="263">
        <v>60.708333333333343</v>
      </c>
      <c r="G116" s="263">
        <v>0.32916666666666927</v>
      </c>
      <c r="H116" s="263">
        <v>117.47083333333335</v>
      </c>
      <c r="I116" s="263">
        <v>0</v>
      </c>
      <c r="J116" s="263">
        <v>179.14166666666668</v>
      </c>
      <c r="K116" s="263">
        <v>0</v>
      </c>
      <c r="L116" s="263">
        <v>241.14166666666668</v>
      </c>
      <c r="M116" s="263">
        <v>0</v>
      </c>
      <c r="N116" s="263">
        <v>303.14166666666665</v>
      </c>
      <c r="O116" s="263">
        <v>0</v>
      </c>
      <c r="P116" s="263">
        <v>365.14166666666671</v>
      </c>
      <c r="Q116" s="263">
        <v>0</v>
      </c>
      <c r="R116" s="263">
        <v>427.14166666666677</v>
      </c>
      <c r="DP116" s="18">
        <f ca="1">'Monthly Data'!F116</f>
        <v>55643634.584272623</v>
      </c>
      <c r="DQ116" s="18">
        <f ca="1">'Monthly Data'!J116</f>
        <v>13187153.313369611</v>
      </c>
      <c r="DR116" s="18">
        <f ca="1">'Monthly Data'!N116</f>
        <v>29591654.186304532</v>
      </c>
      <c r="DS116" s="4">
        <f ca="1">'Monthly Data'!S116</f>
        <v>9531642.8634949531</v>
      </c>
      <c r="DT116" s="4">
        <f>'Monthly Data'!V116</f>
        <v>3353404.915570036</v>
      </c>
      <c r="DU116" s="18">
        <f t="shared" si="86"/>
        <v>51230478.708376512</v>
      </c>
      <c r="DV116" s="18">
        <f t="shared" si="87"/>
        <v>11885507.247444183</v>
      </c>
      <c r="DW116" s="18">
        <f t="shared" si="88"/>
        <v>27560224.534926072</v>
      </c>
      <c r="DX116" s="18">
        <f t="shared" si="89"/>
        <v>8512892.0219711456</v>
      </c>
      <c r="DY116" s="18">
        <f t="shared" si="90"/>
        <v>3430862.5652816584</v>
      </c>
      <c r="ER116" s="24">
        <f ca="1">'Monthly Data'!F116/'Monthly Data'!G116/'Monthly Data'!CD116</f>
        <v>30.9064854302284</v>
      </c>
      <c r="ES116" s="259">
        <f ca="1">'Monthly Data'!J116/'Monthly Data'!K116/'Monthly Data'!CD116</f>
        <v>95.852195215583961</v>
      </c>
      <c r="ET116" s="24">
        <f ca="1">'Monthly Data'!N116/'Monthly Data'!P116/'Monthly Data'!CD116</f>
        <v>1842.7982430131106</v>
      </c>
      <c r="EU116" s="24">
        <f>'Monthly Data'!Q116/'Monthly Data'!U116/'Monthly Data'!CD116</f>
        <v>16078.800759013282</v>
      </c>
      <c r="EV116" s="24">
        <f>'Monthly Data'!V116/'Monthly Data'!Z116/'Monthly Data'!CD116</f>
        <v>108174.35211516246</v>
      </c>
      <c r="EW116" s="24"/>
      <c r="FG116" s="24"/>
    </row>
    <row r="117" spans="1:163" x14ac:dyDescent="0.25">
      <c r="A117" s="3">
        <v>45505</v>
      </c>
      <c r="B117" s="1">
        <f t="shared" si="84"/>
        <v>2024</v>
      </c>
      <c r="C117" s="1">
        <f t="shared" si="85"/>
        <v>8</v>
      </c>
      <c r="D117" s="263">
        <v>20.479569892473116</v>
      </c>
      <c r="E117" s="263">
        <v>26.975000000000016</v>
      </c>
      <c r="F117" s="263">
        <v>41.841666666666654</v>
      </c>
      <c r="G117" s="263">
        <v>8.2333333333333432</v>
      </c>
      <c r="H117" s="263">
        <v>85.09999999999998</v>
      </c>
      <c r="I117" s="263">
        <v>1.7583333333333346</v>
      </c>
      <c r="J117" s="263">
        <v>140.625</v>
      </c>
      <c r="K117" s="263">
        <v>0</v>
      </c>
      <c r="L117" s="263">
        <v>200.86666666666665</v>
      </c>
      <c r="M117" s="263">
        <v>0</v>
      </c>
      <c r="N117" s="263">
        <v>262.86666666666667</v>
      </c>
      <c r="O117" s="263">
        <v>0</v>
      </c>
      <c r="P117" s="263">
        <v>324.86666666666667</v>
      </c>
      <c r="Q117" s="263">
        <v>0</v>
      </c>
      <c r="R117" s="263">
        <v>386.86666666666656</v>
      </c>
      <c r="DP117" s="18">
        <f ca="1">'Monthly Data'!F117</f>
        <v>55415275.521450698</v>
      </c>
      <c r="DQ117" s="18">
        <f ca="1">'Monthly Data'!J117</f>
        <v>12521070.252462083</v>
      </c>
      <c r="DR117" s="18">
        <f ca="1">'Monthly Data'!N117</f>
        <v>24509168.77534771</v>
      </c>
      <c r="DS117" s="4">
        <f ca="1">'Monthly Data'!S117</f>
        <v>9275831.2017256543</v>
      </c>
      <c r="DT117" s="4">
        <f>'Monthly Data'!V117</f>
        <v>3316006.9165116199</v>
      </c>
      <c r="DU117" s="18">
        <f t="shared" si="86"/>
        <v>48398142.21344918</v>
      </c>
      <c r="DV117" s="18">
        <f t="shared" si="87"/>
        <v>11354122.219348619</v>
      </c>
      <c r="DW117" s="18">
        <f t="shared" si="88"/>
        <v>26931112.5720792</v>
      </c>
      <c r="DX117" s="18">
        <f t="shared" si="89"/>
        <v>8225018.2208407475</v>
      </c>
      <c r="DY117" s="18">
        <f t="shared" si="90"/>
        <v>3374955.4052424305</v>
      </c>
      <c r="ER117" s="24">
        <f ca="1">'Monthly Data'!F117/'Monthly Data'!G117/'Monthly Data'!CD117</f>
        <v>30.699827109810101</v>
      </c>
      <c r="ES117" s="259">
        <f ca="1">'Monthly Data'!J117/'Monthly Data'!K117/'Monthly Data'!CD117</f>
        <v>90.969705408762607</v>
      </c>
      <c r="ET117" s="24">
        <f ca="1">'Monthly Data'!N117/'Monthly Data'!P117/'Monthly Data'!CD117</f>
        <v>1523.3494173253594</v>
      </c>
      <c r="EU117" s="24">
        <f>'Monthly Data'!Q117/'Monthly Data'!U117/'Monthly Data'!CD117</f>
        <v>15577.206831119545</v>
      </c>
      <c r="EV117" s="24">
        <f>'Monthly Data'!V117/'Monthly Data'!Z117/'Monthly Data'!CD117</f>
        <v>106967.96504876194</v>
      </c>
      <c r="EW117" s="24"/>
      <c r="FG117" s="24"/>
    </row>
    <row r="118" spans="1:163" x14ac:dyDescent="0.25">
      <c r="A118" s="3">
        <v>45536</v>
      </c>
      <c r="B118" s="1">
        <f t="shared" si="84"/>
        <v>2024</v>
      </c>
      <c r="C118" s="1">
        <f t="shared" si="85"/>
        <v>9</v>
      </c>
      <c r="D118" s="263">
        <v>17.709999999999997</v>
      </c>
      <c r="E118" s="263">
        <v>69.33750000000002</v>
      </c>
      <c r="F118" s="263">
        <v>0.63750000000000284</v>
      </c>
      <c r="G118" s="263">
        <v>29.36666666666666</v>
      </c>
      <c r="H118" s="263">
        <v>20.666666666666679</v>
      </c>
      <c r="I118" s="263">
        <v>10.920833333333333</v>
      </c>
      <c r="J118" s="263">
        <v>62.220833333333331</v>
      </c>
      <c r="K118" s="263">
        <v>2.5625000000000036</v>
      </c>
      <c r="L118" s="263">
        <v>113.86250000000001</v>
      </c>
      <c r="M118" s="263">
        <v>0</v>
      </c>
      <c r="N118" s="263">
        <v>171.29999999999998</v>
      </c>
      <c r="O118" s="263">
        <v>0</v>
      </c>
      <c r="P118" s="263">
        <v>231.3</v>
      </c>
      <c r="Q118" s="263">
        <v>0</v>
      </c>
      <c r="R118" s="263">
        <v>291.30000000000007</v>
      </c>
      <c r="DP118" s="18">
        <f ca="1">'Monthly Data'!F118</f>
        <v>47318717.783092171</v>
      </c>
      <c r="DQ118" s="18">
        <f ca="1">'Monthly Data'!J118</f>
        <v>11155265.665400395</v>
      </c>
      <c r="DR118" s="18">
        <f ca="1">'Monthly Data'!N118</f>
        <v>23905544.421330396</v>
      </c>
      <c r="DS118" s="4">
        <f ca="1">'Monthly Data'!S118</f>
        <v>8099900.5399563527</v>
      </c>
      <c r="DT118" s="4">
        <f>'Monthly Data'!V118</f>
        <v>3312866.9165906771</v>
      </c>
      <c r="DU118" s="18">
        <f t="shared" si="86"/>
        <v>42037859.46810323</v>
      </c>
      <c r="DV118" s="18">
        <f t="shared" si="87"/>
        <v>10236196.754295383</v>
      </c>
      <c r="DW118" s="18">
        <f t="shared" si="88"/>
        <v>25500803.809869088</v>
      </c>
      <c r="DX118" s="18">
        <f t="shared" si="89"/>
        <v>7603138.1420694022</v>
      </c>
      <c r="DY118" s="18">
        <f t="shared" si="90"/>
        <v>3254181.8268460804</v>
      </c>
      <c r="ER118" s="24">
        <f ca="1">'Monthly Data'!F118/'Monthly Data'!G118/'Monthly Data'!CD118</f>
        <v>27.106801965521054</v>
      </c>
      <c r="ES118" s="259">
        <f ca="1">'Monthly Data'!J118/'Monthly Data'!K118/'Monthly Data'!CD118</f>
        <v>83.654035736035951</v>
      </c>
      <c r="ET118" s="24">
        <f ca="1">'Monthly Data'!N118/'Monthly Data'!P118/'Monthly Data'!CD118</f>
        <v>1532.4066936750253</v>
      </c>
      <c r="EU118" s="24">
        <f>'Monthly Data'!Q118/'Monthly Data'!U118/'Monthly Data'!CD118</f>
        <v>13773.978431372549</v>
      </c>
      <c r="EV118" s="24">
        <f>'Monthly Data'!V118/'Monthly Data'!Z118/'Monthly Data'!CD118</f>
        <v>110428.89721968924</v>
      </c>
      <c r="EW118" s="24"/>
      <c r="FG118" s="24"/>
    </row>
    <row r="119" spans="1:163" x14ac:dyDescent="0.25">
      <c r="A119" s="3">
        <v>45566</v>
      </c>
      <c r="B119" s="1">
        <f t="shared" si="84"/>
        <v>2024</v>
      </c>
      <c r="C119" s="1">
        <f t="shared" si="85"/>
        <v>10</v>
      </c>
      <c r="D119" s="263">
        <v>10.453494623655915</v>
      </c>
      <c r="E119" s="263">
        <v>295.94166666666661</v>
      </c>
      <c r="F119" s="263">
        <v>0</v>
      </c>
      <c r="G119" s="263">
        <v>233.94166666666658</v>
      </c>
      <c r="H119" s="263">
        <v>0</v>
      </c>
      <c r="I119" s="263">
        <v>174.98749999999998</v>
      </c>
      <c r="J119" s="263">
        <v>3.0458333333333378</v>
      </c>
      <c r="K119" s="263">
        <v>122.06250000000001</v>
      </c>
      <c r="L119" s="263">
        <v>12.120833333333337</v>
      </c>
      <c r="M119" s="263">
        <v>79.04583333333332</v>
      </c>
      <c r="N119" s="263">
        <v>31.104166666666679</v>
      </c>
      <c r="O119" s="263">
        <v>46.029166666666669</v>
      </c>
      <c r="P119" s="263">
        <v>60.087500000000006</v>
      </c>
      <c r="Q119" s="263">
        <v>18.616666666666671</v>
      </c>
      <c r="R119" s="263">
        <v>94.675000000000011</v>
      </c>
      <c r="DP119" s="18">
        <f ca="1">'Monthly Data'!F119</f>
        <v>39877494.335995674</v>
      </c>
      <c r="DQ119" s="18">
        <f ca="1">'Monthly Data'!J119</f>
        <v>10522214.705807745</v>
      </c>
      <c r="DR119" s="18">
        <f ca="1">'Monthly Data'!N119</f>
        <v>25133313.896704752</v>
      </c>
      <c r="DS119" s="4">
        <f ca="1">'Monthly Data'!S119</f>
        <v>7448548.8781870529</v>
      </c>
      <c r="DT119" s="4">
        <f>'Monthly Data'!V119</f>
        <v>3279055.9174419497</v>
      </c>
      <c r="DU119" s="18">
        <f t="shared" si="86"/>
        <v>35869062.503464371</v>
      </c>
      <c r="DV119" s="18">
        <f t="shared" si="87"/>
        <v>9786582.3951994833</v>
      </c>
      <c r="DW119" s="18">
        <f t="shared" si="88"/>
        <v>24233288.33095526</v>
      </c>
      <c r="DX119" s="18">
        <f t="shared" si="89"/>
        <v>6889570.1738393903</v>
      </c>
      <c r="DY119" s="18">
        <f t="shared" si="90"/>
        <v>3129860.7385980627</v>
      </c>
      <c r="ER119" s="24">
        <f ca="1">'Monthly Data'!F119/'Monthly Data'!G119/'Monthly Data'!CD119</f>
        <v>22.143682177100438</v>
      </c>
      <c r="ES119" s="259">
        <f ca="1">'Monthly Data'!J119/'Monthly Data'!K119/'Monthly Data'!CD119</f>
        <v>76.327025147854272</v>
      </c>
      <c r="ET119" s="24">
        <f ca="1">'Monthly Data'!N119/'Monthly Data'!P119/'Monthly Data'!CD119</f>
        <v>1559.1385792000465</v>
      </c>
      <c r="EU119" s="24">
        <f>'Monthly Data'!Q119/'Monthly Data'!U119/'Monthly Data'!CD119</f>
        <v>12077.512333965846</v>
      </c>
      <c r="EV119" s="24">
        <f>'Monthly Data'!V119/'Monthly Data'!Z119/'Monthly Data'!CD119</f>
        <v>105775.99733683708</v>
      </c>
      <c r="EW119" s="24"/>
      <c r="FG119" s="24"/>
    </row>
    <row r="120" spans="1:163" x14ac:dyDescent="0.25">
      <c r="A120" s="3">
        <v>45597</v>
      </c>
      <c r="B120" s="1">
        <f t="shared" si="84"/>
        <v>2024</v>
      </c>
      <c r="C120" s="1">
        <f t="shared" si="85"/>
        <v>11</v>
      </c>
      <c r="D120" s="263">
        <v>5.790277777777777</v>
      </c>
      <c r="E120" s="263">
        <v>426.29166666666663</v>
      </c>
      <c r="F120" s="263">
        <v>0</v>
      </c>
      <c r="G120" s="263">
        <v>366.29166666666663</v>
      </c>
      <c r="H120" s="263">
        <v>0</v>
      </c>
      <c r="I120" s="263">
        <v>307.79583333333329</v>
      </c>
      <c r="J120" s="263">
        <v>1.5041666666666629</v>
      </c>
      <c r="K120" s="263">
        <v>251.79583333333335</v>
      </c>
      <c r="L120" s="263">
        <v>5.5041666666666629</v>
      </c>
      <c r="M120" s="263">
        <v>195.79583333333335</v>
      </c>
      <c r="N120" s="263">
        <v>9.5041666666666629</v>
      </c>
      <c r="O120" s="263">
        <v>141.32083333333335</v>
      </c>
      <c r="P120" s="263">
        <v>15.029166666666661</v>
      </c>
      <c r="Q120" s="263">
        <v>93.433333333333351</v>
      </c>
      <c r="R120" s="263">
        <v>27.141666666666666</v>
      </c>
      <c r="DP120" s="18">
        <f ca="1">'Monthly Data'!F120</f>
        <v>40926997.432523698</v>
      </c>
      <c r="DQ120" s="18">
        <f ca="1">'Monthly Data'!J120</f>
        <v>11119088.563570578</v>
      </c>
      <c r="DR120" s="18">
        <f ca="1">'Monthly Data'!N120</f>
        <v>28104665.798465267</v>
      </c>
      <c r="DS120" s="4">
        <f ca="1">'Monthly Data'!S120</f>
        <v>7029118.2164177522</v>
      </c>
      <c r="DT120" s="4">
        <f>'Monthly Data'!V120</f>
        <v>3208593.9192159981</v>
      </c>
      <c r="DU120" s="18">
        <f t="shared" si="86"/>
        <v>38356540.488131545</v>
      </c>
      <c r="DV120" s="18">
        <f t="shared" si="87"/>
        <v>10440443.430429829</v>
      </c>
      <c r="DW120" s="18">
        <f t="shared" si="88"/>
        <v>25805483.321661677</v>
      </c>
      <c r="DX120" s="18">
        <f t="shared" si="89"/>
        <v>6862439.2025452107</v>
      </c>
      <c r="DY120" s="18">
        <f t="shared" si="90"/>
        <v>3145652.033359068</v>
      </c>
      <c r="ER120" s="24">
        <f ca="1">'Monthly Data'!F120/'Monthly Data'!G120/'Monthly Data'!CD120</f>
        <v>23.459378669213795</v>
      </c>
      <c r="ES120" s="259">
        <f ca="1">'Monthly Data'!J120/'Monthly Data'!K120/'Monthly Data'!CD120</f>
        <v>83.009246461893085</v>
      </c>
      <c r="ET120" s="24">
        <f ca="1">'Monthly Data'!N120/'Monthly Data'!P120/'Monthly Data'!CD120</f>
        <v>1801.5811409272608</v>
      </c>
      <c r="EU120" s="24">
        <f>'Monthly Data'!Q120/'Monthly Data'!U120/'Monthly Data'!CD120</f>
        <v>11640.960784313726</v>
      </c>
      <c r="EV120" s="24">
        <f>'Monthly Data'!V120/'Monthly Data'!Z120/'Monthly Data'!CD120</f>
        <v>106953.13064053327</v>
      </c>
      <c r="EW120" s="24"/>
      <c r="FG120" s="24"/>
    </row>
    <row r="121" spans="1:163" x14ac:dyDescent="0.25">
      <c r="A121" s="3">
        <v>45627</v>
      </c>
      <c r="B121" s="1">
        <f t="shared" si="84"/>
        <v>2024</v>
      </c>
      <c r="C121" s="1">
        <f t="shared" si="85"/>
        <v>12</v>
      </c>
      <c r="D121" s="263">
        <v>-1.3088709677419357</v>
      </c>
      <c r="E121" s="263">
        <v>660.57500000000016</v>
      </c>
      <c r="F121" s="263">
        <v>0</v>
      </c>
      <c r="G121" s="263">
        <v>598.57499999999993</v>
      </c>
      <c r="H121" s="263">
        <v>0</v>
      </c>
      <c r="I121" s="263">
        <v>536.57500000000005</v>
      </c>
      <c r="J121" s="263">
        <v>0</v>
      </c>
      <c r="K121" s="263">
        <v>474.57499999999999</v>
      </c>
      <c r="L121" s="263">
        <v>0</v>
      </c>
      <c r="M121" s="263">
        <v>412.57499999999999</v>
      </c>
      <c r="N121" s="263">
        <v>0</v>
      </c>
      <c r="O121" s="263">
        <v>350.57499999999993</v>
      </c>
      <c r="P121" s="263">
        <v>0</v>
      </c>
      <c r="Q121" s="263">
        <v>288.57499999999993</v>
      </c>
      <c r="R121" s="263">
        <v>0</v>
      </c>
      <c r="V121" s="259"/>
      <c r="W121" s="4"/>
      <c r="X121" s="4"/>
      <c r="DP121" s="18">
        <f ca="1">'Monthly Data'!F121</f>
        <v>47973236.875220634</v>
      </c>
      <c r="DQ121" s="18">
        <f ca="1">'Monthly Data'!J121</f>
        <v>12973645.248173861</v>
      </c>
      <c r="DR121" s="18">
        <f ca="1">'Monthly Data'!N121</f>
        <v>33772187.196194738</v>
      </c>
      <c r="DS121" s="4">
        <f ca="1">'Monthly Data'!S121</f>
        <v>7448387.5546484515</v>
      </c>
      <c r="DT121" s="4">
        <f>'Monthly Data'!V121</f>
        <v>3132939.9211207679</v>
      </c>
      <c r="DU121" s="18">
        <f t="shared" si="86"/>
        <v>44568149.892832026</v>
      </c>
      <c r="DV121" s="18">
        <f t="shared" si="87"/>
        <v>11646004.323297899</v>
      </c>
      <c r="DW121" s="18">
        <f t="shared" si="88"/>
        <v>29850369.857259113</v>
      </c>
      <c r="DX121" s="18">
        <f t="shared" si="89"/>
        <v>6860535.331446507</v>
      </c>
      <c r="DY121" s="18">
        <f t="shared" si="90"/>
        <v>3184386.6951606609</v>
      </c>
      <c r="ER121" s="24">
        <f ca="1">'Monthly Data'!F121/'Monthly Data'!G121/'Monthly Data'!CD121</f>
        <v>26.660299937435958</v>
      </c>
      <c r="ES121" s="259">
        <f ca="1">'Monthly Data'!J121/'Monthly Data'!K121/'Monthly Data'!CD121</f>
        <v>97.39462076447829</v>
      </c>
      <c r="ET121" s="24">
        <f ca="1">'Monthly Data'!N121/'Monthly Data'!P121/'Monthly Data'!CD121</f>
        <v>2099.0855364655813</v>
      </c>
      <c r="EU121" s="24">
        <f>'Monthly Data'!Q121/'Monthly Data'!U121/'Monthly Data'!CD121</f>
        <v>12044.840607210626</v>
      </c>
      <c r="EV121" s="24">
        <f>'Monthly Data'!V121/'Monthly Data'!Z121/'Monthly Data'!CD121</f>
        <v>101062.57810066994</v>
      </c>
      <c r="EW121" s="24"/>
      <c r="FG121" s="24"/>
    </row>
    <row r="122" spans="1:163" x14ac:dyDescent="0.25">
      <c r="A122" s="3"/>
      <c r="D122" s="263"/>
      <c r="E122" s="414"/>
      <c r="F122" s="414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V122" s="259"/>
      <c r="W122" s="4"/>
      <c r="X122" s="4"/>
      <c r="ER122" s="24"/>
      <c r="ES122" s="24"/>
      <c r="ET122" s="24"/>
      <c r="FG122" s="24"/>
    </row>
    <row r="123" spans="1:163" x14ac:dyDescent="0.25">
      <c r="A123" s="3"/>
      <c r="D123" s="263"/>
      <c r="E123" s="414"/>
      <c r="F123" s="414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V123" s="259"/>
      <c r="W123" s="4"/>
      <c r="X123" s="4"/>
      <c r="ER123" s="24"/>
      <c r="ES123" s="24"/>
      <c r="ET123" s="24"/>
      <c r="FG123" s="24"/>
    </row>
    <row r="124" spans="1:163" x14ac:dyDescent="0.25">
      <c r="A124" s="3"/>
      <c r="D124" s="263"/>
      <c r="E124" s="414"/>
      <c r="F124" s="414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V124" s="259"/>
      <c r="W124" s="4"/>
      <c r="X124" s="4"/>
      <c r="ER124" s="24"/>
      <c r="ES124" s="24"/>
      <c r="ET124" s="24"/>
      <c r="FG124" s="24"/>
    </row>
    <row r="125" spans="1:163" x14ac:dyDescent="0.25">
      <c r="A125" s="3"/>
      <c r="D125" s="263"/>
      <c r="E125" s="414"/>
      <c r="F125" s="414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V125" s="259"/>
      <c r="W125" s="4"/>
      <c r="X125" s="4"/>
      <c r="ER125" s="24"/>
      <c r="ES125" s="24"/>
      <c r="ET125" s="24"/>
      <c r="FG125" s="24"/>
    </row>
    <row r="126" spans="1:163" x14ac:dyDescent="0.25">
      <c r="A126" s="3"/>
      <c r="D126" s="263"/>
      <c r="E126" s="414"/>
      <c r="F126" s="414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V126" s="259"/>
      <c r="W126" s="4"/>
      <c r="X126" s="4"/>
      <c r="ER126" s="24"/>
      <c r="ES126" s="24"/>
      <c r="ET126" s="24"/>
      <c r="FG126" s="24"/>
    </row>
    <row r="127" spans="1:163" x14ac:dyDescent="0.25">
      <c r="A127" s="3"/>
      <c r="D127" s="263"/>
      <c r="E127" s="414"/>
      <c r="F127" s="414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V127" s="259"/>
      <c r="W127" s="4"/>
      <c r="X127" s="4"/>
      <c r="ER127" s="24"/>
      <c r="ES127" s="24"/>
      <c r="ET127" s="24"/>
      <c r="FG127" s="24"/>
    </row>
    <row r="128" spans="1:163" x14ac:dyDescent="0.25">
      <c r="A128" s="3"/>
      <c r="D128" s="263"/>
      <c r="E128" s="414"/>
      <c r="F128" s="414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V128" s="259"/>
      <c r="W128" s="4"/>
      <c r="X128" s="4"/>
      <c r="ER128" s="24"/>
      <c r="ES128" s="24"/>
      <c r="ET128" s="24"/>
      <c r="FG128" s="24"/>
    </row>
    <row r="129" spans="1:163" x14ac:dyDescent="0.25">
      <c r="A129" s="3"/>
      <c r="D129" s="263"/>
      <c r="E129" s="414"/>
      <c r="F129" s="414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V129" s="259"/>
      <c r="W129" s="4"/>
      <c r="X129" s="4"/>
      <c r="ER129" s="24"/>
      <c r="ES129" s="24"/>
      <c r="ET129" s="24"/>
      <c r="FG129" s="24"/>
    </row>
    <row r="130" spans="1:163" x14ac:dyDescent="0.25">
      <c r="A130" s="3"/>
      <c r="D130" s="263"/>
      <c r="E130" s="414"/>
      <c r="F130" s="414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V130" s="259"/>
      <c r="W130" s="4"/>
      <c r="X130" s="4"/>
      <c r="ER130" s="24"/>
      <c r="ES130" s="24"/>
      <c r="ET130" s="24"/>
      <c r="FG130" s="24"/>
    </row>
    <row r="131" spans="1:163" x14ac:dyDescent="0.25">
      <c r="A131" s="3"/>
      <c r="D131" s="263"/>
      <c r="E131" s="414"/>
      <c r="F131" s="414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V131" s="259"/>
      <c r="W131" s="4"/>
      <c r="X131" s="4"/>
      <c r="ER131" s="24"/>
      <c r="ES131" s="24"/>
      <c r="ET131" s="24"/>
      <c r="FG131" s="24"/>
    </row>
    <row r="132" spans="1:163" x14ac:dyDescent="0.25">
      <c r="A132" s="3"/>
      <c r="D132" s="263"/>
      <c r="E132" s="414"/>
      <c r="F132" s="414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V132" s="259"/>
      <c r="W132" s="4"/>
      <c r="X132" s="4"/>
      <c r="ER132" s="24"/>
      <c r="ES132" s="24"/>
      <c r="ET132" s="24"/>
      <c r="FG132" s="24"/>
    </row>
    <row r="133" spans="1:163" x14ac:dyDescent="0.25">
      <c r="A133" s="3"/>
      <c r="D133" s="263"/>
      <c r="E133" s="414"/>
      <c r="F133" s="414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V133" s="259"/>
      <c r="W133" s="4"/>
      <c r="X133" s="4"/>
    </row>
    <row r="134" spans="1:163" x14ac:dyDescent="0.25">
      <c r="A134" s="3"/>
      <c r="D134" s="263"/>
      <c r="E134" s="414"/>
      <c r="F134" s="414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59"/>
      <c r="V134" s="259"/>
      <c r="W134" s="4"/>
      <c r="X134" s="4"/>
      <c r="AG134" s="263"/>
      <c r="DP134" s="18"/>
      <c r="DQ134" s="18"/>
      <c r="DR134" s="18"/>
      <c r="DS134" s="18"/>
      <c r="DT134" s="18"/>
    </row>
    <row r="135" spans="1:163" x14ac:dyDescent="0.25">
      <c r="A135" s="3"/>
      <c r="D135" s="263"/>
      <c r="E135" s="414"/>
      <c r="F135" s="414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59"/>
      <c r="T135" s="259"/>
      <c r="V135" s="259"/>
      <c r="W135" s="4"/>
      <c r="X135" s="4"/>
      <c r="AG135" s="263"/>
      <c r="DP135" s="18"/>
      <c r="DQ135" s="18"/>
      <c r="DR135" s="18"/>
      <c r="DS135" s="18"/>
      <c r="DT135" s="18"/>
    </row>
    <row r="136" spans="1:163" x14ac:dyDescent="0.25">
      <c r="A136" s="3"/>
      <c r="D136" s="263"/>
      <c r="E136" s="414"/>
      <c r="F136" s="414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59"/>
      <c r="T136" s="259"/>
      <c r="V136" s="259"/>
      <c r="W136" s="4"/>
      <c r="X136" s="4"/>
      <c r="AG136" s="263"/>
      <c r="DP136" s="18"/>
      <c r="DQ136" s="18"/>
      <c r="DR136" s="18"/>
      <c r="DS136" s="18"/>
      <c r="DT136" s="18"/>
    </row>
    <row r="137" spans="1:163" x14ac:dyDescent="0.25">
      <c r="A137" s="3"/>
      <c r="D137" s="263"/>
      <c r="E137" s="414"/>
      <c r="F137" s="414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59"/>
      <c r="T137" s="259"/>
      <c r="V137" s="259"/>
      <c r="W137" s="4"/>
      <c r="X137" s="4"/>
      <c r="AG137" s="263"/>
      <c r="DP137" s="18"/>
      <c r="DQ137" s="18"/>
      <c r="DR137" s="18"/>
      <c r="DS137" s="18"/>
      <c r="DT137" s="18"/>
    </row>
    <row r="138" spans="1:163" x14ac:dyDescent="0.25">
      <c r="A138" s="3"/>
      <c r="D138" s="263"/>
      <c r="E138" s="414"/>
      <c r="F138" s="414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59"/>
      <c r="T138" s="259"/>
      <c r="V138" s="259"/>
      <c r="W138" s="4"/>
      <c r="X138" s="4"/>
      <c r="AG138" s="263"/>
      <c r="DP138" s="18"/>
      <c r="DQ138" s="18"/>
      <c r="DR138" s="18"/>
      <c r="DS138" s="18"/>
      <c r="DT138" s="18"/>
    </row>
    <row r="139" spans="1:163" x14ac:dyDescent="0.25">
      <c r="A139" s="3"/>
      <c r="D139" s="263"/>
      <c r="E139" s="414"/>
      <c r="F139" s="414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59"/>
      <c r="T139" s="259"/>
      <c r="V139" s="259"/>
      <c r="W139" s="4"/>
      <c r="X139" s="4"/>
      <c r="AG139" s="263"/>
      <c r="DP139" s="18"/>
      <c r="DQ139" s="18"/>
      <c r="DR139" s="18"/>
      <c r="DS139" s="18"/>
      <c r="DT139" s="18"/>
    </row>
    <row r="140" spans="1:163" x14ac:dyDescent="0.25">
      <c r="A140" s="3"/>
      <c r="D140" s="263"/>
      <c r="E140" s="414"/>
      <c r="F140" s="414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59"/>
      <c r="T140" s="259"/>
      <c r="V140" s="259"/>
      <c r="W140" s="4"/>
      <c r="X140" s="4"/>
      <c r="AG140" s="263"/>
      <c r="DP140" s="18"/>
      <c r="DQ140" s="18"/>
      <c r="DR140" s="18"/>
      <c r="DS140" s="18"/>
      <c r="DT140" s="18"/>
    </row>
    <row r="141" spans="1:163" x14ac:dyDescent="0.25">
      <c r="A141" s="3"/>
      <c r="D141" s="263"/>
      <c r="E141" s="414"/>
      <c r="F141" s="414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59"/>
      <c r="T141" s="259"/>
      <c r="V141" s="259"/>
      <c r="W141" s="4"/>
      <c r="X141" s="4"/>
      <c r="AG141" s="263"/>
      <c r="DP141" s="18"/>
      <c r="DQ141" s="18"/>
      <c r="DR141" s="18"/>
      <c r="DS141" s="18"/>
      <c r="DT141" s="18"/>
    </row>
    <row r="142" spans="1:163" x14ac:dyDescent="0.25">
      <c r="A142" s="3"/>
      <c r="D142" s="263"/>
      <c r="E142" s="414"/>
      <c r="F142" s="414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59"/>
      <c r="T142" s="259"/>
      <c r="V142" s="259"/>
      <c r="W142" s="4"/>
      <c r="X142" s="4"/>
      <c r="AG142" s="263"/>
      <c r="DP142" s="18"/>
      <c r="DQ142" s="18"/>
      <c r="DR142" s="18"/>
      <c r="DS142" s="18"/>
      <c r="DT142" s="18"/>
    </row>
    <row r="143" spans="1:163" x14ac:dyDescent="0.25">
      <c r="A143" s="3"/>
      <c r="D143" s="263"/>
      <c r="E143" s="414"/>
      <c r="F143" s="414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59"/>
      <c r="T143" s="259"/>
      <c r="V143" s="259"/>
      <c r="W143" s="4"/>
      <c r="X143" s="4"/>
      <c r="AG143" s="263"/>
      <c r="DP143" s="18"/>
      <c r="DQ143" s="18"/>
      <c r="DR143" s="18"/>
      <c r="DS143" s="18"/>
      <c r="DT143" s="18"/>
    </row>
    <row r="144" spans="1:163" x14ac:dyDescent="0.25">
      <c r="A144" s="3"/>
      <c r="D144" s="263"/>
      <c r="E144" s="414"/>
      <c r="F144" s="414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59"/>
      <c r="T144" s="259"/>
      <c r="V144" s="259"/>
      <c r="W144" s="4"/>
      <c r="X144" s="4"/>
      <c r="AG144" s="263"/>
      <c r="DP144" s="18"/>
      <c r="DQ144" s="18"/>
      <c r="DR144" s="18"/>
      <c r="DS144" s="18"/>
      <c r="DT144" s="18"/>
    </row>
    <row r="145" spans="1:124" x14ac:dyDescent="0.25">
      <c r="A145" s="3"/>
      <c r="D145" s="263"/>
      <c r="E145" s="414"/>
      <c r="F145" s="414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59"/>
      <c r="T145" s="259"/>
      <c r="V145" s="259"/>
      <c r="W145" s="4"/>
      <c r="X145" s="4"/>
      <c r="AG145" s="263"/>
      <c r="DP145" s="18"/>
      <c r="DQ145" s="18"/>
      <c r="DR145" s="18"/>
      <c r="DS145" s="18"/>
      <c r="DT145" s="18"/>
    </row>
    <row r="146" spans="1:124" x14ac:dyDescent="0.25">
      <c r="A146" s="3"/>
      <c r="D146" s="263"/>
      <c r="E146" s="414"/>
      <c r="F146" s="414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59"/>
      <c r="T146" s="259"/>
      <c r="V146" s="259"/>
      <c r="W146" s="4"/>
      <c r="X146" s="4"/>
      <c r="AG146" s="263"/>
      <c r="DP146" s="18"/>
      <c r="DQ146" s="18"/>
      <c r="DR146" s="18"/>
      <c r="DS146" s="18"/>
      <c r="DT146" s="18"/>
    </row>
    <row r="147" spans="1:124" x14ac:dyDescent="0.25">
      <c r="A147" s="3"/>
      <c r="D147" s="263"/>
      <c r="E147" s="414"/>
      <c r="F147" s="414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59"/>
      <c r="T147" s="259"/>
      <c r="V147" s="259"/>
      <c r="W147" s="4"/>
      <c r="X147" s="4"/>
      <c r="AG147" s="263"/>
      <c r="DP147" s="18"/>
      <c r="DQ147" s="18"/>
      <c r="DR147" s="18"/>
      <c r="DS147" s="18"/>
      <c r="DT147" s="18"/>
    </row>
    <row r="148" spans="1:124" x14ac:dyDescent="0.25">
      <c r="A148" s="3"/>
      <c r="D148" s="263"/>
      <c r="E148" s="414"/>
      <c r="F148" s="414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59"/>
      <c r="T148" s="259"/>
      <c r="V148" s="259"/>
      <c r="W148" s="4"/>
      <c r="X148" s="4"/>
      <c r="AG148" s="263"/>
      <c r="DP148" s="18"/>
      <c r="DQ148" s="18"/>
      <c r="DR148" s="18"/>
      <c r="DS148" s="18"/>
      <c r="DT148" s="18"/>
    </row>
    <row r="149" spans="1:124" x14ac:dyDescent="0.25">
      <c r="A149" s="3"/>
      <c r="D149" s="263"/>
      <c r="E149" s="414"/>
      <c r="F149" s="414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59"/>
      <c r="T149" s="259"/>
      <c r="V149" s="259"/>
      <c r="W149" s="4"/>
      <c r="X149" s="4"/>
      <c r="AG149" s="263"/>
      <c r="DP149" s="18"/>
      <c r="DQ149" s="18"/>
      <c r="DR149" s="18"/>
      <c r="DS149" s="18"/>
      <c r="DT149" s="18"/>
    </row>
    <row r="150" spans="1:124" x14ac:dyDescent="0.25">
      <c r="A150" s="3"/>
      <c r="D150" s="263"/>
      <c r="E150" s="414"/>
      <c r="F150" s="414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59"/>
      <c r="T150" s="259"/>
      <c r="V150" s="259"/>
      <c r="W150" s="4"/>
      <c r="X150" s="4"/>
      <c r="AG150" s="263"/>
      <c r="DP150" s="18"/>
      <c r="DQ150" s="18"/>
      <c r="DR150" s="18"/>
      <c r="DS150" s="18"/>
      <c r="DT150" s="18"/>
    </row>
    <row r="151" spans="1:124" x14ac:dyDescent="0.25">
      <c r="A151" s="3"/>
      <c r="D151" s="263"/>
      <c r="E151" s="414"/>
      <c r="F151" s="414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59"/>
      <c r="T151" s="259"/>
      <c r="V151" s="259"/>
      <c r="W151" s="4"/>
      <c r="X151" s="4"/>
      <c r="AG151" s="263"/>
      <c r="DP151" s="18"/>
      <c r="DQ151" s="18"/>
      <c r="DR151" s="18"/>
      <c r="DS151" s="18"/>
      <c r="DT151" s="18"/>
    </row>
    <row r="152" spans="1:124" x14ac:dyDescent="0.25">
      <c r="A152" s="3"/>
      <c r="D152" s="263"/>
      <c r="E152" s="414"/>
      <c r="F152" s="414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59"/>
      <c r="T152" s="259"/>
      <c r="V152" s="259"/>
      <c r="W152" s="4"/>
      <c r="X152" s="4"/>
      <c r="AG152" s="263"/>
      <c r="DP152" s="18"/>
      <c r="DQ152" s="18"/>
      <c r="DR152" s="18"/>
      <c r="DS152" s="18"/>
      <c r="DT152" s="18"/>
    </row>
    <row r="153" spans="1:124" x14ac:dyDescent="0.25">
      <c r="A153" s="3"/>
      <c r="D153" s="263"/>
      <c r="E153" s="414"/>
      <c r="F153" s="414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59"/>
      <c r="T153" s="259"/>
      <c r="V153" s="259"/>
      <c r="W153" s="4"/>
      <c r="X153" s="4"/>
      <c r="AG153" s="263"/>
      <c r="DP153" s="18"/>
      <c r="DQ153" s="18"/>
      <c r="DR153" s="18"/>
      <c r="DS153" s="18"/>
      <c r="DT153" s="18"/>
    </row>
    <row r="154" spans="1:124" x14ac:dyDescent="0.25">
      <c r="A154" s="3"/>
      <c r="D154" s="263"/>
      <c r="E154" s="414"/>
      <c r="F154" s="414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59"/>
      <c r="T154" s="259"/>
      <c r="V154" s="259"/>
      <c r="W154" s="4"/>
      <c r="X154" s="4"/>
      <c r="AG154" s="263"/>
      <c r="DP154" s="18"/>
      <c r="DQ154" s="18"/>
      <c r="DR154" s="18"/>
      <c r="DS154" s="18"/>
      <c r="DT154" s="18"/>
    </row>
    <row r="155" spans="1:124" x14ac:dyDescent="0.25">
      <c r="A155" s="3"/>
      <c r="D155" s="263"/>
      <c r="E155" s="414"/>
      <c r="F155" s="414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59"/>
      <c r="T155" s="259"/>
      <c r="V155" s="259"/>
      <c r="W155" s="4"/>
      <c r="X155" s="4"/>
      <c r="AG155" s="263"/>
      <c r="DP155" s="18"/>
      <c r="DQ155" s="18"/>
      <c r="DR155" s="18"/>
      <c r="DS155" s="18"/>
      <c r="DT155" s="18"/>
    </row>
    <row r="156" spans="1:124" x14ac:dyDescent="0.25">
      <c r="A156" s="3"/>
      <c r="D156" s="263"/>
      <c r="E156" s="414"/>
      <c r="F156" s="414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59"/>
      <c r="T156" s="259"/>
      <c r="V156" s="259"/>
      <c r="W156" s="4"/>
      <c r="X156" s="4"/>
      <c r="AG156" s="263"/>
      <c r="DP156" s="18"/>
      <c r="DQ156" s="18"/>
      <c r="DR156" s="18"/>
      <c r="DS156" s="18"/>
      <c r="DT156" s="18"/>
    </row>
    <row r="157" spans="1:124" x14ac:dyDescent="0.25">
      <c r="A157" s="3"/>
      <c r="D157" s="263"/>
      <c r="E157" s="414"/>
      <c r="F157" s="414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59"/>
      <c r="T157" s="259"/>
      <c r="V157" s="259"/>
      <c r="W157" s="4"/>
      <c r="X157" s="4"/>
      <c r="AG157" s="263"/>
      <c r="DP157" s="18"/>
      <c r="DQ157" s="18"/>
      <c r="DR157" s="18"/>
      <c r="DS157" s="18"/>
      <c r="DT157" s="18"/>
    </row>
    <row r="158" spans="1:124" x14ac:dyDescent="0.25">
      <c r="A158" s="3"/>
      <c r="D158" s="263"/>
      <c r="E158" s="414"/>
      <c r="F158" s="414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59"/>
      <c r="T158" s="259"/>
      <c r="V158" s="259"/>
      <c r="W158" s="4"/>
      <c r="X158" s="4"/>
      <c r="AG158" s="263"/>
      <c r="DP158" s="18"/>
      <c r="DQ158" s="18"/>
      <c r="DR158" s="18"/>
      <c r="DS158" s="18"/>
      <c r="DT158" s="18"/>
    </row>
    <row r="159" spans="1:124" x14ac:dyDescent="0.25">
      <c r="A159" s="3"/>
      <c r="D159" s="263"/>
      <c r="E159" s="414"/>
      <c r="F159" s="414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59"/>
      <c r="T159" s="259"/>
      <c r="V159" s="259"/>
      <c r="W159" s="4"/>
      <c r="X159" s="4"/>
      <c r="AG159" s="263"/>
      <c r="DP159" s="18"/>
      <c r="DQ159" s="18"/>
      <c r="DR159" s="18"/>
      <c r="DS159" s="18"/>
      <c r="DT159" s="18"/>
    </row>
    <row r="160" spans="1:124" x14ac:dyDescent="0.25">
      <c r="A160" s="3"/>
      <c r="D160" s="263"/>
      <c r="E160" s="414"/>
      <c r="F160" s="414"/>
      <c r="G160" s="263"/>
      <c r="H160" s="263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59"/>
      <c r="T160" s="259"/>
      <c r="V160" s="259"/>
      <c r="W160" s="4"/>
      <c r="X160" s="4"/>
      <c r="AG160" s="263"/>
      <c r="DP160" s="18"/>
      <c r="DQ160" s="18"/>
      <c r="DR160" s="18"/>
      <c r="DS160" s="18"/>
      <c r="DT160" s="18"/>
    </row>
    <row r="161" spans="1:124" x14ac:dyDescent="0.25">
      <c r="A161" s="3"/>
      <c r="D161" s="263"/>
      <c r="E161" s="414"/>
      <c r="F161" s="414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59"/>
      <c r="T161" s="259"/>
      <c r="V161" s="259"/>
      <c r="W161" s="4"/>
      <c r="X161" s="4"/>
      <c r="AG161" s="263"/>
      <c r="DP161" s="18"/>
      <c r="DQ161" s="18"/>
      <c r="DR161" s="18"/>
      <c r="DS161" s="18"/>
      <c r="DT161" s="18"/>
    </row>
    <row r="162" spans="1:124" x14ac:dyDescent="0.25">
      <c r="A162" s="3"/>
      <c r="D162" s="263"/>
      <c r="E162" s="414"/>
      <c r="F162" s="414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59"/>
      <c r="T162" s="259"/>
      <c r="V162" s="259"/>
      <c r="W162" s="4"/>
      <c r="X162" s="4"/>
      <c r="AG162" s="263"/>
      <c r="DP162" s="18"/>
      <c r="DQ162" s="18"/>
      <c r="DR162" s="18"/>
      <c r="DS162" s="18"/>
      <c r="DT162" s="18"/>
    </row>
    <row r="163" spans="1:124" x14ac:dyDescent="0.25">
      <c r="A163" s="3"/>
      <c r="D163" s="263"/>
      <c r="E163" s="414"/>
      <c r="F163" s="414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59"/>
      <c r="T163" s="259"/>
      <c r="V163" s="259"/>
      <c r="W163" s="4"/>
      <c r="X163" s="4"/>
      <c r="AG163" s="263"/>
      <c r="DP163" s="18"/>
      <c r="DQ163" s="18"/>
      <c r="DR163" s="18"/>
      <c r="DS163" s="18"/>
      <c r="DT163" s="18"/>
    </row>
    <row r="164" spans="1:124" x14ac:dyDescent="0.25">
      <c r="A164" s="3"/>
      <c r="D164" s="263"/>
      <c r="E164" s="414"/>
      <c r="F164" s="414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59"/>
      <c r="T164" s="259"/>
      <c r="V164" s="259"/>
      <c r="W164" s="4"/>
      <c r="X164" s="4"/>
      <c r="AG164" s="263"/>
      <c r="DP164" s="18"/>
      <c r="DQ164" s="18"/>
      <c r="DR164" s="18"/>
      <c r="DS164" s="18"/>
      <c r="DT164" s="18"/>
    </row>
    <row r="165" spans="1:124" x14ac:dyDescent="0.25">
      <c r="A165" s="3"/>
      <c r="D165" s="263"/>
      <c r="E165" s="414"/>
      <c r="F165" s="414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59"/>
      <c r="T165" s="259"/>
      <c r="V165" s="259"/>
      <c r="W165" s="4"/>
      <c r="X165" s="4"/>
      <c r="AG165" s="263"/>
      <c r="DP165" s="18"/>
      <c r="DQ165" s="18"/>
      <c r="DR165" s="18"/>
      <c r="DS165" s="18"/>
      <c r="DT165" s="18"/>
    </row>
    <row r="166" spans="1:124" x14ac:dyDescent="0.25">
      <c r="A166" s="3"/>
      <c r="D166" s="263"/>
      <c r="E166" s="414"/>
      <c r="F166" s="414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59"/>
      <c r="T166" s="259"/>
      <c r="V166" s="259"/>
      <c r="W166" s="4"/>
      <c r="X166" s="4"/>
      <c r="AG166" s="263"/>
      <c r="DP166" s="18"/>
      <c r="DQ166" s="18"/>
      <c r="DR166" s="18"/>
      <c r="DS166" s="18"/>
      <c r="DT166" s="18"/>
    </row>
    <row r="167" spans="1:124" x14ac:dyDescent="0.25">
      <c r="A167" s="3"/>
      <c r="D167" s="263"/>
      <c r="E167" s="414"/>
      <c r="F167" s="414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59"/>
      <c r="T167" s="259"/>
      <c r="V167" s="259"/>
      <c r="W167" s="4"/>
      <c r="X167" s="4"/>
      <c r="AG167" s="263"/>
      <c r="DP167" s="18"/>
      <c r="DQ167" s="18"/>
      <c r="DR167" s="18"/>
      <c r="DS167" s="18"/>
      <c r="DT167" s="18"/>
    </row>
    <row r="168" spans="1:124" x14ac:dyDescent="0.25">
      <c r="A168" s="3"/>
      <c r="D168" s="263"/>
      <c r="E168" s="414"/>
      <c r="F168" s="414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59"/>
      <c r="T168" s="259"/>
      <c r="V168" s="259"/>
      <c r="W168" s="4"/>
      <c r="X168" s="4"/>
      <c r="AG168" s="263"/>
      <c r="DP168" s="18"/>
      <c r="DQ168" s="18"/>
      <c r="DR168" s="18"/>
      <c r="DS168" s="18"/>
      <c r="DT168" s="18"/>
    </row>
    <row r="169" spans="1:124" x14ac:dyDescent="0.25">
      <c r="A169" s="3"/>
      <c r="D169" s="263"/>
      <c r="E169" s="414"/>
      <c r="F169" s="414"/>
      <c r="G169" s="263"/>
      <c r="H169" s="263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59"/>
      <c r="T169" s="259"/>
      <c r="V169" s="259"/>
      <c r="W169" s="4"/>
      <c r="X169" s="4"/>
      <c r="AG169" s="263"/>
      <c r="DP169" s="18"/>
      <c r="DQ169" s="18"/>
      <c r="DR169" s="18"/>
      <c r="DS169" s="18"/>
      <c r="DT169" s="18"/>
    </row>
    <row r="170" spans="1:124" x14ac:dyDescent="0.25">
      <c r="A170" s="3"/>
      <c r="D170" s="263"/>
      <c r="E170" s="414"/>
      <c r="F170" s="414"/>
      <c r="G170" s="263"/>
      <c r="H170" s="263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59"/>
      <c r="T170" s="259"/>
      <c r="V170" s="259"/>
      <c r="W170" s="4"/>
      <c r="X170" s="4"/>
      <c r="AG170" s="263"/>
      <c r="DP170" s="18"/>
      <c r="DQ170" s="18"/>
      <c r="DR170" s="18"/>
      <c r="DS170" s="18"/>
      <c r="DT170" s="18"/>
    </row>
    <row r="171" spans="1:124" x14ac:dyDescent="0.25">
      <c r="A171" s="3"/>
      <c r="D171" s="263"/>
      <c r="E171" s="414"/>
      <c r="F171" s="414"/>
      <c r="G171" s="263"/>
      <c r="H171" s="263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59"/>
      <c r="T171" s="259"/>
      <c r="V171" s="259"/>
      <c r="W171" s="4"/>
      <c r="X171" s="4"/>
      <c r="AG171" s="263"/>
      <c r="DP171" s="18"/>
      <c r="DQ171" s="18"/>
      <c r="DR171" s="18"/>
      <c r="DS171" s="18"/>
      <c r="DT171" s="18"/>
    </row>
    <row r="172" spans="1:124" x14ac:dyDescent="0.25">
      <c r="A172" s="3"/>
      <c r="D172" s="263"/>
      <c r="E172" s="414"/>
      <c r="F172" s="414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59"/>
      <c r="T172" s="259"/>
      <c r="V172" s="259"/>
      <c r="W172" s="4"/>
      <c r="X172" s="4"/>
      <c r="AG172" s="263"/>
      <c r="DP172" s="18"/>
      <c r="DQ172" s="18"/>
      <c r="DR172" s="18"/>
      <c r="DS172" s="18"/>
      <c r="DT172" s="18"/>
    </row>
    <row r="173" spans="1:124" x14ac:dyDescent="0.25">
      <c r="A173" s="3"/>
      <c r="D173" s="263"/>
      <c r="E173" s="414"/>
      <c r="F173" s="414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59"/>
      <c r="T173" s="259"/>
      <c r="V173" s="259"/>
      <c r="W173" s="4"/>
      <c r="X173" s="4"/>
      <c r="AG173" s="263"/>
      <c r="DP173" s="18"/>
      <c r="DQ173" s="18"/>
      <c r="DR173" s="18"/>
      <c r="DS173" s="18"/>
      <c r="DT173" s="18"/>
    </row>
    <row r="174" spans="1:124" x14ac:dyDescent="0.25">
      <c r="A174" s="3"/>
      <c r="D174" s="263"/>
      <c r="E174" s="414"/>
      <c r="F174" s="414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59"/>
      <c r="T174" s="259"/>
      <c r="V174" s="259"/>
      <c r="W174" s="4"/>
      <c r="X174" s="4"/>
      <c r="AG174" s="263"/>
      <c r="DP174" s="18"/>
      <c r="DQ174" s="18"/>
      <c r="DR174" s="18"/>
      <c r="DS174" s="18"/>
      <c r="DT174" s="18"/>
    </row>
    <row r="175" spans="1:124" x14ac:dyDescent="0.25">
      <c r="A175" s="3"/>
      <c r="D175" s="263"/>
      <c r="E175" s="414"/>
      <c r="F175" s="414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59"/>
      <c r="T175" s="259"/>
      <c r="V175" s="259"/>
      <c r="W175" s="4"/>
      <c r="X175" s="4"/>
      <c r="AG175" s="263"/>
      <c r="DP175" s="18"/>
      <c r="DQ175" s="18"/>
      <c r="DR175" s="18"/>
      <c r="DS175" s="18"/>
      <c r="DT175" s="18"/>
    </row>
    <row r="176" spans="1:124" x14ac:dyDescent="0.25">
      <c r="A176" s="3"/>
      <c r="D176" s="263"/>
      <c r="E176" s="414"/>
      <c r="F176" s="414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59"/>
      <c r="T176" s="259"/>
      <c r="V176" s="259"/>
      <c r="W176" s="4"/>
      <c r="X176" s="4"/>
      <c r="AG176" s="263"/>
      <c r="DP176" s="18"/>
      <c r="DQ176" s="18"/>
      <c r="DR176" s="18"/>
      <c r="DS176" s="18"/>
      <c r="DT176" s="18"/>
    </row>
    <row r="177" spans="1:127" x14ac:dyDescent="0.25">
      <c r="A177" s="3"/>
      <c r="D177" s="263"/>
      <c r="E177" s="414"/>
      <c r="F177" s="414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59"/>
      <c r="T177" s="259"/>
      <c r="V177" s="259"/>
      <c r="W177" s="4"/>
      <c r="X177" s="4"/>
      <c r="AG177" s="263"/>
      <c r="DP177" s="18"/>
      <c r="DQ177" s="18"/>
      <c r="DR177" s="18"/>
      <c r="DS177" s="18"/>
      <c r="DT177" s="18"/>
    </row>
    <row r="178" spans="1:127" x14ac:dyDescent="0.25">
      <c r="A178" s="3"/>
      <c r="D178" s="263"/>
      <c r="E178" s="414"/>
      <c r="F178" s="414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59"/>
      <c r="T178" s="259"/>
      <c r="V178" s="259"/>
      <c r="W178" s="4"/>
      <c r="X178" s="4"/>
      <c r="AG178" s="263"/>
      <c r="DP178" s="18"/>
      <c r="DQ178" s="18"/>
      <c r="DR178" s="18"/>
      <c r="DS178" s="18"/>
      <c r="DT178" s="18"/>
    </row>
    <row r="179" spans="1:127" x14ac:dyDescent="0.25">
      <c r="A179" s="3"/>
      <c r="D179" s="263"/>
      <c r="E179" s="414"/>
      <c r="F179" s="414"/>
      <c r="G179" s="263"/>
      <c r="H179" s="263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59"/>
      <c r="T179" s="259"/>
      <c r="V179" s="259"/>
      <c r="W179" s="4"/>
      <c r="X179" s="4"/>
      <c r="AG179" s="263"/>
      <c r="DP179" s="18"/>
      <c r="DQ179" s="18"/>
      <c r="DR179" s="18"/>
      <c r="DS179" s="18"/>
      <c r="DT179" s="18"/>
    </row>
    <row r="180" spans="1:127" x14ac:dyDescent="0.25">
      <c r="A180" s="3"/>
      <c r="D180" s="263"/>
      <c r="E180" s="414"/>
      <c r="F180" s="414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59"/>
      <c r="T180" s="259"/>
      <c r="V180" s="259"/>
      <c r="W180" s="4"/>
      <c r="X180" s="4"/>
      <c r="AG180" s="263"/>
      <c r="DP180" s="18"/>
      <c r="DQ180" s="18"/>
      <c r="DR180" s="18"/>
      <c r="DS180" s="18"/>
      <c r="DT180" s="18"/>
    </row>
    <row r="181" spans="1:127" x14ac:dyDescent="0.25">
      <c r="A181" s="3"/>
      <c r="D181" s="263"/>
      <c r="E181" s="414"/>
      <c r="F181" s="414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59"/>
      <c r="T181" s="259"/>
      <c r="V181" s="259"/>
      <c r="W181" s="4"/>
      <c r="X181" s="4"/>
      <c r="AG181" s="263"/>
      <c r="DP181" s="18"/>
      <c r="DQ181" s="18"/>
      <c r="DR181" s="18"/>
      <c r="DS181" s="18"/>
      <c r="DT181" s="18"/>
    </row>
    <row r="182" spans="1:127" x14ac:dyDescent="0.25">
      <c r="A182" s="3"/>
      <c r="D182" s="263"/>
      <c r="E182" s="414"/>
      <c r="F182" s="414"/>
      <c r="G182" s="263"/>
      <c r="H182" s="263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59"/>
      <c r="T182" s="259"/>
      <c r="V182" s="259"/>
      <c r="W182" s="4"/>
      <c r="X182" s="4"/>
      <c r="AG182" s="263"/>
      <c r="DP182" s="18"/>
      <c r="DQ182" s="18"/>
      <c r="DR182" s="18"/>
      <c r="DS182" s="18"/>
      <c r="DT182" s="18"/>
      <c r="DU182" s="18"/>
      <c r="DV182" s="18"/>
      <c r="DW182" s="18"/>
    </row>
    <row r="183" spans="1:127" x14ac:dyDescent="0.25">
      <c r="A183" s="3"/>
      <c r="D183" s="263"/>
      <c r="E183" s="414"/>
      <c r="F183" s="414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59"/>
      <c r="T183" s="259"/>
      <c r="V183" s="259"/>
      <c r="W183" s="4"/>
      <c r="X183" s="4"/>
      <c r="AG183" s="263"/>
      <c r="DP183" s="18"/>
      <c r="DQ183" s="18"/>
      <c r="DR183" s="18"/>
      <c r="DS183" s="18"/>
      <c r="DT183" s="18"/>
      <c r="DU183" s="18"/>
      <c r="DV183" s="18"/>
      <c r="DW183" s="18"/>
    </row>
    <row r="184" spans="1:127" x14ac:dyDescent="0.25">
      <c r="A184" s="3"/>
      <c r="D184" s="263"/>
      <c r="E184" s="414"/>
      <c r="F184" s="414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59"/>
      <c r="T184" s="259"/>
      <c r="V184" s="259"/>
      <c r="W184" s="4"/>
      <c r="X184" s="4"/>
      <c r="AG184" s="263"/>
      <c r="DP184" s="18"/>
      <c r="DQ184" s="18"/>
      <c r="DR184" s="18"/>
      <c r="DS184" s="18"/>
      <c r="DT184" s="18"/>
      <c r="DU184" s="18"/>
      <c r="DV184" s="18"/>
      <c r="DW184" s="18"/>
    </row>
    <row r="185" spans="1:127" x14ac:dyDescent="0.25">
      <c r="A185" s="3"/>
      <c r="D185" s="263"/>
      <c r="E185" s="414"/>
      <c r="F185" s="414"/>
      <c r="G185" s="263"/>
      <c r="H185" s="263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59"/>
      <c r="T185" s="259"/>
      <c r="V185" s="259"/>
      <c r="W185" s="4"/>
      <c r="X185" s="4"/>
      <c r="AG185" s="263"/>
      <c r="DP185" s="18"/>
      <c r="DQ185" s="18"/>
      <c r="DR185" s="18"/>
      <c r="DS185" s="18"/>
      <c r="DT185" s="18"/>
      <c r="DU185" s="18"/>
      <c r="DV185" s="18"/>
      <c r="DW185" s="18"/>
    </row>
    <row r="186" spans="1:127" x14ac:dyDescent="0.25">
      <c r="A186" s="3"/>
      <c r="D186" s="263"/>
      <c r="E186" s="414"/>
      <c r="F186" s="414"/>
      <c r="G186" s="263"/>
      <c r="H186" s="263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59"/>
      <c r="T186" s="259"/>
      <c r="V186" s="259"/>
      <c r="W186" s="4"/>
      <c r="X186" s="4"/>
      <c r="AG186" s="263"/>
      <c r="DP186" s="18"/>
      <c r="DQ186" s="18"/>
      <c r="DR186" s="18"/>
      <c r="DS186" s="18"/>
      <c r="DT186" s="18"/>
      <c r="DU186" s="18"/>
      <c r="DV186" s="18"/>
      <c r="DW186" s="18"/>
    </row>
    <row r="187" spans="1:127" x14ac:dyDescent="0.25">
      <c r="A187" s="3"/>
      <c r="D187" s="263"/>
      <c r="E187" s="414"/>
      <c r="F187" s="414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59"/>
      <c r="T187" s="259"/>
      <c r="V187" s="259"/>
      <c r="W187" s="4"/>
      <c r="X187" s="4"/>
      <c r="AG187" s="263"/>
      <c r="DP187" s="18"/>
      <c r="DQ187" s="18"/>
      <c r="DR187" s="18"/>
      <c r="DS187" s="18"/>
      <c r="DT187" s="18"/>
      <c r="DU187" s="18"/>
      <c r="DV187" s="18"/>
      <c r="DW187" s="18"/>
    </row>
    <row r="188" spans="1:127" x14ac:dyDescent="0.25">
      <c r="A188" s="3"/>
      <c r="D188" s="263"/>
      <c r="E188" s="414"/>
      <c r="F188" s="414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59"/>
      <c r="T188" s="259"/>
      <c r="V188" s="259"/>
      <c r="W188" s="4"/>
      <c r="X188" s="4"/>
      <c r="AG188" s="263"/>
      <c r="DP188" s="18"/>
      <c r="DQ188" s="18"/>
      <c r="DR188" s="18"/>
      <c r="DS188" s="18"/>
      <c r="DT188" s="18"/>
      <c r="DU188" s="18"/>
      <c r="DV188" s="18"/>
      <c r="DW188" s="18"/>
    </row>
    <row r="189" spans="1:127" x14ac:dyDescent="0.25">
      <c r="A189" s="3"/>
      <c r="D189" s="263"/>
      <c r="E189" s="414"/>
      <c r="F189" s="414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59"/>
      <c r="T189" s="259"/>
      <c r="V189" s="259"/>
      <c r="W189" s="4"/>
      <c r="X189" s="4"/>
      <c r="AG189" s="263"/>
      <c r="DP189" s="18"/>
      <c r="DQ189" s="18"/>
      <c r="DR189" s="18"/>
      <c r="DS189" s="18"/>
      <c r="DT189" s="18"/>
      <c r="DU189" s="18"/>
      <c r="DV189" s="18"/>
      <c r="DW189" s="18"/>
    </row>
    <row r="190" spans="1:127" x14ac:dyDescent="0.25">
      <c r="A190" s="3"/>
      <c r="D190" s="263"/>
      <c r="E190" s="414"/>
      <c r="F190" s="414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59"/>
      <c r="T190" s="259"/>
      <c r="V190" s="259"/>
      <c r="W190" s="4"/>
      <c r="X190" s="4"/>
      <c r="AG190" s="263"/>
      <c r="DP190" s="18"/>
      <c r="DQ190" s="18"/>
      <c r="DR190" s="18"/>
      <c r="DS190" s="18"/>
      <c r="DT190" s="18"/>
      <c r="DU190" s="18"/>
      <c r="DV190" s="18"/>
      <c r="DW190" s="18"/>
    </row>
    <row r="191" spans="1:127" x14ac:dyDescent="0.25">
      <c r="A191" s="3"/>
      <c r="D191" s="263"/>
      <c r="E191" s="414"/>
      <c r="F191" s="414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59"/>
      <c r="T191" s="259"/>
      <c r="V191" s="259"/>
      <c r="W191" s="4"/>
      <c r="X191" s="4"/>
      <c r="AG191" s="263"/>
      <c r="DP191" s="18"/>
      <c r="DQ191" s="18"/>
      <c r="DR191" s="18"/>
      <c r="DS191" s="18"/>
      <c r="DT191" s="18"/>
      <c r="DU191" s="18"/>
      <c r="DV191" s="18"/>
      <c r="DW191" s="18"/>
    </row>
    <row r="192" spans="1:127" x14ac:dyDescent="0.25">
      <c r="A192" s="3"/>
      <c r="D192" s="263"/>
      <c r="E192" s="414"/>
      <c r="F192" s="414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59"/>
      <c r="T192" s="259"/>
      <c r="V192" s="259"/>
      <c r="W192" s="4"/>
      <c r="X192" s="4"/>
      <c r="AG192" s="263"/>
      <c r="DP192" s="18"/>
      <c r="DQ192" s="18"/>
      <c r="DR192" s="18"/>
      <c r="DS192" s="18"/>
      <c r="DT192" s="18"/>
      <c r="DU192" s="18"/>
      <c r="DV192" s="18"/>
      <c r="DW192" s="18"/>
    </row>
    <row r="193" spans="1:127" x14ac:dyDescent="0.25">
      <c r="A193" s="3"/>
      <c r="D193" s="263"/>
      <c r="E193" s="414"/>
      <c r="F193" s="414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1"/>
      <c r="T193" s="1"/>
      <c r="U193" s="1"/>
      <c r="AH193" s="1"/>
      <c r="DP193" s="18"/>
      <c r="DQ193" s="18"/>
      <c r="DR193" s="18"/>
      <c r="DS193" s="18"/>
      <c r="DT193" s="18"/>
      <c r="DU193" s="18"/>
      <c r="DV193" s="18"/>
      <c r="DW193" s="18"/>
    </row>
    <row r="194" spans="1:127" x14ac:dyDescent="0.25">
      <c r="S194" s="1"/>
      <c r="T194" s="1"/>
      <c r="U194" s="1"/>
      <c r="AH194" s="1"/>
    </row>
    <row r="195" spans="1:127" x14ac:dyDescent="0.25">
      <c r="S195" s="1"/>
      <c r="T195" s="1"/>
      <c r="U195" s="1"/>
      <c r="AH195" s="1"/>
    </row>
    <row r="196" spans="1:127" x14ac:dyDescent="0.25">
      <c r="S196" s="1"/>
      <c r="T196" s="1"/>
      <c r="U196" s="1"/>
      <c r="AH196" s="1"/>
    </row>
    <row r="197" spans="1:127" x14ac:dyDescent="0.25">
      <c r="S197" s="1"/>
      <c r="T197" s="1"/>
      <c r="U197" s="1"/>
      <c r="AH197" s="1"/>
    </row>
    <row r="198" spans="1:127" x14ac:dyDescent="0.25">
      <c r="S198" s="1"/>
      <c r="T198" s="1"/>
      <c r="U198" s="1"/>
      <c r="AH198" s="1"/>
    </row>
    <row r="199" spans="1:127" x14ac:dyDescent="0.25">
      <c r="S199" s="1"/>
      <c r="T199" s="1"/>
      <c r="U199" s="1"/>
      <c r="AH199" s="1"/>
    </row>
    <row r="200" spans="1:127" x14ac:dyDescent="0.25">
      <c r="S200" s="1"/>
      <c r="T200" s="1"/>
      <c r="U200" s="1"/>
      <c r="AH200" s="1"/>
    </row>
    <row r="201" spans="1:127" x14ac:dyDescent="0.25">
      <c r="S201" s="1"/>
      <c r="T201" s="1"/>
      <c r="U201" s="1"/>
      <c r="AH201" s="1"/>
    </row>
    <row r="202" spans="1:127" x14ac:dyDescent="0.25">
      <c r="S202" s="1"/>
      <c r="T202" s="1"/>
      <c r="U202" s="1"/>
      <c r="AH202" s="1"/>
    </row>
    <row r="203" spans="1:127" x14ac:dyDescent="0.25">
      <c r="S203" s="1"/>
      <c r="T203" s="1"/>
      <c r="U203" s="1"/>
      <c r="AH203" s="1"/>
    </row>
    <row r="204" spans="1:127" x14ac:dyDescent="0.25">
      <c r="S204" s="1"/>
      <c r="T204" s="1"/>
      <c r="U204" s="1"/>
      <c r="AH204" s="1"/>
    </row>
    <row r="205" spans="1:127" x14ac:dyDescent="0.25">
      <c r="S205" s="1"/>
      <c r="T205" s="1"/>
      <c r="U205" s="1"/>
      <c r="AH205" s="1"/>
    </row>
    <row r="206" spans="1:127" x14ac:dyDescent="0.25">
      <c r="S206" s="1"/>
      <c r="T206" s="1"/>
      <c r="U206" s="1"/>
      <c r="AH206" s="1"/>
    </row>
    <row r="207" spans="1:127" x14ac:dyDescent="0.25">
      <c r="S207" s="1"/>
      <c r="T207" s="1"/>
      <c r="U207" s="1"/>
      <c r="AH207" s="1"/>
    </row>
    <row r="208" spans="1:127" x14ac:dyDescent="0.25">
      <c r="S208" s="1"/>
      <c r="T208" s="1"/>
      <c r="U208" s="1"/>
      <c r="AH208" s="1"/>
    </row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pans="1:34" x14ac:dyDescent="0.25">
      <c r="S305" s="1"/>
      <c r="T305" s="1"/>
      <c r="U305" s="1"/>
      <c r="AH305" s="1"/>
    </row>
    <row r="306" spans="1:34" x14ac:dyDescent="0.25">
      <c r="S306" s="1"/>
      <c r="T306" s="1"/>
      <c r="U306" s="1"/>
      <c r="AH306" s="1"/>
    </row>
    <row r="307" spans="1:34" x14ac:dyDescent="0.25">
      <c r="S307" s="1"/>
      <c r="T307" s="1"/>
      <c r="U307" s="1"/>
      <c r="AH307" s="1"/>
    </row>
    <row r="308" spans="1:34" x14ac:dyDescent="0.25">
      <c r="S308" s="1"/>
      <c r="T308" s="1"/>
      <c r="U308" s="1"/>
      <c r="AH308" s="1"/>
    </row>
    <row r="309" spans="1:34" x14ac:dyDescent="0.25">
      <c r="S309" s="1"/>
      <c r="T309" s="1"/>
      <c r="U309" s="1"/>
      <c r="AH309" s="1"/>
    </row>
    <row r="310" spans="1:34" x14ac:dyDescent="0.25">
      <c r="S310" s="1"/>
      <c r="T310" s="1"/>
      <c r="U310" s="1"/>
      <c r="AH310" s="1"/>
    </row>
    <row r="311" spans="1:34" x14ac:dyDescent="0.25">
      <c r="S311" s="1"/>
      <c r="T311" s="1"/>
      <c r="U311" s="1"/>
      <c r="AH311" s="1"/>
    </row>
    <row r="312" spans="1:34" x14ac:dyDescent="0.25">
      <c r="S312" s="1"/>
      <c r="T312" s="1"/>
      <c r="U312" s="1"/>
      <c r="AH312" s="1"/>
    </row>
    <row r="313" spans="1:34" x14ac:dyDescent="0.25">
      <c r="S313" s="1"/>
      <c r="T313" s="1"/>
      <c r="U313" s="1"/>
      <c r="AH313" s="1"/>
    </row>
    <row r="314" spans="1:34" x14ac:dyDescent="0.25">
      <c r="A314" s="3"/>
      <c r="S314" s="1"/>
      <c r="T314" s="1"/>
      <c r="U314" s="1"/>
      <c r="AH314" s="1"/>
    </row>
    <row r="315" spans="1:34" x14ac:dyDescent="0.25">
      <c r="A315" s="3"/>
      <c r="S315" s="1"/>
      <c r="T315" s="1"/>
      <c r="U315" s="1"/>
      <c r="AH315" s="1"/>
    </row>
    <row r="316" spans="1:34" x14ac:dyDescent="0.25">
      <c r="A316" s="3"/>
      <c r="S316" s="1"/>
      <c r="T316" s="1"/>
      <c r="U316" s="1"/>
      <c r="AH316" s="1"/>
    </row>
    <row r="317" spans="1:34" x14ac:dyDescent="0.25">
      <c r="A317" s="3"/>
      <c r="S317" s="1"/>
      <c r="T317" s="1"/>
      <c r="U317" s="1"/>
      <c r="AH317" s="1"/>
    </row>
    <row r="318" spans="1:34" x14ac:dyDescent="0.25">
      <c r="A318" s="3"/>
      <c r="S318" s="1"/>
      <c r="T318" s="1"/>
      <c r="U318" s="1"/>
      <c r="AH318" s="1"/>
    </row>
    <row r="319" spans="1:34" x14ac:dyDescent="0.25">
      <c r="A319" s="3"/>
      <c r="S319" s="1"/>
      <c r="T319" s="1"/>
      <c r="U319" s="1"/>
      <c r="AH319" s="1"/>
    </row>
    <row r="320" spans="1:34" x14ac:dyDescent="0.25">
      <c r="A320" s="3"/>
      <c r="S320" s="1"/>
      <c r="T320" s="1"/>
      <c r="U320" s="1"/>
      <c r="AH320" s="1"/>
    </row>
    <row r="321" spans="1:34" x14ac:dyDescent="0.25">
      <c r="A321" s="3"/>
      <c r="S321" s="1"/>
      <c r="T321" s="1"/>
      <c r="U321" s="1"/>
      <c r="AH321" s="1"/>
    </row>
    <row r="322" spans="1:34" x14ac:dyDescent="0.25">
      <c r="A322" s="3"/>
      <c r="S322" s="1"/>
      <c r="T322" s="1"/>
      <c r="U322" s="1"/>
      <c r="AH322" s="1"/>
    </row>
    <row r="323" spans="1:34" x14ac:dyDescent="0.25">
      <c r="A323" s="3"/>
      <c r="S323" s="1"/>
      <c r="T323" s="1"/>
      <c r="U323" s="1"/>
      <c r="AH323" s="1"/>
    </row>
    <row r="324" spans="1:34" x14ac:dyDescent="0.25">
      <c r="A324" s="3"/>
      <c r="S324" s="1"/>
      <c r="T324" s="1"/>
      <c r="U324" s="1"/>
      <c r="AH324" s="1"/>
    </row>
    <row r="325" spans="1:34" x14ac:dyDescent="0.25">
      <c r="A325" s="3"/>
    </row>
    <row r="326" spans="1:34" x14ac:dyDescent="0.25">
      <c r="A326" s="3"/>
    </row>
    <row r="327" spans="1:34" x14ac:dyDescent="0.25">
      <c r="A327" s="3"/>
    </row>
    <row r="328" spans="1:34" x14ac:dyDescent="0.25">
      <c r="A328" s="3"/>
    </row>
    <row r="329" spans="1:34" x14ac:dyDescent="0.25">
      <c r="A329" s="3"/>
    </row>
    <row r="330" spans="1:34" x14ac:dyDescent="0.25">
      <c r="A330" s="3"/>
    </row>
    <row r="331" spans="1:34" x14ac:dyDescent="0.25">
      <c r="A331" s="3"/>
    </row>
    <row r="332" spans="1:34" x14ac:dyDescent="0.25">
      <c r="A332" s="3"/>
    </row>
    <row r="333" spans="1:34" x14ac:dyDescent="0.25">
      <c r="A333" s="3"/>
    </row>
    <row r="334" spans="1:34" x14ac:dyDescent="0.25">
      <c r="A334" s="3"/>
    </row>
    <row r="335" spans="1:34" x14ac:dyDescent="0.25">
      <c r="A335" s="3"/>
    </row>
    <row r="336" spans="1:34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" x14ac:dyDescent="0.25">
      <c r="A1569" s="3"/>
    </row>
    <row r="1570" spans="1:1" x14ac:dyDescent="0.25">
      <c r="A1570" s="3"/>
    </row>
    <row r="1571" spans="1:1" x14ac:dyDescent="0.25">
      <c r="A1571" s="3"/>
    </row>
    <row r="1572" spans="1:1" x14ac:dyDescent="0.25">
      <c r="A1572" s="3"/>
    </row>
    <row r="1573" spans="1:1" x14ac:dyDescent="0.25">
      <c r="A1573" s="3"/>
    </row>
    <row r="1574" spans="1:1" x14ac:dyDescent="0.25">
      <c r="A1574" s="3"/>
    </row>
    <row r="1575" spans="1:1" x14ac:dyDescent="0.25">
      <c r="A1575" s="3"/>
    </row>
    <row r="1576" spans="1:1" x14ac:dyDescent="0.25">
      <c r="A1576" s="3"/>
    </row>
    <row r="1577" spans="1:1" x14ac:dyDescent="0.25">
      <c r="A1577" s="3"/>
    </row>
    <row r="1578" spans="1:1" x14ac:dyDescent="0.25">
      <c r="A1578" s="3"/>
    </row>
    <row r="1579" spans="1:1" x14ac:dyDescent="0.25">
      <c r="A1579" s="3"/>
    </row>
    <row r="1580" spans="1:1" x14ac:dyDescent="0.25">
      <c r="A1580" s="3"/>
    </row>
    <row r="1581" spans="1:1" x14ac:dyDescent="0.25">
      <c r="A1581" s="3"/>
    </row>
    <row r="1582" spans="1:1" x14ac:dyDescent="0.25">
      <c r="A1582" s="3"/>
    </row>
    <row r="1583" spans="1:1" x14ac:dyDescent="0.25">
      <c r="A1583" s="3"/>
    </row>
    <row r="1584" spans="1:1" x14ac:dyDescent="0.25">
      <c r="A1584" s="3"/>
    </row>
    <row r="1585" spans="1:1" x14ac:dyDescent="0.25">
      <c r="A1585" s="3"/>
    </row>
    <row r="1586" spans="1:1" x14ac:dyDescent="0.25">
      <c r="A1586" s="3"/>
    </row>
    <row r="1587" spans="1:1" x14ac:dyDescent="0.25">
      <c r="A1587" s="3"/>
    </row>
    <row r="1588" spans="1:1" x14ac:dyDescent="0.25">
      <c r="A1588" s="3"/>
    </row>
    <row r="1589" spans="1:1" x14ac:dyDescent="0.25">
      <c r="A1589" s="3"/>
    </row>
    <row r="1590" spans="1:1" x14ac:dyDescent="0.25">
      <c r="A1590" s="3"/>
    </row>
    <row r="1591" spans="1:1" x14ac:dyDescent="0.25">
      <c r="A1591" s="3"/>
    </row>
    <row r="1592" spans="1:1" x14ac:dyDescent="0.25">
      <c r="A1592" s="3"/>
    </row>
    <row r="1593" spans="1:1" x14ac:dyDescent="0.25">
      <c r="A1593" s="3"/>
    </row>
    <row r="1594" spans="1:1" x14ac:dyDescent="0.25">
      <c r="A1594" s="3"/>
    </row>
    <row r="1595" spans="1:1" x14ac:dyDescent="0.25">
      <c r="A1595" s="3"/>
    </row>
    <row r="1596" spans="1:1" x14ac:dyDescent="0.25">
      <c r="A1596" s="3"/>
    </row>
    <row r="1597" spans="1:1" x14ac:dyDescent="0.25">
      <c r="A1597" s="3"/>
    </row>
    <row r="1598" spans="1:1" x14ac:dyDescent="0.25">
      <c r="A1598" s="3"/>
    </row>
    <row r="1599" spans="1:1" x14ac:dyDescent="0.25">
      <c r="A1599" s="3"/>
    </row>
    <row r="1600" spans="1:1" x14ac:dyDescent="0.25">
      <c r="A1600" s="3"/>
    </row>
    <row r="1601" spans="1:1" x14ac:dyDescent="0.25">
      <c r="A1601" s="3"/>
    </row>
    <row r="1602" spans="1:1" x14ac:dyDescent="0.25">
      <c r="A1602" s="3"/>
    </row>
    <row r="1603" spans="1:1" x14ac:dyDescent="0.25">
      <c r="A1603" s="3"/>
    </row>
    <row r="1604" spans="1:1" x14ac:dyDescent="0.25">
      <c r="A1604" s="3"/>
    </row>
    <row r="1605" spans="1:1" x14ac:dyDescent="0.25">
      <c r="A1605" s="3"/>
    </row>
    <row r="1606" spans="1:1" x14ac:dyDescent="0.25">
      <c r="A1606" s="3"/>
    </row>
    <row r="1607" spans="1:1" x14ac:dyDescent="0.25">
      <c r="A1607" s="3"/>
    </row>
    <row r="1608" spans="1:1" x14ac:dyDescent="0.25">
      <c r="A1608" s="3"/>
    </row>
    <row r="1609" spans="1:1" x14ac:dyDescent="0.25">
      <c r="A1609" s="3"/>
    </row>
    <row r="1610" spans="1:1" x14ac:dyDescent="0.25">
      <c r="A1610" s="3"/>
    </row>
    <row r="1611" spans="1:1" x14ac:dyDescent="0.25">
      <c r="A1611" s="3"/>
    </row>
    <row r="1612" spans="1:1" x14ac:dyDescent="0.25">
      <c r="A1612" s="3"/>
    </row>
    <row r="1613" spans="1:1" x14ac:dyDescent="0.25">
      <c r="A1613" s="3"/>
    </row>
    <row r="1614" spans="1:1" x14ac:dyDescent="0.25">
      <c r="A1614" s="3"/>
    </row>
    <row r="1615" spans="1:1" x14ac:dyDescent="0.25">
      <c r="A1615" s="3"/>
    </row>
    <row r="1616" spans="1:1" x14ac:dyDescent="0.25">
      <c r="A1616" s="3"/>
    </row>
    <row r="1617" spans="1:1" x14ac:dyDescent="0.25">
      <c r="A1617" s="3"/>
    </row>
    <row r="1618" spans="1:1" x14ac:dyDescent="0.25">
      <c r="A1618" s="3"/>
    </row>
    <row r="1619" spans="1:1" x14ac:dyDescent="0.25">
      <c r="A1619" s="3"/>
    </row>
    <row r="1620" spans="1:1" x14ac:dyDescent="0.25">
      <c r="A1620" s="3"/>
    </row>
    <row r="1621" spans="1:1" x14ac:dyDescent="0.25">
      <c r="A1621" s="3"/>
    </row>
    <row r="1622" spans="1:1" x14ac:dyDescent="0.25">
      <c r="A1622" s="3"/>
    </row>
    <row r="1623" spans="1:1" x14ac:dyDescent="0.25">
      <c r="A1623" s="3"/>
    </row>
    <row r="1624" spans="1:1" x14ac:dyDescent="0.25">
      <c r="A1624" s="3"/>
    </row>
    <row r="1625" spans="1:1" x14ac:dyDescent="0.25">
      <c r="A1625" s="3"/>
    </row>
    <row r="1626" spans="1:1" x14ac:dyDescent="0.25">
      <c r="A1626" s="3"/>
    </row>
    <row r="1627" spans="1:1" x14ac:dyDescent="0.25">
      <c r="A1627" s="3"/>
    </row>
    <row r="1628" spans="1:1" x14ac:dyDescent="0.25">
      <c r="A1628" s="3"/>
    </row>
    <row r="1629" spans="1:1" x14ac:dyDescent="0.25">
      <c r="A1629" s="3"/>
    </row>
    <row r="1630" spans="1:1" x14ac:dyDescent="0.25">
      <c r="A1630" s="3"/>
    </row>
    <row r="1631" spans="1:1" x14ac:dyDescent="0.25">
      <c r="A1631" s="3"/>
    </row>
    <row r="1632" spans="1:1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  <row r="2288" spans="1:1" x14ac:dyDescent="0.25">
      <c r="A2288" s="3"/>
    </row>
    <row r="2289" spans="1:1" x14ac:dyDescent="0.25">
      <c r="A2289" s="3"/>
    </row>
    <row r="2290" spans="1:1" x14ac:dyDescent="0.25">
      <c r="A2290" s="3"/>
    </row>
    <row r="2291" spans="1:1" x14ac:dyDescent="0.25">
      <c r="A2291" s="3"/>
    </row>
    <row r="2292" spans="1:1" x14ac:dyDescent="0.25">
      <c r="A2292" s="3"/>
    </row>
    <row r="2293" spans="1:1" x14ac:dyDescent="0.25">
      <c r="A2293" s="3"/>
    </row>
    <row r="2294" spans="1:1" x14ac:dyDescent="0.25">
      <c r="A2294" s="3"/>
    </row>
    <row r="2295" spans="1:1" x14ac:dyDescent="0.25">
      <c r="A2295" s="3"/>
    </row>
    <row r="2296" spans="1:1" x14ac:dyDescent="0.25">
      <c r="A2296" s="3"/>
    </row>
    <row r="2297" spans="1:1" x14ac:dyDescent="0.25">
      <c r="A2297" s="3"/>
    </row>
    <row r="2298" spans="1:1" x14ac:dyDescent="0.25">
      <c r="A2298" s="3"/>
    </row>
    <row r="2299" spans="1:1" x14ac:dyDescent="0.25">
      <c r="A2299" s="3"/>
    </row>
    <row r="2300" spans="1:1" x14ac:dyDescent="0.25">
      <c r="A2300" s="3"/>
    </row>
    <row r="2301" spans="1:1" x14ac:dyDescent="0.25">
      <c r="A2301" s="3"/>
    </row>
    <row r="2302" spans="1:1" x14ac:dyDescent="0.25">
      <c r="A2302" s="3"/>
    </row>
    <row r="2303" spans="1:1" x14ac:dyDescent="0.25">
      <c r="A2303" s="3"/>
    </row>
    <row r="2304" spans="1:1" x14ac:dyDescent="0.25">
      <c r="A2304" s="3"/>
    </row>
    <row r="2305" spans="1:1" x14ac:dyDescent="0.25">
      <c r="A2305" s="3"/>
    </row>
    <row r="2306" spans="1:1" x14ac:dyDescent="0.25">
      <c r="A2306" s="3"/>
    </row>
    <row r="2307" spans="1:1" x14ac:dyDescent="0.25">
      <c r="A2307" s="3"/>
    </row>
    <row r="2308" spans="1:1" x14ac:dyDescent="0.25">
      <c r="A2308" s="3"/>
    </row>
    <row r="2309" spans="1:1" x14ac:dyDescent="0.25">
      <c r="A2309" s="3"/>
    </row>
    <row r="2310" spans="1:1" x14ac:dyDescent="0.25">
      <c r="A2310" s="3"/>
    </row>
    <row r="2311" spans="1:1" x14ac:dyDescent="0.25">
      <c r="A2311" s="3"/>
    </row>
    <row r="2312" spans="1:1" x14ac:dyDescent="0.25">
      <c r="A2312" s="3"/>
    </row>
    <row r="2313" spans="1:1" x14ac:dyDescent="0.25">
      <c r="A2313" s="3"/>
    </row>
    <row r="2314" spans="1:1" x14ac:dyDescent="0.25">
      <c r="A2314" s="3"/>
    </row>
    <row r="2315" spans="1:1" x14ac:dyDescent="0.25">
      <c r="A2315" s="3"/>
    </row>
    <row r="2316" spans="1:1" x14ac:dyDescent="0.25">
      <c r="A2316" s="3"/>
    </row>
    <row r="2317" spans="1:1" x14ac:dyDescent="0.25">
      <c r="A2317" s="3"/>
    </row>
    <row r="2318" spans="1:1" x14ac:dyDescent="0.25">
      <c r="A2318" s="3"/>
    </row>
    <row r="2319" spans="1:1" x14ac:dyDescent="0.25">
      <c r="A2319" s="3"/>
    </row>
    <row r="2320" spans="1:1" x14ac:dyDescent="0.25">
      <c r="A2320" s="3"/>
    </row>
    <row r="2321" spans="1:1" x14ac:dyDescent="0.25">
      <c r="A2321" s="3"/>
    </row>
    <row r="2322" spans="1:1" x14ac:dyDescent="0.25">
      <c r="A2322" s="3"/>
    </row>
    <row r="2323" spans="1:1" x14ac:dyDescent="0.25">
      <c r="A2323" s="3"/>
    </row>
    <row r="2324" spans="1:1" x14ac:dyDescent="0.25">
      <c r="A2324" s="3"/>
    </row>
    <row r="2325" spans="1:1" x14ac:dyDescent="0.25">
      <c r="A2325" s="3"/>
    </row>
    <row r="2326" spans="1:1" x14ac:dyDescent="0.25">
      <c r="A2326" s="3"/>
    </row>
    <row r="2327" spans="1:1" x14ac:dyDescent="0.25">
      <c r="A2327" s="3"/>
    </row>
    <row r="2328" spans="1:1" x14ac:dyDescent="0.25">
      <c r="A2328" s="3"/>
    </row>
    <row r="2329" spans="1:1" x14ac:dyDescent="0.25">
      <c r="A2329" s="3"/>
    </row>
    <row r="2330" spans="1:1" x14ac:dyDescent="0.25">
      <c r="A2330" s="3"/>
    </row>
    <row r="2331" spans="1:1" x14ac:dyDescent="0.25">
      <c r="A2331" s="3"/>
    </row>
    <row r="2332" spans="1:1" x14ac:dyDescent="0.25">
      <c r="A2332" s="3"/>
    </row>
    <row r="2333" spans="1:1" x14ac:dyDescent="0.25">
      <c r="A2333" s="3"/>
    </row>
    <row r="2334" spans="1:1" x14ac:dyDescent="0.25">
      <c r="A2334" s="3"/>
    </row>
    <row r="2335" spans="1:1" x14ac:dyDescent="0.25">
      <c r="A2335" s="3"/>
    </row>
    <row r="2336" spans="1:1" x14ac:dyDescent="0.25">
      <c r="A2336" s="3"/>
    </row>
    <row r="2337" spans="1:1" x14ac:dyDescent="0.25">
      <c r="A2337" s="3"/>
    </row>
    <row r="2338" spans="1:1" x14ac:dyDescent="0.25">
      <c r="A2338" s="3"/>
    </row>
    <row r="2339" spans="1:1" x14ac:dyDescent="0.25">
      <c r="A2339" s="3"/>
    </row>
    <row r="2340" spans="1:1" x14ac:dyDescent="0.25">
      <c r="A2340" s="3"/>
    </row>
    <row r="2341" spans="1:1" x14ac:dyDescent="0.25">
      <c r="A2341" s="3"/>
    </row>
    <row r="2342" spans="1:1" x14ac:dyDescent="0.25">
      <c r="A2342" s="3"/>
    </row>
    <row r="2343" spans="1:1" x14ac:dyDescent="0.25">
      <c r="A2343" s="3"/>
    </row>
    <row r="2344" spans="1:1" x14ac:dyDescent="0.25">
      <c r="A2344" s="3"/>
    </row>
    <row r="2345" spans="1:1" x14ac:dyDescent="0.25">
      <c r="A2345" s="3"/>
    </row>
    <row r="2346" spans="1:1" x14ac:dyDescent="0.25">
      <c r="A2346" s="3"/>
    </row>
    <row r="2347" spans="1:1" x14ac:dyDescent="0.25">
      <c r="A2347" s="3"/>
    </row>
    <row r="2348" spans="1:1" x14ac:dyDescent="0.25">
      <c r="A2348" s="3"/>
    </row>
    <row r="2349" spans="1:1" x14ac:dyDescent="0.25">
      <c r="A2349" s="3"/>
    </row>
    <row r="2350" spans="1:1" x14ac:dyDescent="0.25">
      <c r="A2350" s="3"/>
    </row>
    <row r="2351" spans="1:1" x14ac:dyDescent="0.25">
      <c r="A2351" s="3"/>
    </row>
    <row r="2352" spans="1:1" x14ac:dyDescent="0.25">
      <c r="A2352" s="3"/>
    </row>
    <row r="2353" spans="1:1" x14ac:dyDescent="0.25">
      <c r="A2353" s="3"/>
    </row>
    <row r="2354" spans="1:1" x14ac:dyDescent="0.25">
      <c r="A2354" s="3"/>
    </row>
    <row r="2355" spans="1:1" x14ac:dyDescent="0.25">
      <c r="A2355" s="3"/>
    </row>
    <row r="2356" spans="1:1" x14ac:dyDescent="0.25">
      <c r="A2356" s="3"/>
    </row>
    <row r="2357" spans="1:1" x14ac:dyDescent="0.25">
      <c r="A2357" s="3"/>
    </row>
    <row r="2358" spans="1:1" x14ac:dyDescent="0.25">
      <c r="A2358" s="3"/>
    </row>
    <row r="2359" spans="1:1" x14ac:dyDescent="0.25">
      <c r="A2359" s="3"/>
    </row>
    <row r="2360" spans="1:1" x14ac:dyDescent="0.25">
      <c r="A2360" s="3"/>
    </row>
    <row r="2361" spans="1:1" x14ac:dyDescent="0.25">
      <c r="A2361" s="3"/>
    </row>
    <row r="2362" spans="1:1" x14ac:dyDescent="0.25">
      <c r="A2362" s="3"/>
    </row>
    <row r="2363" spans="1:1" x14ac:dyDescent="0.25">
      <c r="A2363" s="3"/>
    </row>
    <row r="2364" spans="1:1" x14ac:dyDescent="0.25">
      <c r="A2364" s="3"/>
    </row>
    <row r="2365" spans="1:1" x14ac:dyDescent="0.25">
      <c r="A2365" s="3"/>
    </row>
    <row r="2366" spans="1:1" x14ac:dyDescent="0.25">
      <c r="A2366" s="3"/>
    </row>
    <row r="2367" spans="1:1" x14ac:dyDescent="0.25">
      <c r="A2367" s="3"/>
    </row>
    <row r="2368" spans="1:1" x14ac:dyDescent="0.25">
      <c r="A2368" s="3"/>
    </row>
    <row r="2369" spans="1:1" x14ac:dyDescent="0.25">
      <c r="A2369" s="3"/>
    </row>
    <row r="2370" spans="1:1" x14ac:dyDescent="0.25">
      <c r="A2370" s="3"/>
    </row>
    <row r="2371" spans="1:1" x14ac:dyDescent="0.25">
      <c r="A2371" s="3"/>
    </row>
    <row r="2372" spans="1:1" x14ac:dyDescent="0.25">
      <c r="A2372" s="3"/>
    </row>
    <row r="2373" spans="1:1" x14ac:dyDescent="0.25">
      <c r="A2373" s="3"/>
    </row>
    <row r="2374" spans="1:1" x14ac:dyDescent="0.25">
      <c r="A2374" s="3"/>
    </row>
    <row r="2375" spans="1:1" x14ac:dyDescent="0.25">
      <c r="A2375" s="3"/>
    </row>
    <row r="2376" spans="1:1" x14ac:dyDescent="0.25">
      <c r="A2376" s="3"/>
    </row>
    <row r="2377" spans="1:1" x14ac:dyDescent="0.25">
      <c r="A2377" s="3"/>
    </row>
    <row r="2378" spans="1:1" x14ac:dyDescent="0.25">
      <c r="A2378" s="3"/>
    </row>
    <row r="2379" spans="1:1" x14ac:dyDescent="0.25">
      <c r="A2379" s="3"/>
    </row>
    <row r="2380" spans="1:1" x14ac:dyDescent="0.25">
      <c r="A2380" s="3"/>
    </row>
    <row r="2381" spans="1:1" x14ac:dyDescent="0.25">
      <c r="A2381" s="3"/>
    </row>
    <row r="2382" spans="1:1" x14ac:dyDescent="0.25">
      <c r="A2382" s="3"/>
    </row>
    <row r="2383" spans="1:1" x14ac:dyDescent="0.25">
      <c r="A2383" s="3"/>
    </row>
    <row r="2384" spans="1:1" x14ac:dyDescent="0.25">
      <c r="A2384" s="3"/>
    </row>
    <row r="2385" spans="1:1" x14ac:dyDescent="0.25">
      <c r="A2385" s="3"/>
    </row>
    <row r="2386" spans="1:1" x14ac:dyDescent="0.25">
      <c r="A2386" s="3"/>
    </row>
    <row r="2387" spans="1:1" x14ac:dyDescent="0.25">
      <c r="A2387" s="3"/>
    </row>
    <row r="2388" spans="1:1" x14ac:dyDescent="0.25">
      <c r="A2388" s="3"/>
    </row>
    <row r="2389" spans="1:1" x14ac:dyDescent="0.25">
      <c r="A2389" s="3"/>
    </row>
    <row r="2390" spans="1:1" x14ac:dyDescent="0.25">
      <c r="A2390" s="3"/>
    </row>
    <row r="2391" spans="1:1" x14ac:dyDescent="0.25">
      <c r="A2391" s="3"/>
    </row>
    <row r="2392" spans="1:1" x14ac:dyDescent="0.25">
      <c r="A2392" s="3"/>
    </row>
    <row r="2393" spans="1:1" x14ac:dyDescent="0.25">
      <c r="A2393" s="3"/>
    </row>
    <row r="2394" spans="1:1" x14ac:dyDescent="0.25">
      <c r="A2394" s="3"/>
    </row>
    <row r="2395" spans="1:1" x14ac:dyDescent="0.25">
      <c r="A2395" s="3"/>
    </row>
    <row r="2396" spans="1:1" x14ac:dyDescent="0.25">
      <c r="A2396" s="3"/>
    </row>
    <row r="2397" spans="1:1" x14ac:dyDescent="0.25">
      <c r="A2397" s="3"/>
    </row>
    <row r="2398" spans="1:1" x14ac:dyDescent="0.25">
      <c r="A2398" s="3"/>
    </row>
    <row r="2399" spans="1:1" x14ac:dyDescent="0.25">
      <c r="A2399" s="3"/>
    </row>
    <row r="2400" spans="1:1" x14ac:dyDescent="0.25">
      <c r="A2400" s="3"/>
    </row>
    <row r="2401" spans="1:1" x14ac:dyDescent="0.25">
      <c r="A2401" s="3"/>
    </row>
    <row r="2402" spans="1:1" x14ac:dyDescent="0.25">
      <c r="A2402" s="3"/>
    </row>
    <row r="2403" spans="1:1" x14ac:dyDescent="0.25">
      <c r="A2403" s="3"/>
    </row>
    <row r="2404" spans="1:1" x14ac:dyDescent="0.25">
      <c r="A2404" s="3"/>
    </row>
    <row r="2405" spans="1:1" x14ac:dyDescent="0.25">
      <c r="A2405" s="3"/>
    </row>
    <row r="2406" spans="1:1" x14ac:dyDescent="0.25">
      <c r="A2406" s="3"/>
    </row>
    <row r="2407" spans="1:1" x14ac:dyDescent="0.25">
      <c r="A2407" s="3"/>
    </row>
    <row r="2408" spans="1:1" x14ac:dyDescent="0.25">
      <c r="A2408" s="3"/>
    </row>
    <row r="2409" spans="1:1" x14ac:dyDescent="0.25">
      <c r="A2409" s="3"/>
    </row>
    <row r="2410" spans="1:1" x14ac:dyDescent="0.25">
      <c r="A2410" s="3"/>
    </row>
    <row r="2411" spans="1:1" x14ac:dyDescent="0.25">
      <c r="A2411" s="3"/>
    </row>
    <row r="2412" spans="1:1" x14ac:dyDescent="0.25">
      <c r="A2412" s="3"/>
    </row>
    <row r="2413" spans="1:1" x14ac:dyDescent="0.25">
      <c r="A2413" s="3"/>
    </row>
    <row r="2414" spans="1:1" x14ac:dyDescent="0.25">
      <c r="A2414" s="3"/>
    </row>
    <row r="2415" spans="1:1" x14ac:dyDescent="0.25">
      <c r="A2415" s="3"/>
    </row>
    <row r="2416" spans="1:1" x14ac:dyDescent="0.25">
      <c r="A2416" s="3"/>
    </row>
    <row r="2417" spans="1:1" x14ac:dyDescent="0.25">
      <c r="A2417" s="3"/>
    </row>
    <row r="2418" spans="1:1" x14ac:dyDescent="0.25">
      <c r="A2418" s="3"/>
    </row>
    <row r="2419" spans="1:1" x14ac:dyDescent="0.25">
      <c r="A2419" s="3"/>
    </row>
    <row r="2420" spans="1:1" x14ac:dyDescent="0.25">
      <c r="A2420" s="3"/>
    </row>
    <row r="2421" spans="1:1" x14ac:dyDescent="0.25">
      <c r="A2421" s="3"/>
    </row>
    <row r="2422" spans="1:1" x14ac:dyDescent="0.25">
      <c r="A2422" s="3"/>
    </row>
    <row r="2423" spans="1:1" x14ac:dyDescent="0.25">
      <c r="A2423" s="3"/>
    </row>
    <row r="2424" spans="1:1" x14ac:dyDescent="0.25">
      <c r="A2424" s="3"/>
    </row>
    <row r="2425" spans="1:1" x14ac:dyDescent="0.25">
      <c r="A2425" s="3"/>
    </row>
    <row r="2426" spans="1:1" x14ac:dyDescent="0.25">
      <c r="A2426" s="3"/>
    </row>
    <row r="2427" spans="1:1" x14ac:dyDescent="0.25">
      <c r="A2427" s="3"/>
    </row>
    <row r="2428" spans="1:1" x14ac:dyDescent="0.25">
      <c r="A2428" s="3"/>
    </row>
    <row r="2429" spans="1:1" x14ac:dyDescent="0.25">
      <c r="A2429" s="3"/>
    </row>
    <row r="2430" spans="1:1" x14ac:dyDescent="0.25">
      <c r="A2430" s="3"/>
    </row>
    <row r="2431" spans="1:1" x14ac:dyDescent="0.25">
      <c r="A2431" s="3"/>
    </row>
    <row r="2432" spans="1:1" x14ac:dyDescent="0.25">
      <c r="A2432" s="3"/>
    </row>
    <row r="2433" spans="1:1" x14ac:dyDescent="0.25">
      <c r="A2433" s="3"/>
    </row>
    <row r="2434" spans="1:1" x14ac:dyDescent="0.25">
      <c r="A2434" s="3"/>
    </row>
    <row r="2435" spans="1:1" x14ac:dyDescent="0.25">
      <c r="A2435" s="3"/>
    </row>
    <row r="2436" spans="1:1" x14ac:dyDescent="0.25">
      <c r="A2436" s="3"/>
    </row>
    <row r="2437" spans="1:1" x14ac:dyDescent="0.25">
      <c r="A2437" s="3"/>
    </row>
    <row r="2438" spans="1:1" x14ac:dyDescent="0.25">
      <c r="A2438" s="3"/>
    </row>
    <row r="2439" spans="1:1" x14ac:dyDescent="0.25">
      <c r="A2439" s="3"/>
    </row>
    <row r="2440" spans="1:1" x14ac:dyDescent="0.25">
      <c r="A2440" s="3"/>
    </row>
    <row r="2441" spans="1:1" x14ac:dyDescent="0.25">
      <c r="A2441" s="3"/>
    </row>
    <row r="2442" spans="1:1" x14ac:dyDescent="0.25">
      <c r="A2442" s="3"/>
    </row>
    <row r="2443" spans="1:1" x14ac:dyDescent="0.25">
      <c r="A2443" s="3"/>
    </row>
    <row r="2444" spans="1:1" x14ac:dyDescent="0.25">
      <c r="A2444" s="3"/>
    </row>
    <row r="2445" spans="1:1" x14ac:dyDescent="0.25">
      <c r="A2445" s="3"/>
    </row>
    <row r="2446" spans="1:1" x14ac:dyDescent="0.25">
      <c r="A2446" s="3"/>
    </row>
    <row r="2447" spans="1:1" x14ac:dyDescent="0.25">
      <c r="A2447" s="3"/>
    </row>
    <row r="2448" spans="1:1" x14ac:dyDescent="0.25">
      <c r="A2448" s="3"/>
    </row>
    <row r="2449" spans="1:1" x14ac:dyDescent="0.25">
      <c r="A2449" s="3"/>
    </row>
    <row r="2450" spans="1:1" x14ac:dyDescent="0.25">
      <c r="A2450" s="3"/>
    </row>
    <row r="2451" spans="1:1" x14ac:dyDescent="0.25">
      <c r="A2451" s="3"/>
    </row>
    <row r="2452" spans="1:1" x14ac:dyDescent="0.25">
      <c r="A2452" s="3"/>
    </row>
    <row r="2453" spans="1:1" x14ac:dyDescent="0.25">
      <c r="A2453" s="3"/>
    </row>
    <row r="2454" spans="1:1" x14ac:dyDescent="0.25">
      <c r="A2454" s="3"/>
    </row>
    <row r="2455" spans="1:1" x14ac:dyDescent="0.25">
      <c r="A2455" s="3"/>
    </row>
    <row r="2456" spans="1:1" x14ac:dyDescent="0.25">
      <c r="A2456" s="3"/>
    </row>
    <row r="2457" spans="1:1" x14ac:dyDescent="0.25">
      <c r="A2457" s="3"/>
    </row>
    <row r="2458" spans="1:1" x14ac:dyDescent="0.25">
      <c r="A2458" s="3"/>
    </row>
    <row r="2459" spans="1:1" x14ac:dyDescent="0.25">
      <c r="A2459" s="3"/>
    </row>
    <row r="2460" spans="1:1" x14ac:dyDescent="0.25">
      <c r="A2460" s="3"/>
    </row>
    <row r="2461" spans="1:1" x14ac:dyDescent="0.25">
      <c r="A2461" s="3"/>
    </row>
    <row r="2462" spans="1:1" x14ac:dyDescent="0.25">
      <c r="A2462" s="3"/>
    </row>
    <row r="2463" spans="1:1" x14ac:dyDescent="0.25">
      <c r="A2463" s="3"/>
    </row>
    <row r="2464" spans="1:1" x14ac:dyDescent="0.25">
      <c r="A2464" s="3"/>
    </row>
    <row r="2465" spans="1:1" x14ac:dyDescent="0.25">
      <c r="A2465" s="3"/>
    </row>
    <row r="2466" spans="1:1" x14ac:dyDescent="0.25">
      <c r="A2466" s="3"/>
    </row>
    <row r="2467" spans="1:1" x14ac:dyDescent="0.25">
      <c r="A2467" s="3"/>
    </row>
    <row r="2468" spans="1:1" x14ac:dyDescent="0.25">
      <c r="A2468" s="3"/>
    </row>
    <row r="2469" spans="1:1" x14ac:dyDescent="0.25">
      <c r="A2469" s="3"/>
    </row>
    <row r="2470" spans="1:1" x14ac:dyDescent="0.25">
      <c r="A2470" s="3"/>
    </row>
    <row r="2471" spans="1:1" x14ac:dyDescent="0.25">
      <c r="A2471" s="3"/>
    </row>
    <row r="2472" spans="1:1" x14ac:dyDescent="0.25">
      <c r="A2472" s="3"/>
    </row>
    <row r="2473" spans="1:1" x14ac:dyDescent="0.25">
      <c r="A2473" s="3"/>
    </row>
    <row r="2474" spans="1:1" x14ac:dyDescent="0.25">
      <c r="A2474" s="3"/>
    </row>
    <row r="2475" spans="1:1" x14ac:dyDescent="0.25">
      <c r="A2475" s="3"/>
    </row>
    <row r="2476" spans="1:1" x14ac:dyDescent="0.25">
      <c r="A2476" s="3"/>
    </row>
    <row r="2477" spans="1:1" x14ac:dyDescent="0.25">
      <c r="A2477" s="3"/>
    </row>
    <row r="2478" spans="1:1" x14ac:dyDescent="0.25">
      <c r="A2478" s="3"/>
    </row>
    <row r="2479" spans="1:1" x14ac:dyDescent="0.25">
      <c r="A2479" s="3"/>
    </row>
    <row r="2480" spans="1:1" x14ac:dyDescent="0.25">
      <c r="A2480" s="3"/>
    </row>
    <row r="2481" spans="1:1" x14ac:dyDescent="0.25">
      <c r="A2481" s="3"/>
    </row>
    <row r="2482" spans="1:1" x14ac:dyDescent="0.25">
      <c r="A2482" s="3"/>
    </row>
    <row r="2483" spans="1:1" x14ac:dyDescent="0.25">
      <c r="A2483" s="3"/>
    </row>
    <row r="2484" spans="1:1" x14ac:dyDescent="0.25">
      <c r="A2484" s="3"/>
    </row>
    <row r="2485" spans="1:1" x14ac:dyDescent="0.25">
      <c r="A2485" s="3"/>
    </row>
    <row r="2486" spans="1:1" x14ac:dyDescent="0.25">
      <c r="A2486" s="3"/>
    </row>
    <row r="2487" spans="1:1" x14ac:dyDescent="0.25">
      <c r="A2487" s="3"/>
    </row>
    <row r="2488" spans="1:1" x14ac:dyDescent="0.25">
      <c r="A2488" s="3"/>
    </row>
    <row r="2489" spans="1:1" x14ac:dyDescent="0.25">
      <c r="A2489" s="3"/>
    </row>
    <row r="2490" spans="1:1" x14ac:dyDescent="0.25">
      <c r="A2490" s="3"/>
    </row>
    <row r="2491" spans="1:1" x14ac:dyDescent="0.25">
      <c r="A2491" s="3"/>
    </row>
    <row r="2492" spans="1:1" x14ac:dyDescent="0.25">
      <c r="A2492" s="3"/>
    </row>
    <row r="2493" spans="1:1" x14ac:dyDescent="0.25">
      <c r="A2493" s="3"/>
    </row>
    <row r="2494" spans="1:1" x14ac:dyDescent="0.25">
      <c r="A2494" s="3"/>
    </row>
    <row r="2495" spans="1:1" x14ac:dyDescent="0.25">
      <c r="A2495" s="3"/>
    </row>
    <row r="2496" spans="1:1" x14ac:dyDescent="0.25">
      <c r="A2496" s="3"/>
    </row>
    <row r="2497" spans="1:1" x14ac:dyDescent="0.25">
      <c r="A2497" s="3"/>
    </row>
    <row r="2498" spans="1:1" x14ac:dyDescent="0.25">
      <c r="A2498" s="3"/>
    </row>
    <row r="2499" spans="1:1" x14ac:dyDescent="0.25">
      <c r="A2499" s="3"/>
    </row>
    <row r="2500" spans="1:1" x14ac:dyDescent="0.25">
      <c r="A2500" s="3"/>
    </row>
    <row r="2501" spans="1:1" x14ac:dyDescent="0.25">
      <c r="A2501" s="3"/>
    </row>
    <row r="2502" spans="1:1" x14ac:dyDescent="0.25">
      <c r="A2502" s="3"/>
    </row>
    <row r="2503" spans="1:1" x14ac:dyDescent="0.25">
      <c r="A2503" s="3"/>
    </row>
    <row r="2504" spans="1:1" x14ac:dyDescent="0.25">
      <c r="A2504" s="3"/>
    </row>
    <row r="2505" spans="1:1" x14ac:dyDescent="0.25">
      <c r="A2505" s="3"/>
    </row>
    <row r="2506" spans="1:1" x14ac:dyDescent="0.25">
      <c r="A2506" s="3"/>
    </row>
    <row r="2507" spans="1:1" x14ac:dyDescent="0.25">
      <c r="A2507" s="3"/>
    </row>
    <row r="2508" spans="1:1" x14ac:dyDescent="0.25">
      <c r="A2508" s="3"/>
    </row>
    <row r="2509" spans="1:1" x14ac:dyDescent="0.25">
      <c r="A2509" s="3"/>
    </row>
    <row r="2510" spans="1:1" x14ac:dyDescent="0.25">
      <c r="A2510" s="3"/>
    </row>
    <row r="2511" spans="1:1" x14ac:dyDescent="0.25">
      <c r="A2511" s="3"/>
    </row>
    <row r="2512" spans="1:1" x14ac:dyDescent="0.25">
      <c r="A2512" s="3"/>
    </row>
    <row r="2513" spans="1:1" x14ac:dyDescent="0.25">
      <c r="A2513" s="3"/>
    </row>
    <row r="2514" spans="1:1" x14ac:dyDescent="0.25">
      <c r="A2514" s="3"/>
    </row>
    <row r="2515" spans="1:1" x14ac:dyDescent="0.25">
      <c r="A2515" s="3"/>
    </row>
    <row r="2516" spans="1:1" x14ac:dyDescent="0.25">
      <c r="A2516" s="3"/>
    </row>
    <row r="2517" spans="1:1" x14ac:dyDescent="0.25">
      <c r="A2517" s="3"/>
    </row>
    <row r="2518" spans="1:1" x14ac:dyDescent="0.25">
      <c r="A2518" s="3"/>
    </row>
    <row r="2519" spans="1:1" x14ac:dyDescent="0.25">
      <c r="A2519" s="3"/>
    </row>
    <row r="2520" spans="1:1" x14ac:dyDescent="0.25">
      <c r="A2520" s="3"/>
    </row>
    <row r="2521" spans="1:1" x14ac:dyDescent="0.25">
      <c r="A2521" s="3"/>
    </row>
    <row r="2522" spans="1:1" x14ac:dyDescent="0.25">
      <c r="A2522" s="3"/>
    </row>
    <row r="2523" spans="1:1" x14ac:dyDescent="0.25">
      <c r="A2523" s="3"/>
    </row>
    <row r="2524" spans="1:1" x14ac:dyDescent="0.25">
      <c r="A2524" s="3"/>
    </row>
    <row r="2525" spans="1:1" x14ac:dyDescent="0.25">
      <c r="A2525" s="3"/>
    </row>
    <row r="2526" spans="1:1" x14ac:dyDescent="0.25">
      <c r="A2526" s="3"/>
    </row>
    <row r="2527" spans="1:1" x14ac:dyDescent="0.25">
      <c r="A2527" s="3"/>
    </row>
    <row r="2528" spans="1:1" x14ac:dyDescent="0.25">
      <c r="A2528" s="3"/>
    </row>
    <row r="2529" spans="1:1" x14ac:dyDescent="0.25">
      <c r="A2529" s="3"/>
    </row>
    <row r="2530" spans="1:1" x14ac:dyDescent="0.25">
      <c r="A2530" s="3"/>
    </row>
    <row r="2531" spans="1:1" x14ac:dyDescent="0.25">
      <c r="A2531" s="3"/>
    </row>
    <row r="2532" spans="1:1" x14ac:dyDescent="0.25">
      <c r="A2532" s="3"/>
    </row>
    <row r="2533" spans="1:1" x14ac:dyDescent="0.25">
      <c r="A2533" s="3"/>
    </row>
    <row r="2534" spans="1:1" x14ac:dyDescent="0.25">
      <c r="A2534" s="3"/>
    </row>
    <row r="2535" spans="1:1" x14ac:dyDescent="0.25">
      <c r="A2535" s="3"/>
    </row>
    <row r="2536" spans="1:1" x14ac:dyDescent="0.25">
      <c r="A2536" s="3"/>
    </row>
    <row r="2537" spans="1:1" x14ac:dyDescent="0.25">
      <c r="A2537" s="3"/>
    </row>
    <row r="2538" spans="1:1" x14ac:dyDescent="0.25">
      <c r="A2538" s="3"/>
    </row>
    <row r="2539" spans="1:1" x14ac:dyDescent="0.25">
      <c r="A2539" s="3"/>
    </row>
    <row r="2540" spans="1:1" x14ac:dyDescent="0.25">
      <c r="A2540" s="3"/>
    </row>
    <row r="2541" spans="1:1" x14ac:dyDescent="0.25">
      <c r="A2541" s="3"/>
    </row>
    <row r="2542" spans="1:1" x14ac:dyDescent="0.25">
      <c r="A2542" s="3"/>
    </row>
    <row r="2543" spans="1:1" x14ac:dyDescent="0.25">
      <c r="A2543" s="3"/>
    </row>
    <row r="2544" spans="1:1" x14ac:dyDescent="0.25">
      <c r="A2544" s="3"/>
    </row>
    <row r="2545" spans="1:1" x14ac:dyDescent="0.25">
      <c r="A2545" s="3"/>
    </row>
    <row r="2546" spans="1:1" x14ac:dyDescent="0.25">
      <c r="A2546" s="3"/>
    </row>
    <row r="2547" spans="1:1" x14ac:dyDescent="0.25">
      <c r="A2547" s="3"/>
    </row>
    <row r="2548" spans="1:1" x14ac:dyDescent="0.25">
      <c r="A2548" s="3"/>
    </row>
    <row r="2549" spans="1:1" x14ac:dyDescent="0.25">
      <c r="A2549" s="3"/>
    </row>
    <row r="2550" spans="1:1" x14ac:dyDescent="0.25">
      <c r="A2550" s="3"/>
    </row>
    <row r="2551" spans="1:1" x14ac:dyDescent="0.25">
      <c r="A2551" s="3"/>
    </row>
    <row r="2552" spans="1:1" x14ac:dyDescent="0.25">
      <c r="A2552" s="3"/>
    </row>
    <row r="2553" spans="1:1" x14ac:dyDescent="0.25">
      <c r="A2553" s="3"/>
    </row>
    <row r="2554" spans="1:1" x14ac:dyDescent="0.25">
      <c r="A2554" s="3"/>
    </row>
    <row r="2555" spans="1:1" x14ac:dyDescent="0.25">
      <c r="A2555" s="3"/>
    </row>
    <row r="2556" spans="1:1" x14ac:dyDescent="0.25">
      <c r="A2556" s="3"/>
    </row>
    <row r="2557" spans="1:1" x14ac:dyDescent="0.25">
      <c r="A2557" s="3"/>
    </row>
    <row r="2558" spans="1:1" x14ac:dyDescent="0.25">
      <c r="A2558" s="3"/>
    </row>
    <row r="2559" spans="1:1" x14ac:dyDescent="0.25">
      <c r="A2559" s="3"/>
    </row>
    <row r="2560" spans="1:1" x14ac:dyDescent="0.25">
      <c r="A2560" s="3"/>
    </row>
    <row r="2561" spans="1:1" x14ac:dyDescent="0.25">
      <c r="A2561" s="3"/>
    </row>
    <row r="2562" spans="1:1" x14ac:dyDescent="0.25">
      <c r="A2562" s="3"/>
    </row>
    <row r="2563" spans="1:1" x14ac:dyDescent="0.25">
      <c r="A2563" s="3"/>
    </row>
    <row r="2564" spans="1:1" x14ac:dyDescent="0.25">
      <c r="A2564" s="3"/>
    </row>
    <row r="2565" spans="1:1" x14ac:dyDescent="0.25">
      <c r="A2565" s="3"/>
    </row>
    <row r="2566" spans="1:1" x14ac:dyDescent="0.25">
      <c r="A2566" s="3"/>
    </row>
    <row r="2567" spans="1:1" x14ac:dyDescent="0.25">
      <c r="A2567" s="3"/>
    </row>
    <row r="2568" spans="1:1" x14ac:dyDescent="0.25">
      <c r="A2568" s="3"/>
    </row>
    <row r="2569" spans="1:1" x14ac:dyDescent="0.25">
      <c r="A2569" s="3"/>
    </row>
    <row r="2570" spans="1:1" x14ac:dyDescent="0.25">
      <c r="A2570" s="3"/>
    </row>
    <row r="2571" spans="1:1" x14ac:dyDescent="0.25">
      <c r="A2571" s="3"/>
    </row>
    <row r="2572" spans="1:1" x14ac:dyDescent="0.25">
      <c r="A2572" s="3"/>
    </row>
    <row r="2573" spans="1:1" x14ac:dyDescent="0.25">
      <c r="A2573" s="3"/>
    </row>
    <row r="2574" spans="1:1" x14ac:dyDescent="0.25">
      <c r="A2574" s="3"/>
    </row>
    <row r="2575" spans="1:1" x14ac:dyDescent="0.25">
      <c r="A2575" s="3"/>
    </row>
    <row r="2576" spans="1:1" x14ac:dyDescent="0.25">
      <c r="A2576" s="3"/>
    </row>
    <row r="2577" spans="1:1" x14ac:dyDescent="0.25">
      <c r="A2577" s="3"/>
    </row>
    <row r="2578" spans="1:1" x14ac:dyDescent="0.25">
      <c r="A2578" s="3"/>
    </row>
    <row r="2579" spans="1:1" x14ac:dyDescent="0.25">
      <c r="A2579" s="3"/>
    </row>
    <row r="2580" spans="1:1" x14ac:dyDescent="0.25">
      <c r="A2580" s="3"/>
    </row>
    <row r="2581" spans="1:1" x14ac:dyDescent="0.25">
      <c r="A2581" s="3"/>
    </row>
    <row r="2582" spans="1:1" x14ac:dyDescent="0.25">
      <c r="A2582" s="3"/>
    </row>
    <row r="2583" spans="1:1" x14ac:dyDescent="0.25">
      <c r="A2583" s="3"/>
    </row>
    <row r="2584" spans="1:1" x14ac:dyDescent="0.25">
      <c r="A2584" s="3"/>
    </row>
    <row r="2585" spans="1:1" x14ac:dyDescent="0.25">
      <c r="A2585" s="3"/>
    </row>
    <row r="2586" spans="1:1" x14ac:dyDescent="0.25">
      <c r="A2586" s="3"/>
    </row>
    <row r="2587" spans="1:1" x14ac:dyDescent="0.25">
      <c r="A2587" s="3"/>
    </row>
    <row r="2588" spans="1:1" x14ac:dyDescent="0.25">
      <c r="A2588" s="3"/>
    </row>
    <row r="2589" spans="1:1" x14ac:dyDescent="0.25">
      <c r="A2589" s="3"/>
    </row>
    <row r="2590" spans="1:1" x14ac:dyDescent="0.25">
      <c r="A2590" s="3"/>
    </row>
    <row r="2591" spans="1:1" x14ac:dyDescent="0.25">
      <c r="A2591" s="3"/>
    </row>
    <row r="2592" spans="1:1" x14ac:dyDescent="0.25">
      <c r="A2592" s="3"/>
    </row>
    <row r="2593" spans="1:1" x14ac:dyDescent="0.25">
      <c r="A2593" s="3"/>
    </row>
    <row r="2594" spans="1:1" x14ac:dyDescent="0.25">
      <c r="A2594" s="3"/>
    </row>
    <row r="2595" spans="1:1" x14ac:dyDescent="0.25">
      <c r="A2595" s="3"/>
    </row>
    <row r="2596" spans="1:1" x14ac:dyDescent="0.25">
      <c r="A2596" s="3"/>
    </row>
    <row r="2597" spans="1:1" x14ac:dyDescent="0.25">
      <c r="A2597" s="3"/>
    </row>
    <row r="2598" spans="1:1" x14ac:dyDescent="0.25">
      <c r="A2598" s="3"/>
    </row>
    <row r="2599" spans="1:1" x14ac:dyDescent="0.25">
      <c r="A2599" s="3"/>
    </row>
    <row r="2600" spans="1:1" x14ac:dyDescent="0.25">
      <c r="A2600" s="3"/>
    </row>
    <row r="2601" spans="1:1" x14ac:dyDescent="0.25">
      <c r="A2601" s="3"/>
    </row>
    <row r="2602" spans="1:1" x14ac:dyDescent="0.25">
      <c r="A2602" s="3"/>
    </row>
    <row r="2603" spans="1:1" x14ac:dyDescent="0.25">
      <c r="A2603" s="3"/>
    </row>
    <row r="2604" spans="1:1" x14ac:dyDescent="0.25">
      <c r="A2604" s="3"/>
    </row>
    <row r="2605" spans="1:1" x14ac:dyDescent="0.25">
      <c r="A2605" s="3"/>
    </row>
    <row r="2606" spans="1:1" x14ac:dyDescent="0.25">
      <c r="A2606" s="3"/>
    </row>
    <row r="2607" spans="1:1" x14ac:dyDescent="0.25">
      <c r="A2607" s="3"/>
    </row>
    <row r="2608" spans="1:1" x14ac:dyDescent="0.25">
      <c r="A2608" s="3"/>
    </row>
    <row r="2609" spans="1:1" x14ac:dyDescent="0.25">
      <c r="A2609" s="3"/>
    </row>
    <row r="2610" spans="1:1" x14ac:dyDescent="0.25">
      <c r="A2610" s="3"/>
    </row>
    <row r="2611" spans="1:1" x14ac:dyDescent="0.25">
      <c r="A2611" s="3"/>
    </row>
    <row r="2612" spans="1:1" x14ac:dyDescent="0.25">
      <c r="A2612" s="3"/>
    </row>
    <row r="2613" spans="1:1" x14ac:dyDescent="0.25">
      <c r="A2613" s="3"/>
    </row>
    <row r="2614" spans="1:1" x14ac:dyDescent="0.25">
      <c r="A2614" s="3"/>
    </row>
    <row r="2615" spans="1:1" x14ac:dyDescent="0.25">
      <c r="A2615" s="3"/>
    </row>
    <row r="2616" spans="1:1" x14ac:dyDescent="0.25">
      <c r="A2616" s="3"/>
    </row>
    <row r="2617" spans="1:1" x14ac:dyDescent="0.25">
      <c r="A2617" s="3"/>
    </row>
    <row r="2618" spans="1:1" x14ac:dyDescent="0.25">
      <c r="A2618" s="3"/>
    </row>
    <row r="2619" spans="1:1" x14ac:dyDescent="0.25">
      <c r="A2619" s="3"/>
    </row>
    <row r="2620" spans="1:1" x14ac:dyDescent="0.25">
      <c r="A2620" s="3"/>
    </row>
    <row r="2621" spans="1:1" x14ac:dyDescent="0.25">
      <c r="A2621" s="3"/>
    </row>
    <row r="2622" spans="1:1" x14ac:dyDescent="0.25">
      <c r="A2622" s="3"/>
    </row>
    <row r="2623" spans="1:1" x14ac:dyDescent="0.25">
      <c r="A2623" s="3"/>
    </row>
    <row r="2624" spans="1:1" x14ac:dyDescent="0.25">
      <c r="A2624" s="3"/>
    </row>
    <row r="2625" spans="1:1" x14ac:dyDescent="0.25">
      <c r="A2625" s="3"/>
    </row>
    <row r="2626" spans="1:1" x14ac:dyDescent="0.25">
      <c r="A2626" s="3"/>
    </row>
    <row r="2627" spans="1:1" x14ac:dyDescent="0.25">
      <c r="A2627" s="3"/>
    </row>
    <row r="2628" spans="1:1" x14ac:dyDescent="0.25">
      <c r="A2628" s="3"/>
    </row>
    <row r="2629" spans="1:1" x14ac:dyDescent="0.25">
      <c r="A2629" s="3"/>
    </row>
    <row r="2630" spans="1:1" x14ac:dyDescent="0.25">
      <c r="A2630" s="3"/>
    </row>
    <row r="2631" spans="1:1" x14ac:dyDescent="0.25">
      <c r="A2631" s="3"/>
    </row>
    <row r="2632" spans="1:1" x14ac:dyDescent="0.25">
      <c r="A2632" s="3"/>
    </row>
    <row r="2633" spans="1:1" x14ac:dyDescent="0.25">
      <c r="A2633" s="3"/>
    </row>
    <row r="2634" spans="1:1" x14ac:dyDescent="0.25">
      <c r="A2634" s="3"/>
    </row>
    <row r="2635" spans="1:1" x14ac:dyDescent="0.25">
      <c r="A2635" s="3"/>
    </row>
    <row r="2636" spans="1:1" x14ac:dyDescent="0.25">
      <c r="A2636" s="3"/>
    </row>
    <row r="2637" spans="1:1" x14ac:dyDescent="0.25">
      <c r="A2637" s="3"/>
    </row>
    <row r="2638" spans="1:1" x14ac:dyDescent="0.25">
      <c r="A2638" s="3"/>
    </row>
    <row r="2639" spans="1:1" x14ac:dyDescent="0.25">
      <c r="A2639" s="3"/>
    </row>
    <row r="2640" spans="1:1" x14ac:dyDescent="0.25">
      <c r="A2640" s="3"/>
    </row>
    <row r="2641" spans="1:1" x14ac:dyDescent="0.25">
      <c r="A2641" s="3"/>
    </row>
    <row r="2642" spans="1:1" x14ac:dyDescent="0.25">
      <c r="A2642" s="3"/>
    </row>
    <row r="2643" spans="1:1" x14ac:dyDescent="0.25">
      <c r="A2643" s="3"/>
    </row>
    <row r="2644" spans="1:1" x14ac:dyDescent="0.25">
      <c r="A2644" s="3"/>
    </row>
    <row r="2645" spans="1:1" x14ac:dyDescent="0.25">
      <c r="A2645" s="3"/>
    </row>
    <row r="2646" spans="1:1" x14ac:dyDescent="0.25">
      <c r="A2646" s="3"/>
    </row>
    <row r="2647" spans="1:1" x14ac:dyDescent="0.25">
      <c r="A2647" s="3"/>
    </row>
    <row r="2648" spans="1:1" x14ac:dyDescent="0.25">
      <c r="A2648" s="3"/>
    </row>
    <row r="2649" spans="1:1" x14ac:dyDescent="0.25">
      <c r="A2649" s="3"/>
    </row>
    <row r="2650" spans="1:1" x14ac:dyDescent="0.25">
      <c r="A2650" s="3"/>
    </row>
    <row r="2651" spans="1:1" x14ac:dyDescent="0.25">
      <c r="A2651" s="3"/>
    </row>
    <row r="2652" spans="1:1" x14ac:dyDescent="0.25">
      <c r="A2652" s="3"/>
    </row>
    <row r="2653" spans="1:1" x14ac:dyDescent="0.25">
      <c r="A2653" s="3"/>
    </row>
    <row r="2654" spans="1:1" x14ac:dyDescent="0.25">
      <c r="A2654" s="3"/>
    </row>
    <row r="2655" spans="1:1" x14ac:dyDescent="0.25">
      <c r="A2655" s="3"/>
    </row>
    <row r="2656" spans="1:1" x14ac:dyDescent="0.25">
      <c r="A2656" s="3"/>
    </row>
    <row r="2657" spans="1:1" x14ac:dyDescent="0.25">
      <c r="A2657" s="3"/>
    </row>
    <row r="2658" spans="1:1" x14ac:dyDescent="0.25">
      <c r="A2658" s="3"/>
    </row>
    <row r="2659" spans="1:1" x14ac:dyDescent="0.25">
      <c r="A2659" s="3"/>
    </row>
    <row r="2660" spans="1:1" x14ac:dyDescent="0.25">
      <c r="A2660" s="3"/>
    </row>
    <row r="2661" spans="1:1" x14ac:dyDescent="0.25">
      <c r="A2661" s="3"/>
    </row>
    <row r="2662" spans="1:1" x14ac:dyDescent="0.25">
      <c r="A2662" s="3"/>
    </row>
    <row r="2663" spans="1:1" x14ac:dyDescent="0.25">
      <c r="A2663" s="3"/>
    </row>
    <row r="2664" spans="1:1" x14ac:dyDescent="0.25">
      <c r="A2664" s="3"/>
    </row>
    <row r="2665" spans="1:1" x14ac:dyDescent="0.25">
      <c r="A2665" s="3"/>
    </row>
    <row r="2666" spans="1:1" x14ac:dyDescent="0.25">
      <c r="A2666" s="3"/>
    </row>
    <row r="2667" spans="1:1" x14ac:dyDescent="0.25">
      <c r="A2667" s="3"/>
    </row>
    <row r="2668" spans="1:1" x14ac:dyDescent="0.25">
      <c r="A2668" s="3"/>
    </row>
    <row r="2669" spans="1:1" x14ac:dyDescent="0.25">
      <c r="A2669" s="3"/>
    </row>
    <row r="2670" spans="1:1" x14ac:dyDescent="0.25">
      <c r="A2670" s="3"/>
    </row>
    <row r="2671" spans="1:1" x14ac:dyDescent="0.25">
      <c r="A2671" s="3"/>
    </row>
    <row r="2672" spans="1:1" x14ac:dyDescent="0.25">
      <c r="A2672" s="3"/>
    </row>
    <row r="2673" spans="1:1" x14ac:dyDescent="0.25">
      <c r="A2673" s="3"/>
    </row>
    <row r="2674" spans="1:1" x14ac:dyDescent="0.25">
      <c r="A2674" s="3"/>
    </row>
    <row r="2675" spans="1:1" x14ac:dyDescent="0.25">
      <c r="A2675" s="3"/>
    </row>
    <row r="2676" spans="1:1" x14ac:dyDescent="0.25">
      <c r="A2676" s="3"/>
    </row>
    <row r="2677" spans="1:1" x14ac:dyDescent="0.25">
      <c r="A2677" s="3"/>
    </row>
    <row r="2678" spans="1:1" x14ac:dyDescent="0.25">
      <c r="A2678" s="3"/>
    </row>
    <row r="2679" spans="1:1" x14ac:dyDescent="0.25">
      <c r="A2679" s="3"/>
    </row>
    <row r="2680" spans="1:1" x14ac:dyDescent="0.25">
      <c r="A2680" s="3"/>
    </row>
    <row r="2681" spans="1:1" x14ac:dyDescent="0.25">
      <c r="A2681" s="3"/>
    </row>
    <row r="2682" spans="1:1" x14ac:dyDescent="0.25">
      <c r="A2682" s="3"/>
    </row>
    <row r="2683" spans="1:1" x14ac:dyDescent="0.25">
      <c r="A2683" s="3"/>
    </row>
    <row r="2684" spans="1:1" x14ac:dyDescent="0.25">
      <c r="A2684" s="3"/>
    </row>
    <row r="2685" spans="1:1" x14ac:dyDescent="0.25">
      <c r="A2685" s="3"/>
    </row>
    <row r="2686" spans="1:1" x14ac:dyDescent="0.25">
      <c r="A2686" s="3"/>
    </row>
    <row r="2687" spans="1:1" x14ac:dyDescent="0.25">
      <c r="A2687" s="3"/>
    </row>
    <row r="2688" spans="1:1" x14ac:dyDescent="0.25">
      <c r="A2688" s="3"/>
    </row>
    <row r="2689" spans="1:1" x14ac:dyDescent="0.25">
      <c r="A2689" s="3"/>
    </row>
    <row r="2690" spans="1:1" x14ac:dyDescent="0.25">
      <c r="A2690" s="3"/>
    </row>
    <row r="2691" spans="1:1" x14ac:dyDescent="0.25">
      <c r="A2691" s="3"/>
    </row>
    <row r="2692" spans="1:1" x14ac:dyDescent="0.25">
      <c r="A2692" s="3"/>
    </row>
    <row r="2693" spans="1:1" x14ac:dyDescent="0.25">
      <c r="A2693" s="3"/>
    </row>
    <row r="2694" spans="1:1" x14ac:dyDescent="0.25">
      <c r="A2694" s="3"/>
    </row>
    <row r="2695" spans="1:1" x14ac:dyDescent="0.25">
      <c r="A2695" s="3"/>
    </row>
    <row r="2696" spans="1:1" x14ac:dyDescent="0.25">
      <c r="A2696" s="3"/>
    </row>
    <row r="2697" spans="1:1" x14ac:dyDescent="0.25">
      <c r="A2697" s="3"/>
    </row>
    <row r="2698" spans="1:1" x14ac:dyDescent="0.25">
      <c r="A2698" s="3"/>
    </row>
    <row r="2699" spans="1:1" x14ac:dyDescent="0.25">
      <c r="A2699" s="3"/>
    </row>
    <row r="2700" spans="1:1" x14ac:dyDescent="0.25">
      <c r="A2700" s="3"/>
    </row>
    <row r="2701" spans="1:1" x14ac:dyDescent="0.25">
      <c r="A2701" s="3"/>
    </row>
    <row r="2702" spans="1:1" x14ac:dyDescent="0.25">
      <c r="A2702" s="3"/>
    </row>
    <row r="2703" spans="1:1" x14ac:dyDescent="0.25">
      <c r="A2703" s="3"/>
    </row>
    <row r="2704" spans="1:1" x14ac:dyDescent="0.25">
      <c r="A2704" s="3"/>
    </row>
    <row r="2705" spans="1:1" x14ac:dyDescent="0.25">
      <c r="A2705" s="3"/>
    </row>
    <row r="2706" spans="1:1" x14ac:dyDescent="0.25">
      <c r="A2706" s="3"/>
    </row>
    <row r="2707" spans="1:1" x14ac:dyDescent="0.25">
      <c r="A2707" s="3"/>
    </row>
    <row r="2708" spans="1:1" x14ac:dyDescent="0.25">
      <c r="A2708" s="3"/>
    </row>
    <row r="2709" spans="1:1" x14ac:dyDescent="0.25">
      <c r="A2709" s="3"/>
    </row>
    <row r="2710" spans="1:1" x14ac:dyDescent="0.25">
      <c r="A2710" s="3"/>
    </row>
    <row r="2711" spans="1:1" x14ac:dyDescent="0.25">
      <c r="A2711" s="3"/>
    </row>
    <row r="2712" spans="1:1" x14ac:dyDescent="0.25">
      <c r="A2712" s="3"/>
    </row>
    <row r="2713" spans="1:1" x14ac:dyDescent="0.25">
      <c r="A2713" s="3"/>
    </row>
    <row r="2714" spans="1:1" x14ac:dyDescent="0.25">
      <c r="A2714" s="3"/>
    </row>
    <row r="2715" spans="1:1" x14ac:dyDescent="0.25">
      <c r="A2715" s="3"/>
    </row>
    <row r="2716" spans="1:1" x14ac:dyDescent="0.25">
      <c r="A2716" s="3"/>
    </row>
    <row r="2717" spans="1:1" x14ac:dyDescent="0.25">
      <c r="A2717" s="3"/>
    </row>
    <row r="2718" spans="1:1" x14ac:dyDescent="0.25">
      <c r="A2718" s="3"/>
    </row>
    <row r="2719" spans="1:1" x14ac:dyDescent="0.25">
      <c r="A2719" s="3"/>
    </row>
    <row r="2720" spans="1:1" x14ac:dyDescent="0.25">
      <c r="A2720" s="3"/>
    </row>
    <row r="2721" spans="1:1" x14ac:dyDescent="0.25">
      <c r="A2721" s="3"/>
    </row>
    <row r="2722" spans="1:1" x14ac:dyDescent="0.25">
      <c r="A2722" s="3"/>
    </row>
    <row r="2723" spans="1:1" x14ac:dyDescent="0.25">
      <c r="A2723" s="3"/>
    </row>
    <row r="2724" spans="1:1" x14ac:dyDescent="0.25">
      <c r="A2724" s="3"/>
    </row>
    <row r="2725" spans="1:1" x14ac:dyDescent="0.25">
      <c r="A2725" s="3"/>
    </row>
    <row r="2726" spans="1:1" x14ac:dyDescent="0.25">
      <c r="A2726" s="3"/>
    </row>
    <row r="2727" spans="1:1" x14ac:dyDescent="0.25">
      <c r="A2727" s="3"/>
    </row>
    <row r="2728" spans="1:1" x14ac:dyDescent="0.25">
      <c r="A2728" s="3"/>
    </row>
    <row r="2729" spans="1:1" x14ac:dyDescent="0.25">
      <c r="A2729" s="3"/>
    </row>
    <row r="2730" spans="1:1" x14ac:dyDescent="0.25">
      <c r="A2730" s="3"/>
    </row>
    <row r="2731" spans="1:1" x14ac:dyDescent="0.25">
      <c r="A2731" s="3"/>
    </row>
    <row r="2732" spans="1:1" x14ac:dyDescent="0.25">
      <c r="A2732" s="3"/>
    </row>
    <row r="2733" spans="1:1" x14ac:dyDescent="0.25">
      <c r="A2733" s="3"/>
    </row>
    <row r="2734" spans="1:1" x14ac:dyDescent="0.25">
      <c r="A2734" s="3"/>
    </row>
    <row r="2735" spans="1:1" x14ac:dyDescent="0.25">
      <c r="A2735" s="3"/>
    </row>
    <row r="2736" spans="1:1" x14ac:dyDescent="0.25">
      <c r="A2736" s="3"/>
    </row>
    <row r="2737" spans="1:1" x14ac:dyDescent="0.25">
      <c r="A2737" s="3"/>
    </row>
    <row r="2738" spans="1:1" x14ac:dyDescent="0.25">
      <c r="A2738" s="3"/>
    </row>
    <row r="2739" spans="1:1" x14ac:dyDescent="0.25">
      <c r="A2739" s="3"/>
    </row>
    <row r="2740" spans="1:1" x14ac:dyDescent="0.25">
      <c r="A2740" s="3"/>
    </row>
    <row r="2741" spans="1:1" x14ac:dyDescent="0.25">
      <c r="A2741" s="3"/>
    </row>
    <row r="2742" spans="1:1" x14ac:dyDescent="0.25">
      <c r="A2742" s="3"/>
    </row>
    <row r="2743" spans="1:1" x14ac:dyDescent="0.25">
      <c r="A2743" s="3"/>
    </row>
    <row r="2744" spans="1:1" x14ac:dyDescent="0.25">
      <c r="A2744" s="3"/>
    </row>
    <row r="2745" spans="1:1" x14ac:dyDescent="0.25">
      <c r="A2745" s="3"/>
    </row>
    <row r="2746" spans="1:1" x14ac:dyDescent="0.25">
      <c r="A2746" s="3"/>
    </row>
    <row r="2747" spans="1:1" x14ac:dyDescent="0.25">
      <c r="A2747" s="3"/>
    </row>
    <row r="2748" spans="1:1" x14ac:dyDescent="0.25">
      <c r="A2748" s="3"/>
    </row>
    <row r="2749" spans="1:1" x14ac:dyDescent="0.25">
      <c r="A2749" s="3"/>
    </row>
    <row r="2750" spans="1:1" x14ac:dyDescent="0.25">
      <c r="A2750" s="3"/>
    </row>
    <row r="2751" spans="1:1" x14ac:dyDescent="0.25">
      <c r="A2751" s="3"/>
    </row>
    <row r="2752" spans="1:1" x14ac:dyDescent="0.25">
      <c r="A2752" s="3"/>
    </row>
    <row r="2753" spans="1:1" x14ac:dyDescent="0.25">
      <c r="A2753" s="3"/>
    </row>
    <row r="2754" spans="1:1" x14ac:dyDescent="0.25">
      <c r="A2754" s="3"/>
    </row>
    <row r="2755" spans="1:1" x14ac:dyDescent="0.25">
      <c r="A2755" s="3"/>
    </row>
    <row r="2756" spans="1:1" x14ac:dyDescent="0.25">
      <c r="A2756" s="3"/>
    </row>
    <row r="2757" spans="1:1" x14ac:dyDescent="0.25">
      <c r="A2757" s="3"/>
    </row>
    <row r="2758" spans="1:1" x14ac:dyDescent="0.25">
      <c r="A2758" s="3"/>
    </row>
    <row r="2759" spans="1:1" x14ac:dyDescent="0.25">
      <c r="A2759" s="3"/>
    </row>
    <row r="2760" spans="1:1" x14ac:dyDescent="0.25">
      <c r="A2760" s="3"/>
    </row>
    <row r="2761" spans="1:1" x14ac:dyDescent="0.25">
      <c r="A2761" s="3"/>
    </row>
    <row r="2762" spans="1:1" x14ac:dyDescent="0.25">
      <c r="A2762" s="3"/>
    </row>
    <row r="2763" spans="1:1" x14ac:dyDescent="0.25">
      <c r="A2763" s="3"/>
    </row>
    <row r="2764" spans="1:1" x14ac:dyDescent="0.25">
      <c r="A2764" s="3"/>
    </row>
    <row r="2765" spans="1:1" x14ac:dyDescent="0.25">
      <c r="A2765" s="3"/>
    </row>
    <row r="2766" spans="1:1" x14ac:dyDescent="0.25">
      <c r="A2766" s="3"/>
    </row>
    <row r="2767" spans="1:1" x14ac:dyDescent="0.25">
      <c r="A2767" s="3"/>
    </row>
    <row r="2768" spans="1:1" x14ac:dyDescent="0.25">
      <c r="A2768" s="3"/>
    </row>
    <row r="2769" spans="1:1" x14ac:dyDescent="0.25">
      <c r="A2769" s="3"/>
    </row>
    <row r="2770" spans="1:1" x14ac:dyDescent="0.25">
      <c r="A2770" s="3"/>
    </row>
    <row r="2771" spans="1:1" x14ac:dyDescent="0.25">
      <c r="A2771" s="3"/>
    </row>
    <row r="2772" spans="1:1" x14ac:dyDescent="0.25">
      <c r="A2772" s="3"/>
    </row>
    <row r="2773" spans="1:1" x14ac:dyDescent="0.25">
      <c r="A2773" s="3"/>
    </row>
    <row r="2774" spans="1:1" x14ac:dyDescent="0.25">
      <c r="A2774" s="3"/>
    </row>
    <row r="2775" spans="1:1" x14ac:dyDescent="0.25">
      <c r="A2775" s="3"/>
    </row>
    <row r="2776" spans="1:1" x14ac:dyDescent="0.25">
      <c r="A2776" s="3"/>
    </row>
    <row r="2777" spans="1:1" x14ac:dyDescent="0.25">
      <c r="A2777" s="3"/>
    </row>
    <row r="2778" spans="1:1" x14ac:dyDescent="0.25">
      <c r="A2778" s="3"/>
    </row>
    <row r="2779" spans="1:1" x14ac:dyDescent="0.25">
      <c r="A2779" s="3"/>
    </row>
    <row r="2780" spans="1:1" x14ac:dyDescent="0.25">
      <c r="A2780" s="3"/>
    </row>
    <row r="2781" spans="1:1" x14ac:dyDescent="0.25">
      <c r="A2781" s="3"/>
    </row>
    <row r="2782" spans="1:1" x14ac:dyDescent="0.25">
      <c r="A2782" s="3"/>
    </row>
    <row r="2783" spans="1:1" x14ac:dyDescent="0.25">
      <c r="A2783" s="3"/>
    </row>
    <row r="2784" spans="1:1" x14ac:dyDescent="0.25">
      <c r="A2784" s="3"/>
    </row>
    <row r="2785" spans="1:1" x14ac:dyDescent="0.25">
      <c r="A2785" s="3"/>
    </row>
    <row r="2786" spans="1:1" x14ac:dyDescent="0.25">
      <c r="A2786" s="3"/>
    </row>
    <row r="2787" spans="1:1" x14ac:dyDescent="0.25">
      <c r="A2787" s="3"/>
    </row>
    <row r="2788" spans="1:1" x14ac:dyDescent="0.25">
      <c r="A2788" s="3"/>
    </row>
    <row r="2789" spans="1:1" x14ac:dyDescent="0.25">
      <c r="A2789" s="3"/>
    </row>
    <row r="2790" spans="1:1" x14ac:dyDescent="0.25">
      <c r="A2790" s="3"/>
    </row>
    <row r="2791" spans="1:1" x14ac:dyDescent="0.25">
      <c r="A2791" s="3"/>
    </row>
    <row r="2792" spans="1:1" x14ac:dyDescent="0.25">
      <c r="A2792" s="3"/>
    </row>
    <row r="2793" spans="1:1" x14ac:dyDescent="0.25">
      <c r="A2793" s="3"/>
    </row>
    <row r="2794" spans="1:1" x14ac:dyDescent="0.25">
      <c r="A2794" s="3"/>
    </row>
    <row r="2795" spans="1:1" x14ac:dyDescent="0.25">
      <c r="A2795" s="3"/>
    </row>
    <row r="2796" spans="1:1" x14ac:dyDescent="0.25">
      <c r="A2796" s="3"/>
    </row>
    <row r="2797" spans="1:1" x14ac:dyDescent="0.25">
      <c r="A2797" s="3"/>
    </row>
    <row r="2798" spans="1:1" x14ac:dyDescent="0.25">
      <c r="A2798" s="3"/>
    </row>
    <row r="2799" spans="1:1" x14ac:dyDescent="0.25">
      <c r="A2799" s="3"/>
    </row>
    <row r="2800" spans="1:1" x14ac:dyDescent="0.25">
      <c r="A2800" s="3"/>
    </row>
    <row r="2801" spans="1:1" x14ac:dyDescent="0.25">
      <c r="A2801" s="3"/>
    </row>
    <row r="2802" spans="1:1" x14ac:dyDescent="0.25">
      <c r="A2802" s="3"/>
    </row>
    <row r="2803" spans="1:1" x14ac:dyDescent="0.25">
      <c r="A2803" s="3"/>
    </row>
    <row r="2804" spans="1:1" x14ac:dyDescent="0.25">
      <c r="A2804" s="3"/>
    </row>
    <row r="2805" spans="1:1" x14ac:dyDescent="0.25">
      <c r="A2805" s="3"/>
    </row>
    <row r="2806" spans="1:1" x14ac:dyDescent="0.25">
      <c r="A2806" s="3"/>
    </row>
    <row r="2807" spans="1:1" x14ac:dyDescent="0.25">
      <c r="A2807" s="3"/>
    </row>
    <row r="2808" spans="1:1" x14ac:dyDescent="0.25">
      <c r="A2808" s="3"/>
    </row>
    <row r="2809" spans="1:1" x14ac:dyDescent="0.25">
      <c r="A2809" s="3"/>
    </row>
    <row r="2810" spans="1:1" x14ac:dyDescent="0.25">
      <c r="A2810" s="3"/>
    </row>
    <row r="2811" spans="1:1" x14ac:dyDescent="0.25">
      <c r="A2811" s="3"/>
    </row>
    <row r="2812" spans="1:1" x14ac:dyDescent="0.25">
      <c r="A2812" s="3"/>
    </row>
    <row r="2813" spans="1:1" x14ac:dyDescent="0.25">
      <c r="A2813" s="3"/>
    </row>
    <row r="2814" spans="1:1" x14ac:dyDescent="0.25">
      <c r="A2814" s="3"/>
    </row>
    <row r="2815" spans="1:1" x14ac:dyDescent="0.25">
      <c r="A2815" s="3"/>
    </row>
    <row r="2816" spans="1:1" x14ac:dyDescent="0.25">
      <c r="A2816" s="3"/>
    </row>
    <row r="2817" spans="1:1" x14ac:dyDescent="0.25">
      <c r="A2817" s="3"/>
    </row>
    <row r="2818" spans="1:1" x14ac:dyDescent="0.25">
      <c r="A2818" s="3"/>
    </row>
    <row r="2819" spans="1:1" x14ac:dyDescent="0.25">
      <c r="A2819" s="3"/>
    </row>
    <row r="2820" spans="1:1" x14ac:dyDescent="0.25">
      <c r="A2820" s="3"/>
    </row>
    <row r="2821" spans="1:1" x14ac:dyDescent="0.25">
      <c r="A2821" s="3"/>
    </row>
    <row r="2822" spans="1:1" x14ac:dyDescent="0.25">
      <c r="A2822" s="3"/>
    </row>
    <row r="2823" spans="1:1" x14ac:dyDescent="0.25">
      <c r="A2823" s="3"/>
    </row>
    <row r="2824" spans="1:1" x14ac:dyDescent="0.25">
      <c r="A2824" s="3"/>
    </row>
    <row r="2825" spans="1:1" x14ac:dyDescent="0.25">
      <c r="A2825" s="3"/>
    </row>
    <row r="2826" spans="1:1" x14ac:dyDescent="0.25">
      <c r="A2826" s="3"/>
    </row>
    <row r="2827" spans="1:1" x14ac:dyDescent="0.25">
      <c r="A2827" s="3"/>
    </row>
    <row r="2828" spans="1:1" x14ac:dyDescent="0.25">
      <c r="A2828" s="3"/>
    </row>
    <row r="2829" spans="1:1" x14ac:dyDescent="0.25">
      <c r="A2829" s="3"/>
    </row>
    <row r="2830" spans="1:1" x14ac:dyDescent="0.25">
      <c r="A2830" s="3"/>
    </row>
    <row r="2831" spans="1:1" x14ac:dyDescent="0.25">
      <c r="A2831" s="3"/>
    </row>
    <row r="2832" spans="1:1" x14ac:dyDescent="0.25">
      <c r="A2832" s="3"/>
    </row>
    <row r="2833" spans="1:1" x14ac:dyDescent="0.25">
      <c r="A2833" s="3"/>
    </row>
    <row r="2834" spans="1:1" x14ac:dyDescent="0.25">
      <c r="A2834" s="3"/>
    </row>
    <row r="2835" spans="1:1" x14ac:dyDescent="0.25">
      <c r="A2835" s="3"/>
    </row>
    <row r="2836" spans="1:1" x14ac:dyDescent="0.25">
      <c r="A2836" s="3"/>
    </row>
    <row r="2837" spans="1:1" x14ac:dyDescent="0.25">
      <c r="A2837" s="3"/>
    </row>
    <row r="2838" spans="1:1" x14ac:dyDescent="0.25">
      <c r="A2838" s="3"/>
    </row>
    <row r="2839" spans="1:1" x14ac:dyDescent="0.25">
      <c r="A2839" s="3"/>
    </row>
    <row r="2840" spans="1:1" x14ac:dyDescent="0.25">
      <c r="A2840" s="3"/>
    </row>
    <row r="2841" spans="1:1" x14ac:dyDescent="0.25">
      <c r="A2841" s="3"/>
    </row>
    <row r="2842" spans="1:1" x14ac:dyDescent="0.25">
      <c r="A2842" s="3"/>
    </row>
    <row r="2843" spans="1:1" x14ac:dyDescent="0.25">
      <c r="A2843" s="3"/>
    </row>
    <row r="2844" spans="1:1" x14ac:dyDescent="0.25">
      <c r="A2844" s="3"/>
    </row>
    <row r="2845" spans="1:1" x14ac:dyDescent="0.25">
      <c r="A2845" s="3"/>
    </row>
    <row r="2846" spans="1:1" x14ac:dyDescent="0.25">
      <c r="A2846" s="3"/>
    </row>
    <row r="2847" spans="1:1" x14ac:dyDescent="0.25">
      <c r="A2847" s="3"/>
    </row>
    <row r="2848" spans="1:1" x14ac:dyDescent="0.25">
      <c r="A2848" s="3"/>
    </row>
    <row r="2849" spans="1:1" x14ac:dyDescent="0.25">
      <c r="A2849" s="3"/>
    </row>
    <row r="2850" spans="1:1" x14ac:dyDescent="0.25">
      <c r="A2850" s="3"/>
    </row>
    <row r="2851" spans="1:1" x14ac:dyDescent="0.25">
      <c r="A2851" s="3"/>
    </row>
    <row r="2852" spans="1:1" x14ac:dyDescent="0.25">
      <c r="A2852" s="3"/>
    </row>
    <row r="2853" spans="1:1" x14ac:dyDescent="0.25">
      <c r="A2853" s="3"/>
    </row>
    <row r="2854" spans="1:1" x14ac:dyDescent="0.25">
      <c r="A2854" s="3"/>
    </row>
    <row r="2855" spans="1:1" x14ac:dyDescent="0.25">
      <c r="A2855" s="3"/>
    </row>
    <row r="2856" spans="1:1" x14ac:dyDescent="0.25">
      <c r="A2856" s="3"/>
    </row>
    <row r="2857" spans="1:1" x14ac:dyDescent="0.25">
      <c r="A2857" s="3"/>
    </row>
    <row r="2858" spans="1:1" x14ac:dyDescent="0.25">
      <c r="A2858" s="3"/>
    </row>
    <row r="2859" spans="1:1" x14ac:dyDescent="0.25">
      <c r="A2859" s="3"/>
    </row>
    <row r="2860" spans="1:1" x14ac:dyDescent="0.25">
      <c r="A2860" s="3"/>
    </row>
    <row r="2861" spans="1:1" x14ac:dyDescent="0.25">
      <c r="A2861" s="3"/>
    </row>
    <row r="2862" spans="1:1" x14ac:dyDescent="0.25">
      <c r="A2862" s="3"/>
    </row>
    <row r="2863" spans="1:1" x14ac:dyDescent="0.25">
      <c r="A2863" s="3"/>
    </row>
    <row r="2864" spans="1:1" x14ac:dyDescent="0.25">
      <c r="A2864" s="3"/>
    </row>
    <row r="2865" spans="1:1" x14ac:dyDescent="0.25">
      <c r="A2865" s="3"/>
    </row>
    <row r="2866" spans="1:1" x14ac:dyDescent="0.25">
      <c r="A2866" s="3"/>
    </row>
    <row r="2867" spans="1:1" x14ac:dyDescent="0.25">
      <c r="A2867" s="3"/>
    </row>
    <row r="2868" spans="1:1" x14ac:dyDescent="0.25">
      <c r="A2868" s="3"/>
    </row>
    <row r="2869" spans="1:1" x14ac:dyDescent="0.25">
      <c r="A2869" s="3"/>
    </row>
    <row r="2870" spans="1:1" x14ac:dyDescent="0.25">
      <c r="A2870" s="3"/>
    </row>
    <row r="2871" spans="1:1" x14ac:dyDescent="0.25">
      <c r="A2871" s="3"/>
    </row>
    <row r="2872" spans="1:1" x14ac:dyDescent="0.25">
      <c r="A2872" s="3"/>
    </row>
    <row r="2873" spans="1:1" x14ac:dyDescent="0.25">
      <c r="A2873" s="3"/>
    </row>
    <row r="2874" spans="1:1" x14ac:dyDescent="0.25">
      <c r="A2874" s="3"/>
    </row>
    <row r="2875" spans="1:1" x14ac:dyDescent="0.25">
      <c r="A2875" s="3"/>
    </row>
    <row r="2876" spans="1:1" x14ac:dyDescent="0.25">
      <c r="A2876" s="3"/>
    </row>
    <row r="2877" spans="1:1" x14ac:dyDescent="0.25">
      <c r="A2877" s="3"/>
    </row>
    <row r="2878" spans="1:1" x14ac:dyDescent="0.25">
      <c r="A2878" s="3"/>
    </row>
    <row r="2879" spans="1:1" x14ac:dyDescent="0.25">
      <c r="A2879" s="3"/>
    </row>
    <row r="2880" spans="1:1" x14ac:dyDescent="0.25">
      <c r="A2880" s="3"/>
    </row>
    <row r="2881" spans="1:1" x14ac:dyDescent="0.25">
      <c r="A2881" s="3"/>
    </row>
    <row r="2882" spans="1:1" x14ac:dyDescent="0.25">
      <c r="A2882" s="3"/>
    </row>
    <row r="2883" spans="1:1" x14ac:dyDescent="0.25">
      <c r="A2883" s="3"/>
    </row>
    <row r="2884" spans="1:1" x14ac:dyDescent="0.25">
      <c r="A2884" s="3"/>
    </row>
    <row r="2885" spans="1:1" x14ac:dyDescent="0.25">
      <c r="A2885" s="3"/>
    </row>
    <row r="2886" spans="1:1" x14ac:dyDescent="0.25">
      <c r="A2886" s="3"/>
    </row>
    <row r="2887" spans="1:1" x14ac:dyDescent="0.25">
      <c r="A2887" s="3"/>
    </row>
    <row r="2888" spans="1:1" x14ac:dyDescent="0.25">
      <c r="A2888" s="3"/>
    </row>
    <row r="2889" spans="1:1" x14ac:dyDescent="0.25">
      <c r="A2889" s="3"/>
    </row>
    <row r="2890" spans="1:1" x14ac:dyDescent="0.25">
      <c r="A2890" s="3"/>
    </row>
    <row r="2891" spans="1:1" x14ac:dyDescent="0.25">
      <c r="A2891" s="3"/>
    </row>
    <row r="2892" spans="1:1" x14ac:dyDescent="0.25">
      <c r="A2892" s="3"/>
    </row>
    <row r="2893" spans="1:1" x14ac:dyDescent="0.25">
      <c r="A2893" s="3"/>
    </row>
    <row r="2894" spans="1:1" x14ac:dyDescent="0.25">
      <c r="A2894" s="3"/>
    </row>
    <row r="2895" spans="1:1" x14ac:dyDescent="0.25">
      <c r="A2895" s="3"/>
    </row>
    <row r="2896" spans="1:1" x14ac:dyDescent="0.25">
      <c r="A2896" s="3"/>
    </row>
    <row r="2897" spans="1:1" x14ac:dyDescent="0.25">
      <c r="A2897" s="3"/>
    </row>
    <row r="2898" spans="1:1" x14ac:dyDescent="0.25">
      <c r="A2898" s="3"/>
    </row>
    <row r="2899" spans="1:1" x14ac:dyDescent="0.25">
      <c r="A2899" s="3"/>
    </row>
    <row r="2900" spans="1:1" x14ac:dyDescent="0.25">
      <c r="A2900" s="3"/>
    </row>
    <row r="2901" spans="1:1" x14ac:dyDescent="0.25">
      <c r="A2901" s="3"/>
    </row>
    <row r="2902" spans="1:1" x14ac:dyDescent="0.25">
      <c r="A2902" s="3"/>
    </row>
    <row r="2903" spans="1:1" x14ac:dyDescent="0.25">
      <c r="A2903" s="3"/>
    </row>
    <row r="2904" spans="1:1" x14ac:dyDescent="0.25">
      <c r="A2904" s="3"/>
    </row>
    <row r="2905" spans="1:1" x14ac:dyDescent="0.25">
      <c r="A2905" s="3"/>
    </row>
    <row r="2906" spans="1:1" x14ac:dyDescent="0.25">
      <c r="A2906" s="3"/>
    </row>
    <row r="2907" spans="1:1" x14ac:dyDescent="0.25">
      <c r="A2907" s="3"/>
    </row>
    <row r="2908" spans="1:1" x14ac:dyDescent="0.25">
      <c r="A2908" s="3"/>
    </row>
    <row r="2909" spans="1:1" x14ac:dyDescent="0.25">
      <c r="A2909" s="3"/>
    </row>
    <row r="2910" spans="1:1" x14ac:dyDescent="0.25">
      <c r="A2910" s="3"/>
    </row>
    <row r="2911" spans="1:1" x14ac:dyDescent="0.25">
      <c r="A2911" s="3"/>
    </row>
    <row r="2912" spans="1:1" x14ac:dyDescent="0.25">
      <c r="A2912" s="3"/>
    </row>
    <row r="2913" spans="1:1" x14ac:dyDescent="0.25">
      <c r="A2913" s="3"/>
    </row>
    <row r="2914" spans="1:1" x14ac:dyDescent="0.25">
      <c r="A2914" s="3"/>
    </row>
    <row r="2915" spans="1:1" x14ac:dyDescent="0.25">
      <c r="A2915" s="3"/>
    </row>
    <row r="2916" spans="1:1" x14ac:dyDescent="0.25">
      <c r="A2916" s="3"/>
    </row>
    <row r="2917" spans="1:1" x14ac:dyDescent="0.25">
      <c r="A2917" s="3"/>
    </row>
    <row r="2918" spans="1:1" x14ac:dyDescent="0.25">
      <c r="A2918" s="3"/>
    </row>
    <row r="2919" spans="1:1" x14ac:dyDescent="0.25">
      <c r="A2919" s="3"/>
    </row>
    <row r="2920" spans="1:1" x14ac:dyDescent="0.25">
      <c r="A2920" s="3"/>
    </row>
    <row r="2921" spans="1:1" x14ac:dyDescent="0.25">
      <c r="A2921" s="3"/>
    </row>
    <row r="2922" spans="1:1" x14ac:dyDescent="0.25">
      <c r="A2922" s="3"/>
    </row>
    <row r="2923" spans="1:1" x14ac:dyDescent="0.25">
      <c r="A2923" s="3"/>
    </row>
    <row r="2924" spans="1:1" x14ac:dyDescent="0.25">
      <c r="A2924" s="3"/>
    </row>
    <row r="2925" spans="1:1" x14ac:dyDescent="0.25">
      <c r="A2925" s="3"/>
    </row>
    <row r="2926" spans="1:1" x14ac:dyDescent="0.25">
      <c r="A2926" s="3"/>
    </row>
    <row r="2927" spans="1:1" x14ac:dyDescent="0.25">
      <c r="A2927" s="3"/>
    </row>
    <row r="2928" spans="1:1" x14ac:dyDescent="0.25">
      <c r="A2928" s="3"/>
    </row>
    <row r="2929" spans="1:1" x14ac:dyDescent="0.25">
      <c r="A2929" s="3"/>
    </row>
    <row r="2930" spans="1:1" x14ac:dyDescent="0.25">
      <c r="A2930" s="3"/>
    </row>
    <row r="2931" spans="1:1" x14ac:dyDescent="0.25">
      <c r="A2931" s="3"/>
    </row>
    <row r="2932" spans="1:1" x14ac:dyDescent="0.25">
      <c r="A2932" s="3"/>
    </row>
    <row r="2933" spans="1:1" x14ac:dyDescent="0.25">
      <c r="A2933" s="3"/>
    </row>
    <row r="2934" spans="1:1" x14ac:dyDescent="0.25">
      <c r="A2934" s="3"/>
    </row>
    <row r="2935" spans="1:1" x14ac:dyDescent="0.25">
      <c r="A2935" s="3"/>
    </row>
    <row r="2936" spans="1:1" x14ac:dyDescent="0.25">
      <c r="A2936" s="3"/>
    </row>
    <row r="2937" spans="1:1" x14ac:dyDescent="0.25">
      <c r="A2937" s="3"/>
    </row>
    <row r="2938" spans="1:1" x14ac:dyDescent="0.25">
      <c r="A2938" s="3"/>
    </row>
    <row r="2939" spans="1:1" x14ac:dyDescent="0.25">
      <c r="A2939" s="3"/>
    </row>
    <row r="2940" spans="1:1" x14ac:dyDescent="0.25">
      <c r="A2940" s="3"/>
    </row>
    <row r="2941" spans="1:1" x14ac:dyDescent="0.25">
      <c r="A2941" s="3"/>
    </row>
    <row r="2942" spans="1:1" x14ac:dyDescent="0.25">
      <c r="A2942" s="3"/>
    </row>
    <row r="2943" spans="1:1" x14ac:dyDescent="0.25">
      <c r="A2943" s="3"/>
    </row>
    <row r="2944" spans="1:1" x14ac:dyDescent="0.25">
      <c r="A2944" s="3"/>
    </row>
    <row r="2945" spans="1:1" x14ac:dyDescent="0.25">
      <c r="A2945" s="3"/>
    </row>
    <row r="2946" spans="1:1" x14ac:dyDescent="0.25">
      <c r="A2946" s="3"/>
    </row>
    <row r="2947" spans="1:1" x14ac:dyDescent="0.25">
      <c r="A2947" s="3"/>
    </row>
    <row r="2948" spans="1:1" x14ac:dyDescent="0.25">
      <c r="A2948" s="3"/>
    </row>
    <row r="2949" spans="1:1" x14ac:dyDescent="0.25">
      <c r="A2949" s="3"/>
    </row>
    <row r="2950" spans="1:1" x14ac:dyDescent="0.25">
      <c r="A2950" s="3"/>
    </row>
    <row r="2951" spans="1:1" x14ac:dyDescent="0.25">
      <c r="A2951" s="3"/>
    </row>
    <row r="2952" spans="1:1" x14ac:dyDescent="0.25">
      <c r="A2952" s="3"/>
    </row>
    <row r="2953" spans="1:1" x14ac:dyDescent="0.25">
      <c r="A2953" s="3"/>
    </row>
    <row r="2954" spans="1:1" x14ac:dyDescent="0.25">
      <c r="A2954" s="3"/>
    </row>
    <row r="2955" spans="1:1" x14ac:dyDescent="0.25">
      <c r="A2955" s="3"/>
    </row>
    <row r="2956" spans="1:1" x14ac:dyDescent="0.25">
      <c r="A2956" s="3"/>
    </row>
    <row r="2957" spans="1:1" x14ac:dyDescent="0.25">
      <c r="A2957" s="3"/>
    </row>
    <row r="2958" spans="1:1" x14ac:dyDescent="0.25">
      <c r="A2958" s="3"/>
    </row>
    <row r="2959" spans="1:1" x14ac:dyDescent="0.25">
      <c r="A2959" s="3"/>
    </row>
    <row r="2960" spans="1:1" x14ac:dyDescent="0.25">
      <c r="A2960" s="3"/>
    </row>
    <row r="2961" spans="1:1" x14ac:dyDescent="0.25">
      <c r="A2961" s="3"/>
    </row>
    <row r="2962" spans="1:1" x14ac:dyDescent="0.25">
      <c r="A2962" s="3"/>
    </row>
    <row r="2963" spans="1:1" x14ac:dyDescent="0.25">
      <c r="A2963" s="3"/>
    </row>
    <row r="2964" spans="1:1" x14ac:dyDescent="0.25">
      <c r="A2964" s="3"/>
    </row>
    <row r="2965" spans="1:1" x14ac:dyDescent="0.25">
      <c r="A2965" s="3"/>
    </row>
    <row r="2966" spans="1:1" x14ac:dyDescent="0.25">
      <c r="A2966" s="3"/>
    </row>
    <row r="2967" spans="1:1" x14ac:dyDescent="0.25">
      <c r="A2967" s="3"/>
    </row>
    <row r="2968" spans="1:1" x14ac:dyDescent="0.25">
      <c r="A2968" s="3"/>
    </row>
    <row r="2969" spans="1:1" x14ac:dyDescent="0.25">
      <c r="A2969" s="3"/>
    </row>
    <row r="2970" spans="1:1" x14ac:dyDescent="0.25">
      <c r="A2970" s="3"/>
    </row>
    <row r="2971" spans="1:1" x14ac:dyDescent="0.25">
      <c r="A2971" s="3"/>
    </row>
    <row r="2972" spans="1:1" x14ac:dyDescent="0.25">
      <c r="A2972" s="3"/>
    </row>
    <row r="2973" spans="1:1" x14ac:dyDescent="0.25">
      <c r="A2973" s="3"/>
    </row>
    <row r="2974" spans="1:1" x14ac:dyDescent="0.25">
      <c r="A2974" s="3"/>
    </row>
    <row r="2975" spans="1:1" x14ac:dyDescent="0.25">
      <c r="A2975" s="3"/>
    </row>
    <row r="2976" spans="1:1" x14ac:dyDescent="0.25">
      <c r="A2976" s="3"/>
    </row>
    <row r="2977" spans="1:1" x14ac:dyDescent="0.25">
      <c r="A2977" s="3"/>
    </row>
    <row r="2978" spans="1:1" x14ac:dyDescent="0.25">
      <c r="A2978" s="3"/>
    </row>
    <row r="2979" spans="1:1" x14ac:dyDescent="0.25">
      <c r="A2979" s="3"/>
    </row>
    <row r="2980" spans="1:1" x14ac:dyDescent="0.25">
      <c r="A2980" s="3"/>
    </row>
    <row r="2981" spans="1:1" x14ac:dyDescent="0.25">
      <c r="A2981" s="3"/>
    </row>
    <row r="2982" spans="1:1" x14ac:dyDescent="0.25">
      <c r="A2982" s="3"/>
    </row>
    <row r="2983" spans="1:1" x14ac:dyDescent="0.25">
      <c r="A2983" s="3"/>
    </row>
    <row r="2984" spans="1:1" x14ac:dyDescent="0.25">
      <c r="A2984" s="3"/>
    </row>
    <row r="2985" spans="1:1" x14ac:dyDescent="0.25">
      <c r="A2985" s="3"/>
    </row>
    <row r="2986" spans="1:1" x14ac:dyDescent="0.25">
      <c r="A2986" s="3"/>
    </row>
    <row r="2987" spans="1:1" x14ac:dyDescent="0.25">
      <c r="A2987" s="3"/>
    </row>
    <row r="2988" spans="1:1" x14ac:dyDescent="0.25">
      <c r="A2988" s="3"/>
    </row>
    <row r="2989" spans="1:1" x14ac:dyDescent="0.25">
      <c r="A2989" s="3"/>
    </row>
    <row r="2990" spans="1:1" x14ac:dyDescent="0.25">
      <c r="A2990" s="3"/>
    </row>
    <row r="2991" spans="1:1" x14ac:dyDescent="0.25">
      <c r="A2991" s="3"/>
    </row>
    <row r="2992" spans="1:1" x14ac:dyDescent="0.25">
      <c r="A2992" s="3"/>
    </row>
    <row r="2993" spans="1:1" x14ac:dyDescent="0.25">
      <c r="A2993" s="3"/>
    </row>
    <row r="2994" spans="1:1" x14ac:dyDescent="0.25">
      <c r="A2994" s="3"/>
    </row>
    <row r="2995" spans="1:1" x14ac:dyDescent="0.25">
      <c r="A2995" s="3"/>
    </row>
    <row r="2996" spans="1:1" x14ac:dyDescent="0.25">
      <c r="A2996" s="3"/>
    </row>
    <row r="2997" spans="1:1" x14ac:dyDescent="0.25">
      <c r="A2997" s="3"/>
    </row>
    <row r="2998" spans="1:1" x14ac:dyDescent="0.25">
      <c r="A2998" s="3"/>
    </row>
    <row r="2999" spans="1:1" x14ac:dyDescent="0.25">
      <c r="A2999" s="3"/>
    </row>
    <row r="3000" spans="1:1" x14ac:dyDescent="0.25">
      <c r="A3000" s="3"/>
    </row>
    <row r="3001" spans="1:1" x14ac:dyDescent="0.25">
      <c r="A3001" s="3"/>
    </row>
    <row r="3002" spans="1:1" x14ac:dyDescent="0.25">
      <c r="A3002" s="3"/>
    </row>
    <row r="3003" spans="1:1" x14ac:dyDescent="0.25">
      <c r="A3003" s="3"/>
    </row>
    <row r="3004" spans="1:1" x14ac:dyDescent="0.25">
      <c r="A3004" s="3"/>
    </row>
    <row r="3005" spans="1:1" x14ac:dyDescent="0.25">
      <c r="A3005" s="3"/>
    </row>
    <row r="3006" spans="1:1" x14ac:dyDescent="0.25">
      <c r="A3006" s="3"/>
    </row>
    <row r="3007" spans="1:1" x14ac:dyDescent="0.25">
      <c r="A3007" s="3"/>
    </row>
    <row r="3008" spans="1:1" x14ac:dyDescent="0.25">
      <c r="A3008" s="3"/>
    </row>
    <row r="3009" spans="1:1" x14ac:dyDescent="0.25">
      <c r="A3009" s="3"/>
    </row>
    <row r="3010" spans="1:1" x14ac:dyDescent="0.25">
      <c r="A3010" s="3"/>
    </row>
    <row r="3011" spans="1:1" x14ac:dyDescent="0.25">
      <c r="A3011" s="3"/>
    </row>
    <row r="3012" spans="1:1" x14ac:dyDescent="0.25">
      <c r="A3012" s="3"/>
    </row>
    <row r="3013" spans="1:1" x14ac:dyDescent="0.25">
      <c r="A3013" s="3"/>
    </row>
    <row r="3014" spans="1:1" x14ac:dyDescent="0.25">
      <c r="A3014" s="3"/>
    </row>
    <row r="3015" spans="1:1" x14ac:dyDescent="0.25">
      <c r="A3015" s="3"/>
    </row>
    <row r="3016" spans="1:1" x14ac:dyDescent="0.25">
      <c r="A3016" s="3"/>
    </row>
    <row r="3017" spans="1:1" x14ac:dyDescent="0.25">
      <c r="A3017" s="3"/>
    </row>
    <row r="3018" spans="1:1" x14ac:dyDescent="0.25">
      <c r="A3018" s="3"/>
    </row>
    <row r="3019" spans="1:1" x14ac:dyDescent="0.25">
      <c r="A3019" s="3"/>
    </row>
    <row r="3020" spans="1:1" x14ac:dyDescent="0.25">
      <c r="A3020" s="3"/>
    </row>
    <row r="3021" spans="1:1" x14ac:dyDescent="0.25">
      <c r="A3021" s="3"/>
    </row>
    <row r="3022" spans="1:1" x14ac:dyDescent="0.25">
      <c r="A3022" s="3"/>
    </row>
    <row r="3023" spans="1:1" x14ac:dyDescent="0.25">
      <c r="A3023" s="3"/>
    </row>
    <row r="3024" spans="1:1" x14ac:dyDescent="0.25">
      <c r="A3024" s="3"/>
    </row>
    <row r="3025" spans="1:1" x14ac:dyDescent="0.25">
      <c r="A3025" s="3"/>
    </row>
    <row r="3026" spans="1:1" x14ac:dyDescent="0.25">
      <c r="A3026" s="3"/>
    </row>
    <row r="3027" spans="1:1" x14ac:dyDescent="0.25">
      <c r="A3027" s="3"/>
    </row>
    <row r="3028" spans="1:1" x14ac:dyDescent="0.25">
      <c r="A3028" s="3"/>
    </row>
    <row r="3029" spans="1:1" x14ac:dyDescent="0.25">
      <c r="A3029" s="3"/>
    </row>
    <row r="3030" spans="1:1" x14ac:dyDescent="0.25">
      <c r="A3030" s="3"/>
    </row>
    <row r="3031" spans="1:1" x14ac:dyDescent="0.25">
      <c r="A3031" s="3"/>
    </row>
    <row r="3032" spans="1:1" x14ac:dyDescent="0.25">
      <c r="A3032" s="3"/>
    </row>
    <row r="3033" spans="1:1" x14ac:dyDescent="0.25">
      <c r="A3033" s="3"/>
    </row>
    <row r="3034" spans="1:1" x14ac:dyDescent="0.25">
      <c r="A3034" s="3"/>
    </row>
    <row r="3035" spans="1:1" x14ac:dyDescent="0.25">
      <c r="A3035" s="3"/>
    </row>
    <row r="3036" spans="1:1" x14ac:dyDescent="0.25">
      <c r="A3036" s="3"/>
    </row>
    <row r="3037" spans="1:1" x14ac:dyDescent="0.25">
      <c r="A3037" s="3"/>
    </row>
    <row r="3038" spans="1:1" x14ac:dyDescent="0.25">
      <c r="A3038" s="3"/>
    </row>
    <row r="3039" spans="1:1" x14ac:dyDescent="0.25">
      <c r="A3039" s="3"/>
    </row>
    <row r="3040" spans="1:1" x14ac:dyDescent="0.25">
      <c r="A3040" s="3"/>
    </row>
    <row r="3041" spans="1:1" x14ac:dyDescent="0.25">
      <c r="A3041" s="3"/>
    </row>
    <row r="3042" spans="1:1" x14ac:dyDescent="0.25">
      <c r="A3042" s="3"/>
    </row>
    <row r="3043" spans="1:1" x14ac:dyDescent="0.25">
      <c r="A3043" s="3"/>
    </row>
    <row r="3044" spans="1:1" x14ac:dyDescent="0.25">
      <c r="A3044" s="3"/>
    </row>
    <row r="3045" spans="1:1" x14ac:dyDescent="0.25">
      <c r="A3045" s="3"/>
    </row>
    <row r="3046" spans="1:1" x14ac:dyDescent="0.25">
      <c r="A3046" s="3"/>
    </row>
    <row r="3047" spans="1:1" x14ac:dyDescent="0.25">
      <c r="A3047" s="3"/>
    </row>
    <row r="3048" spans="1:1" x14ac:dyDescent="0.25">
      <c r="A3048" s="3"/>
    </row>
    <row r="3049" spans="1:1" x14ac:dyDescent="0.25">
      <c r="A3049" s="3"/>
    </row>
    <row r="3050" spans="1:1" x14ac:dyDescent="0.25">
      <c r="A3050" s="3"/>
    </row>
    <row r="3051" spans="1:1" x14ac:dyDescent="0.25">
      <c r="A3051" s="3"/>
    </row>
    <row r="3052" spans="1:1" x14ac:dyDescent="0.25">
      <c r="A3052" s="3"/>
    </row>
    <row r="3053" spans="1:1" x14ac:dyDescent="0.25">
      <c r="A3053" s="3"/>
    </row>
    <row r="3054" spans="1:1" x14ac:dyDescent="0.25">
      <c r="A3054" s="3"/>
    </row>
    <row r="3055" spans="1:1" x14ac:dyDescent="0.25">
      <c r="A3055" s="3"/>
    </row>
    <row r="3056" spans="1:1" x14ac:dyDescent="0.25">
      <c r="A3056" s="3"/>
    </row>
    <row r="3057" spans="1:1" x14ac:dyDescent="0.25">
      <c r="A3057" s="3"/>
    </row>
    <row r="3058" spans="1:1" x14ac:dyDescent="0.25">
      <c r="A3058" s="3"/>
    </row>
    <row r="3059" spans="1:1" x14ac:dyDescent="0.25">
      <c r="A3059" s="3"/>
    </row>
    <row r="3060" spans="1:1" x14ac:dyDescent="0.25">
      <c r="A3060" s="3"/>
    </row>
    <row r="3061" spans="1:1" x14ac:dyDescent="0.25">
      <c r="A3061" s="3"/>
    </row>
    <row r="3062" spans="1:1" x14ac:dyDescent="0.25">
      <c r="A3062" s="3"/>
    </row>
    <row r="3063" spans="1:1" x14ac:dyDescent="0.25">
      <c r="A3063" s="3"/>
    </row>
    <row r="3064" spans="1:1" x14ac:dyDescent="0.25">
      <c r="A3064" s="3"/>
    </row>
    <row r="3065" spans="1:1" x14ac:dyDescent="0.25">
      <c r="A3065" s="3"/>
    </row>
    <row r="3066" spans="1:1" x14ac:dyDescent="0.25">
      <c r="A3066" s="3"/>
    </row>
    <row r="3067" spans="1:1" x14ac:dyDescent="0.25">
      <c r="A3067" s="3"/>
    </row>
    <row r="3068" spans="1:1" x14ac:dyDescent="0.25">
      <c r="A3068" s="3"/>
    </row>
    <row r="3069" spans="1:1" x14ac:dyDescent="0.25">
      <c r="A3069" s="3"/>
    </row>
    <row r="3070" spans="1:1" x14ac:dyDescent="0.25">
      <c r="A3070" s="3"/>
    </row>
    <row r="3071" spans="1:1" x14ac:dyDescent="0.25">
      <c r="A3071" s="3"/>
    </row>
    <row r="3072" spans="1:1" x14ac:dyDescent="0.25">
      <c r="A3072" s="3"/>
    </row>
    <row r="3073" spans="1:1" x14ac:dyDescent="0.25">
      <c r="A3073" s="3"/>
    </row>
    <row r="3074" spans="1:1" x14ac:dyDescent="0.25">
      <c r="A3074" s="3"/>
    </row>
    <row r="3075" spans="1:1" x14ac:dyDescent="0.25">
      <c r="A3075" s="3"/>
    </row>
    <row r="3076" spans="1:1" x14ac:dyDescent="0.25">
      <c r="A3076" s="3"/>
    </row>
    <row r="3077" spans="1:1" x14ac:dyDescent="0.25">
      <c r="A3077" s="3"/>
    </row>
    <row r="3078" spans="1:1" x14ac:dyDescent="0.25">
      <c r="A3078" s="3"/>
    </row>
    <row r="3079" spans="1:1" x14ac:dyDescent="0.25">
      <c r="A3079" s="3"/>
    </row>
    <row r="3080" spans="1:1" x14ac:dyDescent="0.25">
      <c r="A3080" s="3"/>
    </row>
    <row r="3081" spans="1:1" x14ac:dyDescent="0.25">
      <c r="A3081" s="3"/>
    </row>
    <row r="3082" spans="1:1" x14ac:dyDescent="0.25">
      <c r="A3082" s="3"/>
    </row>
    <row r="3083" spans="1:1" x14ac:dyDescent="0.25">
      <c r="A3083" s="3"/>
    </row>
    <row r="3084" spans="1:1" x14ac:dyDescent="0.25">
      <c r="A3084" s="3"/>
    </row>
    <row r="3085" spans="1:1" x14ac:dyDescent="0.25">
      <c r="A3085" s="3"/>
    </row>
    <row r="3086" spans="1:1" x14ac:dyDescent="0.25">
      <c r="A3086" s="3"/>
    </row>
    <row r="3087" spans="1:1" x14ac:dyDescent="0.25">
      <c r="A3087" s="3"/>
    </row>
    <row r="3088" spans="1:1" x14ac:dyDescent="0.25">
      <c r="A3088" s="3"/>
    </row>
    <row r="3089" spans="1:1" x14ac:dyDescent="0.25">
      <c r="A3089" s="3"/>
    </row>
    <row r="3090" spans="1:1" x14ac:dyDescent="0.25">
      <c r="A3090" s="3"/>
    </row>
    <row r="3091" spans="1:1" x14ac:dyDescent="0.25">
      <c r="A3091" s="3"/>
    </row>
    <row r="3092" spans="1:1" x14ac:dyDescent="0.25">
      <c r="A3092" s="3"/>
    </row>
    <row r="3093" spans="1:1" x14ac:dyDescent="0.25">
      <c r="A3093" s="3"/>
    </row>
    <row r="3094" spans="1:1" x14ac:dyDescent="0.25">
      <c r="A3094" s="3"/>
    </row>
    <row r="3095" spans="1:1" x14ac:dyDescent="0.25">
      <c r="A3095" s="3"/>
    </row>
    <row r="3096" spans="1:1" x14ac:dyDescent="0.25">
      <c r="A3096" s="3"/>
    </row>
    <row r="3097" spans="1:1" x14ac:dyDescent="0.25">
      <c r="A3097" s="3"/>
    </row>
    <row r="3098" spans="1:1" x14ac:dyDescent="0.25">
      <c r="A3098" s="3"/>
    </row>
    <row r="3099" spans="1:1" x14ac:dyDescent="0.25">
      <c r="A3099" s="3"/>
    </row>
    <row r="3100" spans="1:1" x14ac:dyDescent="0.25">
      <c r="A3100" s="3"/>
    </row>
    <row r="3101" spans="1:1" x14ac:dyDescent="0.25">
      <c r="A3101" s="3"/>
    </row>
    <row r="3102" spans="1:1" x14ac:dyDescent="0.25">
      <c r="A3102" s="3"/>
    </row>
    <row r="3103" spans="1:1" x14ac:dyDescent="0.25">
      <c r="A3103" s="3"/>
    </row>
    <row r="3104" spans="1:1" x14ac:dyDescent="0.25">
      <c r="A3104" s="3"/>
    </row>
    <row r="3105" spans="1:1" x14ac:dyDescent="0.25">
      <c r="A3105" s="3"/>
    </row>
    <row r="3106" spans="1:1" x14ac:dyDescent="0.25">
      <c r="A3106" s="3"/>
    </row>
    <row r="3107" spans="1:1" x14ac:dyDescent="0.25">
      <c r="A3107" s="3"/>
    </row>
    <row r="3108" spans="1:1" x14ac:dyDescent="0.25">
      <c r="A3108" s="3"/>
    </row>
    <row r="3109" spans="1:1" x14ac:dyDescent="0.25">
      <c r="A3109" s="3"/>
    </row>
    <row r="3110" spans="1:1" x14ac:dyDescent="0.25">
      <c r="A3110" s="3"/>
    </row>
    <row r="3111" spans="1:1" x14ac:dyDescent="0.25">
      <c r="A3111" s="3"/>
    </row>
    <row r="3112" spans="1:1" x14ac:dyDescent="0.25">
      <c r="A3112" s="3"/>
    </row>
    <row r="3113" spans="1:1" x14ac:dyDescent="0.25">
      <c r="A3113" s="3"/>
    </row>
    <row r="3114" spans="1:1" x14ac:dyDescent="0.25">
      <c r="A3114" s="3"/>
    </row>
    <row r="3115" spans="1:1" x14ac:dyDescent="0.25">
      <c r="A3115" s="3"/>
    </row>
    <row r="3116" spans="1:1" x14ac:dyDescent="0.25">
      <c r="A3116" s="3"/>
    </row>
    <row r="3117" spans="1:1" x14ac:dyDescent="0.25">
      <c r="A3117" s="3"/>
    </row>
    <row r="3118" spans="1:1" x14ac:dyDescent="0.25">
      <c r="A3118" s="3"/>
    </row>
    <row r="3119" spans="1:1" x14ac:dyDescent="0.25">
      <c r="A3119" s="3"/>
    </row>
    <row r="3120" spans="1:1" x14ac:dyDescent="0.25">
      <c r="A3120" s="3"/>
    </row>
    <row r="3121" spans="1:1" x14ac:dyDescent="0.25">
      <c r="A3121" s="3"/>
    </row>
    <row r="3122" spans="1:1" x14ac:dyDescent="0.25">
      <c r="A3122" s="3"/>
    </row>
    <row r="3123" spans="1:1" x14ac:dyDescent="0.25">
      <c r="A3123" s="3"/>
    </row>
    <row r="3124" spans="1:1" x14ac:dyDescent="0.25">
      <c r="A3124" s="3"/>
    </row>
    <row r="3125" spans="1:1" x14ac:dyDescent="0.25">
      <c r="A3125" s="3"/>
    </row>
    <row r="3126" spans="1:1" x14ac:dyDescent="0.25">
      <c r="A3126" s="3"/>
    </row>
    <row r="3127" spans="1:1" x14ac:dyDescent="0.25">
      <c r="A3127" s="3"/>
    </row>
    <row r="3128" spans="1:1" x14ac:dyDescent="0.25">
      <c r="A3128" s="3"/>
    </row>
    <row r="3129" spans="1:1" x14ac:dyDescent="0.25">
      <c r="A3129" s="3"/>
    </row>
    <row r="3130" spans="1:1" x14ac:dyDescent="0.25">
      <c r="A3130" s="3"/>
    </row>
    <row r="3131" spans="1:1" x14ac:dyDescent="0.25">
      <c r="A3131" s="3"/>
    </row>
    <row r="3132" spans="1:1" x14ac:dyDescent="0.25">
      <c r="A3132" s="3"/>
    </row>
    <row r="3133" spans="1:1" x14ac:dyDescent="0.25">
      <c r="A3133" s="3"/>
    </row>
    <row r="3134" spans="1:1" x14ac:dyDescent="0.25">
      <c r="A3134" s="3"/>
    </row>
    <row r="3135" spans="1:1" x14ac:dyDescent="0.25">
      <c r="A3135" s="3"/>
    </row>
    <row r="3136" spans="1:1" x14ac:dyDescent="0.25">
      <c r="A3136" s="3"/>
    </row>
    <row r="3137" spans="1:1" x14ac:dyDescent="0.25">
      <c r="A3137" s="3"/>
    </row>
    <row r="3138" spans="1:1" x14ac:dyDescent="0.25">
      <c r="A3138" s="3"/>
    </row>
    <row r="3139" spans="1:1" x14ac:dyDescent="0.25">
      <c r="A3139" s="3"/>
    </row>
    <row r="3140" spans="1:1" x14ac:dyDescent="0.25">
      <c r="A3140" s="3"/>
    </row>
    <row r="3141" spans="1:1" x14ac:dyDescent="0.25">
      <c r="A3141" s="3"/>
    </row>
    <row r="3142" spans="1:1" x14ac:dyDescent="0.25">
      <c r="A3142" s="3"/>
    </row>
    <row r="3143" spans="1:1" x14ac:dyDescent="0.25">
      <c r="A3143" s="3"/>
    </row>
    <row r="3144" spans="1:1" x14ac:dyDescent="0.25">
      <c r="A3144" s="3"/>
    </row>
    <row r="3145" spans="1:1" x14ac:dyDescent="0.25">
      <c r="A3145" s="3"/>
    </row>
    <row r="3146" spans="1:1" x14ac:dyDescent="0.25">
      <c r="A3146" s="3"/>
    </row>
    <row r="3147" spans="1:1" x14ac:dyDescent="0.25">
      <c r="A3147" s="3"/>
    </row>
    <row r="3148" spans="1:1" x14ac:dyDescent="0.25">
      <c r="A3148" s="3"/>
    </row>
    <row r="3149" spans="1:1" x14ac:dyDescent="0.25">
      <c r="A3149" s="3"/>
    </row>
    <row r="3150" spans="1:1" x14ac:dyDescent="0.25">
      <c r="A3150" s="3"/>
    </row>
    <row r="3151" spans="1:1" x14ac:dyDescent="0.25">
      <c r="A3151" s="3"/>
    </row>
    <row r="3152" spans="1:1" x14ac:dyDescent="0.25">
      <c r="A3152" s="3"/>
    </row>
    <row r="3153" spans="1:1" x14ac:dyDescent="0.25">
      <c r="A3153" s="3"/>
    </row>
    <row r="3154" spans="1:1" x14ac:dyDescent="0.25">
      <c r="A3154" s="3"/>
    </row>
    <row r="3155" spans="1:1" x14ac:dyDescent="0.25">
      <c r="A3155" s="3"/>
    </row>
    <row r="3156" spans="1:1" x14ac:dyDescent="0.25">
      <c r="A3156" s="3"/>
    </row>
    <row r="3157" spans="1:1" x14ac:dyDescent="0.25">
      <c r="A3157" s="3"/>
    </row>
    <row r="3158" spans="1:1" x14ac:dyDescent="0.25">
      <c r="A3158" s="3"/>
    </row>
    <row r="3159" spans="1:1" x14ac:dyDescent="0.25">
      <c r="A3159" s="3"/>
    </row>
    <row r="3160" spans="1:1" x14ac:dyDescent="0.25">
      <c r="A3160" s="3"/>
    </row>
    <row r="3161" spans="1:1" x14ac:dyDescent="0.25">
      <c r="A3161" s="3"/>
    </row>
    <row r="3162" spans="1:1" x14ac:dyDescent="0.25">
      <c r="A3162" s="3"/>
    </row>
    <row r="3163" spans="1:1" x14ac:dyDescent="0.25">
      <c r="A3163" s="3"/>
    </row>
    <row r="3164" spans="1:1" x14ac:dyDescent="0.25">
      <c r="A3164" s="3"/>
    </row>
    <row r="3165" spans="1:1" x14ac:dyDescent="0.25">
      <c r="A3165" s="3"/>
    </row>
    <row r="3166" spans="1:1" x14ac:dyDescent="0.25">
      <c r="A3166" s="3"/>
    </row>
    <row r="3167" spans="1:1" x14ac:dyDescent="0.25">
      <c r="A3167" s="3"/>
    </row>
    <row r="3168" spans="1:1" x14ac:dyDescent="0.25">
      <c r="A3168" s="3"/>
    </row>
    <row r="3169" spans="1:1" x14ac:dyDescent="0.25">
      <c r="A3169" s="3"/>
    </row>
    <row r="3170" spans="1:1" x14ac:dyDescent="0.25">
      <c r="A3170" s="3"/>
    </row>
    <row r="3171" spans="1:1" x14ac:dyDescent="0.25">
      <c r="A3171" s="3"/>
    </row>
    <row r="3172" spans="1:1" x14ac:dyDescent="0.25">
      <c r="A3172" s="3"/>
    </row>
    <row r="3173" spans="1:1" x14ac:dyDescent="0.25">
      <c r="A3173" s="3"/>
    </row>
    <row r="3174" spans="1:1" x14ac:dyDescent="0.25">
      <c r="A3174" s="3"/>
    </row>
    <row r="3175" spans="1:1" x14ac:dyDescent="0.25">
      <c r="A3175" s="3"/>
    </row>
    <row r="3176" spans="1:1" x14ac:dyDescent="0.25">
      <c r="A3176" s="3"/>
    </row>
    <row r="3177" spans="1:1" x14ac:dyDescent="0.25">
      <c r="A3177" s="3"/>
    </row>
    <row r="3178" spans="1:1" x14ac:dyDescent="0.25">
      <c r="A3178" s="3"/>
    </row>
    <row r="3179" spans="1:1" x14ac:dyDescent="0.25">
      <c r="A3179" s="3"/>
    </row>
    <row r="3180" spans="1:1" x14ac:dyDescent="0.25">
      <c r="A3180" s="3"/>
    </row>
    <row r="3181" spans="1:1" x14ac:dyDescent="0.25">
      <c r="A3181" s="3"/>
    </row>
    <row r="3182" spans="1:1" x14ac:dyDescent="0.25">
      <c r="A3182" s="3"/>
    </row>
    <row r="3183" spans="1:1" x14ac:dyDescent="0.25">
      <c r="A3183" s="3"/>
    </row>
    <row r="3184" spans="1:1" x14ac:dyDescent="0.25">
      <c r="A3184" s="3"/>
    </row>
    <row r="3185" spans="1:1" x14ac:dyDescent="0.25">
      <c r="A3185" s="3"/>
    </row>
    <row r="3186" spans="1:1" x14ac:dyDescent="0.25">
      <c r="A3186" s="3"/>
    </row>
    <row r="3187" spans="1:1" x14ac:dyDescent="0.25">
      <c r="A3187" s="3"/>
    </row>
    <row r="3188" spans="1:1" x14ac:dyDescent="0.25">
      <c r="A3188" s="3"/>
    </row>
    <row r="3189" spans="1:1" x14ac:dyDescent="0.25">
      <c r="A3189" s="3"/>
    </row>
    <row r="3190" spans="1:1" x14ac:dyDescent="0.25">
      <c r="A3190" s="3"/>
    </row>
    <row r="3191" spans="1:1" x14ac:dyDescent="0.25">
      <c r="A3191" s="3"/>
    </row>
    <row r="3192" spans="1:1" x14ac:dyDescent="0.25">
      <c r="A3192" s="3"/>
    </row>
    <row r="3193" spans="1:1" x14ac:dyDescent="0.25">
      <c r="A3193" s="3"/>
    </row>
    <row r="3194" spans="1:1" x14ac:dyDescent="0.25">
      <c r="A3194" s="3"/>
    </row>
    <row r="3195" spans="1:1" x14ac:dyDescent="0.25">
      <c r="A3195" s="3"/>
    </row>
    <row r="3196" spans="1:1" x14ac:dyDescent="0.25">
      <c r="A3196" s="3"/>
    </row>
    <row r="3197" spans="1:1" x14ac:dyDescent="0.25">
      <c r="A3197" s="3"/>
    </row>
    <row r="3198" spans="1:1" x14ac:dyDescent="0.25">
      <c r="A3198" s="3"/>
    </row>
    <row r="3199" spans="1:1" x14ac:dyDescent="0.25">
      <c r="A3199" s="3"/>
    </row>
    <row r="3200" spans="1:1" x14ac:dyDescent="0.25">
      <c r="A3200" s="3"/>
    </row>
    <row r="3201" spans="1:1" x14ac:dyDescent="0.25">
      <c r="A3201" s="3"/>
    </row>
    <row r="3202" spans="1:1" x14ac:dyDescent="0.25">
      <c r="A3202" s="3"/>
    </row>
    <row r="3203" spans="1:1" x14ac:dyDescent="0.25">
      <c r="A3203" s="3"/>
    </row>
    <row r="3204" spans="1:1" x14ac:dyDescent="0.25">
      <c r="A3204" s="3"/>
    </row>
    <row r="3205" spans="1:1" x14ac:dyDescent="0.25">
      <c r="A3205" s="3"/>
    </row>
    <row r="3206" spans="1:1" x14ac:dyDescent="0.25">
      <c r="A3206" s="3"/>
    </row>
    <row r="3207" spans="1:1" x14ac:dyDescent="0.25">
      <c r="A3207" s="3"/>
    </row>
    <row r="3208" spans="1:1" x14ac:dyDescent="0.25">
      <c r="A3208" s="3"/>
    </row>
    <row r="3209" spans="1:1" x14ac:dyDescent="0.25">
      <c r="A3209" s="3"/>
    </row>
    <row r="3210" spans="1:1" x14ac:dyDescent="0.25">
      <c r="A3210" s="3"/>
    </row>
    <row r="3211" spans="1:1" x14ac:dyDescent="0.25">
      <c r="A3211" s="3"/>
    </row>
    <row r="3212" spans="1:1" x14ac:dyDescent="0.25">
      <c r="A3212" s="3"/>
    </row>
    <row r="3213" spans="1:1" x14ac:dyDescent="0.25">
      <c r="A3213" s="3"/>
    </row>
    <row r="3214" spans="1:1" x14ac:dyDescent="0.25">
      <c r="A3214" s="3"/>
    </row>
    <row r="3215" spans="1:1" x14ac:dyDescent="0.25">
      <c r="A3215" s="3"/>
    </row>
    <row r="3216" spans="1:1" x14ac:dyDescent="0.25">
      <c r="A3216" s="3"/>
    </row>
    <row r="3217" spans="1:1" x14ac:dyDescent="0.25">
      <c r="A3217" s="3"/>
    </row>
    <row r="3218" spans="1:1" x14ac:dyDescent="0.25">
      <c r="A3218" s="3"/>
    </row>
    <row r="3219" spans="1:1" x14ac:dyDescent="0.25">
      <c r="A3219" s="3"/>
    </row>
    <row r="3220" spans="1:1" x14ac:dyDescent="0.25">
      <c r="A3220" s="3"/>
    </row>
    <row r="3221" spans="1:1" x14ac:dyDescent="0.25">
      <c r="A3221" s="3"/>
    </row>
    <row r="3222" spans="1:1" x14ac:dyDescent="0.25">
      <c r="A3222" s="3"/>
    </row>
    <row r="3223" spans="1:1" x14ac:dyDescent="0.25">
      <c r="A3223" s="3"/>
    </row>
    <row r="3224" spans="1:1" x14ac:dyDescent="0.25">
      <c r="A3224" s="3"/>
    </row>
    <row r="3225" spans="1:1" x14ac:dyDescent="0.25">
      <c r="A3225" s="3"/>
    </row>
    <row r="3226" spans="1:1" x14ac:dyDescent="0.25">
      <c r="A3226" s="3"/>
    </row>
    <row r="3227" spans="1:1" x14ac:dyDescent="0.25">
      <c r="A3227" s="3"/>
    </row>
    <row r="3228" spans="1:1" x14ac:dyDescent="0.25">
      <c r="A3228" s="3"/>
    </row>
    <row r="3229" spans="1:1" x14ac:dyDescent="0.25">
      <c r="A3229" s="3"/>
    </row>
    <row r="3230" spans="1:1" x14ac:dyDescent="0.25">
      <c r="A3230" s="3"/>
    </row>
    <row r="3231" spans="1:1" x14ac:dyDescent="0.25">
      <c r="A3231" s="3"/>
    </row>
    <row r="3232" spans="1:1" x14ac:dyDescent="0.25">
      <c r="A3232" s="3"/>
    </row>
    <row r="3233" spans="1:1" x14ac:dyDescent="0.25">
      <c r="A3233" s="3"/>
    </row>
    <row r="3234" spans="1:1" x14ac:dyDescent="0.25">
      <c r="A3234" s="3"/>
    </row>
    <row r="3235" spans="1:1" x14ac:dyDescent="0.25">
      <c r="A3235" s="3"/>
    </row>
    <row r="3236" spans="1:1" x14ac:dyDescent="0.25">
      <c r="A3236" s="3"/>
    </row>
    <row r="3237" spans="1:1" x14ac:dyDescent="0.25">
      <c r="A3237" s="3"/>
    </row>
    <row r="3238" spans="1:1" x14ac:dyDescent="0.25">
      <c r="A3238" s="3"/>
    </row>
    <row r="3239" spans="1:1" x14ac:dyDescent="0.25">
      <c r="A3239" s="3"/>
    </row>
    <row r="3240" spans="1:1" x14ac:dyDescent="0.25">
      <c r="A3240" s="3"/>
    </row>
    <row r="3241" spans="1:1" x14ac:dyDescent="0.25">
      <c r="A3241" s="3"/>
    </row>
    <row r="3242" spans="1:1" x14ac:dyDescent="0.25">
      <c r="A3242" s="3"/>
    </row>
    <row r="3243" spans="1:1" x14ac:dyDescent="0.25">
      <c r="A3243" s="3"/>
    </row>
    <row r="3244" spans="1:1" x14ac:dyDescent="0.25">
      <c r="A3244" s="3"/>
    </row>
    <row r="3245" spans="1:1" x14ac:dyDescent="0.25">
      <c r="A3245" s="3"/>
    </row>
    <row r="3246" spans="1:1" x14ac:dyDescent="0.25">
      <c r="A3246" s="3"/>
    </row>
    <row r="3247" spans="1:1" x14ac:dyDescent="0.25">
      <c r="A3247" s="3"/>
    </row>
    <row r="3248" spans="1:1" x14ac:dyDescent="0.25">
      <c r="A3248" s="3"/>
    </row>
    <row r="3249" spans="1:1" x14ac:dyDescent="0.25">
      <c r="A3249" s="3"/>
    </row>
    <row r="3250" spans="1:1" x14ac:dyDescent="0.25">
      <c r="A3250" s="3"/>
    </row>
    <row r="3251" spans="1:1" x14ac:dyDescent="0.25">
      <c r="A3251" s="3"/>
    </row>
    <row r="3252" spans="1:1" x14ac:dyDescent="0.25">
      <c r="A3252" s="3"/>
    </row>
    <row r="3253" spans="1:1" x14ac:dyDescent="0.25">
      <c r="A3253" s="3"/>
    </row>
    <row r="3254" spans="1:1" x14ac:dyDescent="0.25">
      <c r="A3254" s="3"/>
    </row>
    <row r="3255" spans="1:1" x14ac:dyDescent="0.25">
      <c r="A3255" s="3"/>
    </row>
    <row r="3256" spans="1:1" x14ac:dyDescent="0.25">
      <c r="A3256" s="3"/>
    </row>
    <row r="3257" spans="1:1" x14ac:dyDescent="0.25">
      <c r="A3257" s="3"/>
    </row>
    <row r="3258" spans="1:1" x14ac:dyDescent="0.25">
      <c r="A3258" s="3"/>
    </row>
    <row r="3259" spans="1:1" x14ac:dyDescent="0.25">
      <c r="A3259" s="3"/>
    </row>
    <row r="3260" spans="1:1" x14ac:dyDescent="0.25">
      <c r="A3260" s="3"/>
    </row>
    <row r="3261" spans="1:1" x14ac:dyDescent="0.25">
      <c r="A3261" s="3"/>
    </row>
    <row r="3262" spans="1:1" x14ac:dyDescent="0.25">
      <c r="A3262" s="3"/>
    </row>
    <row r="3263" spans="1:1" x14ac:dyDescent="0.25">
      <c r="A3263" s="3"/>
    </row>
    <row r="3264" spans="1:1" x14ac:dyDescent="0.25">
      <c r="A3264" s="3"/>
    </row>
    <row r="3265" spans="1:1" x14ac:dyDescent="0.25">
      <c r="A3265" s="3"/>
    </row>
    <row r="3266" spans="1:1" x14ac:dyDescent="0.25">
      <c r="A3266" s="3"/>
    </row>
    <row r="3267" spans="1:1" x14ac:dyDescent="0.25">
      <c r="A3267" s="3"/>
    </row>
    <row r="3268" spans="1:1" x14ac:dyDescent="0.25">
      <c r="A3268" s="3"/>
    </row>
    <row r="3269" spans="1:1" x14ac:dyDescent="0.25">
      <c r="A3269" s="3"/>
    </row>
    <row r="3270" spans="1:1" x14ac:dyDescent="0.25">
      <c r="A3270" s="3"/>
    </row>
    <row r="3271" spans="1:1" x14ac:dyDescent="0.25">
      <c r="A3271" s="3"/>
    </row>
    <row r="3272" spans="1:1" x14ac:dyDescent="0.25">
      <c r="A3272" s="3"/>
    </row>
    <row r="3273" spans="1:1" x14ac:dyDescent="0.25">
      <c r="A3273" s="3"/>
    </row>
    <row r="3274" spans="1:1" x14ac:dyDescent="0.25">
      <c r="A3274" s="3"/>
    </row>
    <row r="3275" spans="1:1" x14ac:dyDescent="0.25">
      <c r="A3275" s="3"/>
    </row>
    <row r="3276" spans="1:1" x14ac:dyDescent="0.25">
      <c r="A3276" s="3"/>
    </row>
    <row r="3277" spans="1:1" x14ac:dyDescent="0.25">
      <c r="A3277" s="3"/>
    </row>
    <row r="3278" spans="1:1" x14ac:dyDescent="0.25">
      <c r="A3278" s="3"/>
    </row>
    <row r="3279" spans="1:1" x14ac:dyDescent="0.25">
      <c r="A3279" s="3"/>
    </row>
    <row r="3280" spans="1:1" x14ac:dyDescent="0.25">
      <c r="A3280" s="3"/>
    </row>
    <row r="3281" spans="1:1" x14ac:dyDescent="0.25">
      <c r="A3281" s="3"/>
    </row>
    <row r="3282" spans="1:1" x14ac:dyDescent="0.25">
      <c r="A3282" s="3"/>
    </row>
    <row r="3283" spans="1:1" x14ac:dyDescent="0.25">
      <c r="A3283" s="3"/>
    </row>
    <row r="3284" spans="1:1" x14ac:dyDescent="0.25">
      <c r="A3284" s="3"/>
    </row>
    <row r="3285" spans="1:1" x14ac:dyDescent="0.25">
      <c r="A3285" s="3"/>
    </row>
    <row r="3286" spans="1:1" x14ac:dyDescent="0.25">
      <c r="A3286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7" tint="0.79998168889431442"/>
  </sheetPr>
  <dimension ref="A3:W93"/>
  <sheetViews>
    <sheetView topLeftCell="D1" workbookViewId="0">
      <selection activeCell="G45" sqref="G45"/>
    </sheetView>
  </sheetViews>
  <sheetFormatPr defaultColWidth="9.33203125" defaultRowHeight="13.8" x14ac:dyDescent="0.25"/>
  <cols>
    <col min="1" max="1" width="22.33203125" style="396" bestFit="1" customWidth="1"/>
    <col min="2" max="2" width="14.44140625" style="397" bestFit="1" customWidth="1"/>
    <col min="3" max="10" width="15.44140625" style="396" customWidth="1"/>
    <col min="11" max="12" width="13.33203125" style="396" bestFit="1" customWidth="1"/>
    <col min="13" max="13" width="16.44140625" style="396" customWidth="1"/>
    <col min="14" max="20" width="14.6640625" style="396" customWidth="1"/>
    <col min="21" max="21" width="14.33203125" style="396" customWidth="1"/>
    <col min="22" max="22" width="12.77734375" style="396" bestFit="1" customWidth="1"/>
    <col min="23" max="23" width="13.109375" style="396" customWidth="1"/>
    <col min="24" max="16384" width="9.33203125" style="396"/>
  </cols>
  <sheetData>
    <row r="3" spans="1:21" x14ac:dyDescent="0.25">
      <c r="A3" s="396" t="s">
        <v>187</v>
      </c>
      <c r="B3" s="397" t="s">
        <v>188</v>
      </c>
      <c r="C3" s="396" t="s">
        <v>189</v>
      </c>
      <c r="D3" s="396" t="s">
        <v>190</v>
      </c>
      <c r="E3" s="396" t="s">
        <v>191</v>
      </c>
      <c r="F3" s="396" t="s">
        <v>192</v>
      </c>
      <c r="G3" s="396" t="s">
        <v>193</v>
      </c>
      <c r="H3" s="396" t="s">
        <v>116</v>
      </c>
      <c r="I3" s="396" t="s">
        <v>194</v>
      </c>
      <c r="J3" s="396" t="s">
        <v>117</v>
      </c>
    </row>
    <row r="4" spans="1:21" x14ac:dyDescent="0.25">
      <c r="C4" s="398"/>
      <c r="D4" s="398"/>
      <c r="E4" s="398"/>
      <c r="F4" s="398"/>
      <c r="G4" s="398"/>
      <c r="H4" s="398"/>
      <c r="I4" s="398"/>
      <c r="J4" s="398"/>
      <c r="K4" s="399"/>
    </row>
    <row r="5" spans="1:21" x14ac:dyDescent="0.25">
      <c r="A5" s="396">
        <v>2015</v>
      </c>
      <c r="B5" s="400">
        <v>2015</v>
      </c>
      <c r="C5" s="398">
        <v>3491718</v>
      </c>
      <c r="D5" s="398">
        <v>1030255.24</v>
      </c>
      <c r="E5" s="398">
        <v>1436934.9400000002</v>
      </c>
      <c r="F5" s="398">
        <v>9650836.8200000003</v>
      </c>
      <c r="G5" s="398">
        <v>0</v>
      </c>
      <c r="H5" s="398">
        <v>0</v>
      </c>
      <c r="I5" s="398">
        <v>0</v>
      </c>
      <c r="J5" s="398">
        <v>0</v>
      </c>
      <c r="K5" s="399">
        <f>SUM(C5:J5)</f>
        <v>15609745</v>
      </c>
      <c r="M5" s="396" t="str">
        <f>C3</f>
        <v>Residential</v>
      </c>
      <c r="N5" s="396" t="str">
        <f t="shared" ref="N5:T5" si="0">D3</f>
        <v>GS&lt;50 kW</v>
      </c>
      <c r="O5" s="396" t="str">
        <f t="shared" si="0"/>
        <v>GS 50 to 999 kW (I1 &amp; I4)</v>
      </c>
      <c r="P5" s="396" t="str">
        <f t="shared" si="0"/>
        <v>GS 1,000 to 4,999 kW (I2)</v>
      </c>
      <c r="Q5" s="396" t="str">
        <f t="shared" si="0"/>
        <v>Large Use (I3)</v>
      </c>
      <c r="R5" s="396" t="str">
        <f t="shared" si="0"/>
        <v>Street Lighting</v>
      </c>
      <c r="S5" s="396" t="str">
        <f t="shared" si="0"/>
        <v>USL</v>
      </c>
      <c r="T5" s="396" t="str">
        <f t="shared" si="0"/>
        <v>Sentinel Lights</v>
      </c>
    </row>
    <row r="6" spans="1:21" x14ac:dyDescent="0.25">
      <c r="B6" s="400">
        <v>2016</v>
      </c>
      <c r="C6" s="398">
        <v>3449531</v>
      </c>
      <c r="D6" s="398">
        <v>1030255.24</v>
      </c>
      <c r="E6" s="398">
        <v>1436934.9400000002</v>
      </c>
      <c r="F6" s="398">
        <v>9650836.8200000003</v>
      </c>
      <c r="G6" s="398">
        <v>0</v>
      </c>
      <c r="H6" s="398">
        <v>0</v>
      </c>
      <c r="I6" s="398">
        <v>0</v>
      </c>
      <c r="J6" s="398">
        <v>0</v>
      </c>
      <c r="K6" s="399">
        <f>SUM(C6:J6)</f>
        <v>15567558</v>
      </c>
    </row>
    <row r="7" spans="1:21" x14ac:dyDescent="0.25">
      <c r="B7" s="397">
        <v>2017</v>
      </c>
      <c r="C7" s="398">
        <v>3446807</v>
      </c>
      <c r="D7" s="398">
        <v>1030255.2400000001</v>
      </c>
      <c r="E7" s="398">
        <v>1436934.94</v>
      </c>
      <c r="F7" s="398">
        <v>9650836.8200000003</v>
      </c>
      <c r="G7" s="398">
        <v>0</v>
      </c>
      <c r="H7" s="398">
        <v>0</v>
      </c>
      <c r="I7" s="398">
        <v>0</v>
      </c>
      <c r="J7" s="398">
        <v>0</v>
      </c>
      <c r="K7" s="399">
        <f>SUM(C7:J7)</f>
        <v>15564834</v>
      </c>
      <c r="L7" s="396">
        <v>2015</v>
      </c>
      <c r="M7" s="398">
        <f t="shared" ref="M7:M18" si="1">SUMIFS(C:C,$B:$B,$L7)-SUMIFS(C:C,$A:$A,$L7)/2</f>
        <v>1745859</v>
      </c>
      <c r="N7" s="398">
        <f t="shared" ref="N7:N18" si="2">SUMIFS(D:D,$B:$B,$L7)-SUMIFS(D:D,$A:$A,$L7)/2</f>
        <v>515127.62</v>
      </c>
      <c r="O7" s="398">
        <f t="shared" ref="O7:O18" si="3">SUMIFS(E:E,$B:$B,$L7)-SUMIFS(E:E,$A:$A,$L7)/2</f>
        <v>718467.47000000009</v>
      </c>
      <c r="P7" s="398">
        <f t="shared" ref="P7:P18" si="4">SUMIFS(F:F,$B:$B,$L7)-SUMIFS(F:F,$A:$A,$L7)/2</f>
        <v>4825418.41</v>
      </c>
      <c r="Q7" s="398">
        <f t="shared" ref="Q7:Q18" si="5">SUMIFS(G:G,$B:$B,$L7)-SUMIFS(G:G,$A:$A,$L7)/2</f>
        <v>0</v>
      </c>
      <c r="R7" s="398">
        <f t="shared" ref="R7:R18" si="6">SUMIFS(H:H,$B:$B,$L7)-SUMIFS(H:H,$A:$A,$L7)/2</f>
        <v>0</v>
      </c>
      <c r="S7" s="398">
        <f t="shared" ref="S7:S18" si="7">SUMIFS(I:I,$B:$B,$L7)-SUMIFS(I:I,$A:$A,$L7)/2</f>
        <v>0</v>
      </c>
      <c r="T7" s="398">
        <f t="shared" ref="T7:T18" si="8">SUMIFS(J:J,$B:$B,$L7)-SUMIFS(J:J,$A:$A,$L7)/2</f>
        <v>0</v>
      </c>
      <c r="U7" s="399">
        <f t="shared" ref="U7:U18" si="9">SUM(M7:T7)</f>
        <v>7804872.5</v>
      </c>
    </row>
    <row r="8" spans="1:21" x14ac:dyDescent="0.25">
      <c r="B8" s="400">
        <v>2018</v>
      </c>
      <c r="C8" s="398">
        <v>3444448</v>
      </c>
      <c r="D8" s="398">
        <v>1025094.46</v>
      </c>
      <c r="E8" s="398">
        <v>1429737.0100000002</v>
      </c>
      <c r="F8" s="398">
        <v>9649614.5299999993</v>
      </c>
      <c r="G8" s="398">
        <v>0</v>
      </c>
      <c r="H8" s="398">
        <v>0</v>
      </c>
      <c r="I8" s="398">
        <v>0</v>
      </c>
      <c r="J8" s="398">
        <v>0</v>
      </c>
      <c r="K8" s="399">
        <f t="shared" ref="K8:K39" si="10">SUM(C8:J8)</f>
        <v>15548894</v>
      </c>
      <c r="L8" s="396">
        <v>2016</v>
      </c>
      <c r="M8" s="398">
        <f t="shared" si="1"/>
        <v>8129504.5</v>
      </c>
      <c r="N8" s="398">
        <f t="shared" si="2"/>
        <v>2242271.165</v>
      </c>
      <c r="O8" s="398">
        <f t="shared" si="3"/>
        <v>2246980.33</v>
      </c>
      <c r="P8" s="398">
        <f t="shared" si="4"/>
        <v>9958131.004999999</v>
      </c>
      <c r="Q8" s="398">
        <f t="shared" si="5"/>
        <v>0</v>
      </c>
      <c r="R8" s="398">
        <f t="shared" si="6"/>
        <v>0</v>
      </c>
      <c r="S8" s="398">
        <f t="shared" si="7"/>
        <v>0</v>
      </c>
      <c r="T8" s="398">
        <f t="shared" si="8"/>
        <v>0</v>
      </c>
      <c r="U8" s="399">
        <f t="shared" si="9"/>
        <v>22576887</v>
      </c>
    </row>
    <row r="9" spans="1:21" x14ac:dyDescent="0.25">
      <c r="B9" s="400">
        <v>2019</v>
      </c>
      <c r="C9" s="398">
        <v>3438848</v>
      </c>
      <c r="D9" s="398">
        <v>1025094.46</v>
      </c>
      <c r="E9" s="398">
        <v>1429737.0100000002</v>
      </c>
      <c r="F9" s="398">
        <v>9649614.5299999993</v>
      </c>
      <c r="G9" s="398">
        <v>0</v>
      </c>
      <c r="H9" s="398">
        <v>0</v>
      </c>
      <c r="I9" s="398">
        <v>0</v>
      </c>
      <c r="J9" s="398">
        <v>0</v>
      </c>
      <c r="K9" s="399">
        <f t="shared" si="10"/>
        <v>15543294</v>
      </c>
      <c r="L9" s="396">
        <v>2017</v>
      </c>
      <c r="M9" s="398">
        <f t="shared" si="1"/>
        <v>21218883.5</v>
      </c>
      <c r="N9" s="398">
        <f t="shared" si="2"/>
        <v>4711924.9122964675</v>
      </c>
      <c r="O9" s="398">
        <f t="shared" si="3"/>
        <v>4819230.9586269651</v>
      </c>
      <c r="P9" s="398">
        <f t="shared" si="4"/>
        <v>10265409.998426484</v>
      </c>
      <c r="Q9" s="398">
        <f t="shared" si="5"/>
        <v>139443.67499999999</v>
      </c>
      <c r="R9" s="398">
        <f t="shared" si="6"/>
        <v>3144329.5</v>
      </c>
      <c r="S9" s="398">
        <f t="shared" si="7"/>
        <v>0</v>
      </c>
      <c r="T9" s="398">
        <f t="shared" si="8"/>
        <v>0</v>
      </c>
      <c r="U9" s="399">
        <f t="shared" si="9"/>
        <v>44299222.544349909</v>
      </c>
    </row>
    <row r="10" spans="1:21" x14ac:dyDescent="0.25">
      <c r="B10" s="397">
        <v>2020</v>
      </c>
      <c r="C10" s="398">
        <v>3434778</v>
      </c>
      <c r="D10" s="398">
        <v>1024538.52</v>
      </c>
      <c r="E10" s="398">
        <v>1428961.62</v>
      </c>
      <c r="F10" s="398">
        <v>9649482.8599999994</v>
      </c>
      <c r="G10" s="398">
        <v>0</v>
      </c>
      <c r="H10" s="398">
        <v>0</v>
      </c>
      <c r="I10" s="398">
        <v>0</v>
      </c>
      <c r="J10" s="398">
        <v>0</v>
      </c>
      <c r="K10" s="399">
        <f t="shared" si="10"/>
        <v>15537761</v>
      </c>
      <c r="L10" s="396">
        <v>2018</v>
      </c>
      <c r="M10" s="401">
        <f t="shared" si="1"/>
        <v>27652754.856041778</v>
      </c>
      <c r="N10" s="401">
        <f t="shared" si="2"/>
        <v>6398722.2314855214</v>
      </c>
      <c r="O10" s="401">
        <f t="shared" si="3"/>
        <v>7226093.9416703656</v>
      </c>
      <c r="P10" s="401">
        <f t="shared" si="4"/>
        <v>10267066.018426483</v>
      </c>
      <c r="Q10" s="401">
        <f t="shared" si="5"/>
        <v>278914.1166666667</v>
      </c>
      <c r="R10" s="401">
        <f t="shared" si="6"/>
        <v>6279863.666666666</v>
      </c>
      <c r="S10" s="401">
        <f t="shared" si="7"/>
        <v>0</v>
      </c>
      <c r="T10" s="401">
        <f t="shared" si="8"/>
        <v>0</v>
      </c>
      <c r="U10" s="399">
        <f t="shared" si="9"/>
        <v>58103414.83095748</v>
      </c>
    </row>
    <row r="11" spans="1:21" x14ac:dyDescent="0.25">
      <c r="B11" s="397">
        <v>2021</v>
      </c>
      <c r="C11" s="398">
        <v>3434085</v>
      </c>
      <c r="D11" s="398">
        <v>1024538.9</v>
      </c>
      <c r="E11" s="398">
        <v>1428962.1500000001</v>
      </c>
      <c r="F11" s="398">
        <v>9649482.9499999993</v>
      </c>
      <c r="G11" s="398">
        <v>0</v>
      </c>
      <c r="H11" s="398">
        <v>0</v>
      </c>
      <c r="I11" s="398">
        <v>0</v>
      </c>
      <c r="J11" s="398">
        <v>0</v>
      </c>
      <c r="K11" s="399">
        <f t="shared" si="10"/>
        <v>15537069</v>
      </c>
      <c r="L11" s="396">
        <v>2019</v>
      </c>
      <c r="M11" s="398">
        <f t="shared" si="1"/>
        <v>29232189</v>
      </c>
      <c r="N11" s="398">
        <f t="shared" si="2"/>
        <v>6673753.7377930023</v>
      </c>
      <c r="O11" s="398">
        <f t="shared" si="3"/>
        <v>7815669.4940469237</v>
      </c>
      <c r="P11" s="398">
        <f t="shared" si="4"/>
        <v>10267066.018426483</v>
      </c>
      <c r="Q11" s="398">
        <f t="shared" si="5"/>
        <v>278694.2333333334</v>
      </c>
      <c r="R11" s="398">
        <f t="shared" si="6"/>
        <v>6284261.333333333</v>
      </c>
      <c r="S11" s="398">
        <f t="shared" si="7"/>
        <v>0</v>
      </c>
      <c r="T11" s="398">
        <f t="shared" si="8"/>
        <v>0</v>
      </c>
      <c r="U11" s="399">
        <f t="shared" si="9"/>
        <v>60551633.816933081</v>
      </c>
    </row>
    <row r="12" spans="1:21" x14ac:dyDescent="0.25">
      <c r="B12" s="400">
        <v>2022</v>
      </c>
      <c r="C12" s="398">
        <v>3433285</v>
      </c>
      <c r="D12" s="398">
        <v>1024538.9</v>
      </c>
      <c r="E12" s="398">
        <v>1428962.1500000001</v>
      </c>
      <c r="F12" s="398">
        <v>9649482.9499999993</v>
      </c>
      <c r="G12" s="398">
        <v>0</v>
      </c>
      <c r="H12" s="398">
        <v>0</v>
      </c>
      <c r="I12" s="398">
        <v>0</v>
      </c>
      <c r="J12" s="398">
        <v>0</v>
      </c>
      <c r="K12" s="399">
        <f t="shared" si="10"/>
        <v>15536269</v>
      </c>
      <c r="L12" s="396">
        <v>2020</v>
      </c>
      <c r="M12" s="398">
        <f t="shared" si="1"/>
        <v>29230324</v>
      </c>
      <c r="N12" s="398">
        <f t="shared" si="2"/>
        <v>6585301.5072964681</v>
      </c>
      <c r="O12" s="398">
        <f t="shared" si="3"/>
        <v>7784984.8386269649</v>
      </c>
      <c r="P12" s="398">
        <f t="shared" si="4"/>
        <v>10266934.348426484</v>
      </c>
      <c r="Q12" s="398">
        <f t="shared" si="5"/>
        <v>278474.34999999998</v>
      </c>
      <c r="R12" s="398">
        <f t="shared" si="6"/>
        <v>6288659</v>
      </c>
      <c r="S12" s="398">
        <f t="shared" si="7"/>
        <v>0</v>
      </c>
      <c r="T12" s="398">
        <f t="shared" si="8"/>
        <v>0</v>
      </c>
      <c r="U12" s="399">
        <f t="shared" si="9"/>
        <v>60434678.044349916</v>
      </c>
    </row>
    <row r="13" spans="1:21" x14ac:dyDescent="0.25">
      <c r="B13" s="397">
        <v>2023</v>
      </c>
      <c r="C13" s="398">
        <v>3411555</v>
      </c>
      <c r="D13" s="398">
        <v>1021515.6200000001</v>
      </c>
      <c r="E13" s="398">
        <v>1424745.4700000002</v>
      </c>
      <c r="F13" s="398">
        <v>9648766.9100000001</v>
      </c>
      <c r="G13" s="398">
        <v>0</v>
      </c>
      <c r="H13" s="398">
        <v>0</v>
      </c>
      <c r="I13" s="398">
        <v>0</v>
      </c>
      <c r="J13" s="398">
        <v>0</v>
      </c>
      <c r="K13" s="399">
        <f t="shared" si="10"/>
        <v>15506583</v>
      </c>
      <c r="L13" s="396">
        <v>2021</v>
      </c>
      <c r="M13" s="401">
        <f t="shared" ca="1" si="1"/>
        <v>29325549.003924955</v>
      </c>
      <c r="N13" s="401">
        <f t="shared" ca="1" si="2"/>
        <v>6868617.9604984438</v>
      </c>
      <c r="O13" s="401">
        <f t="shared" ca="1" si="3"/>
        <v>8636151.9035762586</v>
      </c>
      <c r="P13" s="401">
        <f t="shared" ca="1" si="4"/>
        <v>10396469.648205366</v>
      </c>
      <c r="Q13" s="401">
        <f t="shared" ca="1" si="5"/>
        <v>323627.69424030435</v>
      </c>
      <c r="R13" s="401">
        <f t="shared" si="6"/>
        <v>6296919</v>
      </c>
      <c r="S13" s="401">
        <f t="shared" si="7"/>
        <v>0</v>
      </c>
      <c r="T13" s="401">
        <f t="shared" si="8"/>
        <v>0</v>
      </c>
      <c r="U13" s="399">
        <f t="shared" ca="1" si="9"/>
        <v>61847335.21044533</v>
      </c>
    </row>
    <row r="14" spans="1:21" x14ac:dyDescent="0.25">
      <c r="B14" s="397">
        <v>2024</v>
      </c>
      <c r="C14" s="398">
        <v>3411555</v>
      </c>
      <c r="D14" s="398">
        <v>885399.24</v>
      </c>
      <c r="E14" s="398">
        <v>1234898.94</v>
      </c>
      <c r="F14" s="398">
        <v>9616528.8200000003</v>
      </c>
      <c r="G14" s="398">
        <v>0</v>
      </c>
      <c r="H14" s="398">
        <v>0</v>
      </c>
      <c r="I14" s="398">
        <v>0</v>
      </c>
      <c r="J14" s="398">
        <v>0</v>
      </c>
      <c r="K14" s="399">
        <f t="shared" si="10"/>
        <v>15148382</v>
      </c>
      <c r="L14" s="396">
        <v>2022</v>
      </c>
      <c r="M14" s="398">
        <f t="shared" ca="1" si="1"/>
        <v>29500616.95118802</v>
      </c>
      <c r="N14" s="398">
        <f t="shared" ca="1" si="2"/>
        <v>8005623.6327129789</v>
      </c>
      <c r="O14" s="398">
        <f t="shared" ca="1" si="3"/>
        <v>10681542.257982444</v>
      </c>
      <c r="P14" s="398">
        <f t="shared" ca="1" si="4"/>
        <v>10770035.63865887</v>
      </c>
      <c r="Q14" s="398">
        <f t="shared" ca="1" si="5"/>
        <v>414744.45476607583</v>
      </c>
      <c r="R14" s="398">
        <f t="shared" si="6"/>
        <v>5752413.4589334028</v>
      </c>
      <c r="S14" s="398">
        <f t="shared" si="7"/>
        <v>0</v>
      </c>
      <c r="T14" s="398">
        <f t="shared" si="8"/>
        <v>0</v>
      </c>
      <c r="U14" s="399">
        <f t="shared" ca="1" si="9"/>
        <v>65124976.394241795</v>
      </c>
    </row>
    <row r="15" spans="1:21" x14ac:dyDescent="0.25">
      <c r="B15" s="400">
        <v>2025</v>
      </c>
      <c r="C15" s="398">
        <v>3271033</v>
      </c>
      <c r="D15" s="398">
        <v>537467.82000000007</v>
      </c>
      <c r="E15" s="398">
        <v>749626.17</v>
      </c>
      <c r="F15" s="398">
        <v>9139843.0099999998</v>
      </c>
      <c r="G15" s="398">
        <v>0</v>
      </c>
      <c r="H15" s="398">
        <v>0</v>
      </c>
      <c r="I15" s="398">
        <v>0</v>
      </c>
      <c r="J15" s="398">
        <v>0</v>
      </c>
      <c r="K15" s="399">
        <f t="shared" si="10"/>
        <v>13697970</v>
      </c>
      <c r="L15" s="396">
        <v>2023</v>
      </c>
      <c r="M15" s="398">
        <f t="shared" ca="1" si="1"/>
        <v>29653776.32883602</v>
      </c>
      <c r="N15" s="398">
        <f t="shared" ca="1" si="2"/>
        <v>8942512.5232708063</v>
      </c>
      <c r="O15" s="398">
        <f t="shared" ca="1" si="3"/>
        <v>12477506.8221408</v>
      </c>
      <c r="P15" s="398">
        <f t="shared" ca="1" si="4"/>
        <v>11315787.568566125</v>
      </c>
      <c r="Q15" s="398">
        <f t="shared" ca="1" si="5"/>
        <v>517198.52568385785</v>
      </c>
      <c r="R15" s="398">
        <f t="shared" si="6"/>
        <v>5752413.4589334028</v>
      </c>
      <c r="S15" s="398">
        <f t="shared" si="7"/>
        <v>0</v>
      </c>
      <c r="T15" s="398">
        <f t="shared" si="8"/>
        <v>0</v>
      </c>
      <c r="U15" s="399">
        <f t="shared" ca="1" si="9"/>
        <v>68659195.227431014</v>
      </c>
    </row>
    <row r="16" spans="1:21" x14ac:dyDescent="0.25">
      <c r="B16" s="397">
        <v>2026</v>
      </c>
      <c r="C16" s="398">
        <v>3215018</v>
      </c>
      <c r="D16" s="398">
        <v>472781.93999999994</v>
      </c>
      <c r="E16" s="398">
        <v>659406.39</v>
      </c>
      <c r="F16" s="398">
        <v>9124522.6699999999</v>
      </c>
      <c r="G16" s="398">
        <v>0</v>
      </c>
      <c r="H16" s="398">
        <v>0</v>
      </c>
      <c r="I16" s="398">
        <v>0</v>
      </c>
      <c r="J16" s="398">
        <v>0</v>
      </c>
      <c r="K16" s="399">
        <f t="shared" si="10"/>
        <v>13471729</v>
      </c>
      <c r="L16" s="396">
        <v>2024</v>
      </c>
      <c r="M16" s="401">
        <f t="shared" ca="1" si="1"/>
        <v>30767232.034155205</v>
      </c>
      <c r="N16" s="401">
        <f t="shared" ca="1" si="2"/>
        <v>9978626.7263550218</v>
      </c>
      <c r="O16" s="401">
        <f t="shared" ca="1" si="3"/>
        <v>14195316.037998684</v>
      </c>
      <c r="P16" s="401">
        <f t="shared" ca="1" si="4"/>
        <v>12646208.332555249</v>
      </c>
      <c r="Q16" s="401">
        <f t="shared" ca="1" si="5"/>
        <v>661569.17556152958</v>
      </c>
      <c r="R16" s="401">
        <f t="shared" si="6"/>
        <v>5752413.4589334028</v>
      </c>
      <c r="S16" s="401">
        <f t="shared" si="7"/>
        <v>0</v>
      </c>
      <c r="T16" s="401">
        <f t="shared" si="8"/>
        <v>0</v>
      </c>
      <c r="U16" s="399">
        <f t="shared" ca="1" si="9"/>
        <v>74001365.765559092</v>
      </c>
    </row>
    <row r="17" spans="1:23" x14ac:dyDescent="0.25">
      <c r="C17" s="398"/>
      <c r="D17" s="398"/>
      <c r="E17" s="398"/>
      <c r="F17" s="398"/>
      <c r="G17" s="398"/>
      <c r="H17" s="398"/>
      <c r="I17" s="398"/>
      <c r="J17" s="398"/>
      <c r="K17" s="399"/>
      <c r="L17" s="396">
        <v>2025</v>
      </c>
      <c r="M17" s="398">
        <f t="shared" ca="1" si="1"/>
        <v>33171462.64724857</v>
      </c>
      <c r="N17" s="398">
        <f t="shared" ca="1" si="2"/>
        <v>11512199.160796089</v>
      </c>
      <c r="O17" s="398">
        <f t="shared" ca="1" si="3"/>
        <v>16810695.812217154</v>
      </c>
      <c r="P17" s="398">
        <f t="shared" ca="1" si="4"/>
        <v>14357507.501363162</v>
      </c>
      <c r="Q17" s="398">
        <f t="shared" ca="1" si="5"/>
        <v>876272.26232741459</v>
      </c>
      <c r="R17" s="398">
        <f t="shared" si="6"/>
        <v>5746107.4708899613</v>
      </c>
      <c r="S17" s="398">
        <f t="shared" si="7"/>
        <v>0</v>
      </c>
      <c r="T17" s="398">
        <f t="shared" si="8"/>
        <v>0</v>
      </c>
      <c r="U17" s="399">
        <f t="shared" ca="1" si="9"/>
        <v>82474244.85484235</v>
      </c>
    </row>
    <row r="18" spans="1:23" x14ac:dyDescent="0.25">
      <c r="A18" s="396">
        <v>2016</v>
      </c>
      <c r="B18" s="400">
        <v>2016</v>
      </c>
      <c r="C18" s="398">
        <v>9359947</v>
      </c>
      <c r="D18" s="398">
        <v>2424031.85</v>
      </c>
      <c r="E18" s="398">
        <v>1620090.7799999998</v>
      </c>
      <c r="F18" s="398">
        <v>614588.37</v>
      </c>
      <c r="G18" s="398">
        <v>0</v>
      </c>
      <c r="H18" s="398">
        <v>0</v>
      </c>
      <c r="I18" s="398"/>
      <c r="J18" s="398">
        <v>0</v>
      </c>
      <c r="K18" s="399">
        <f t="shared" si="10"/>
        <v>14018657.999999998</v>
      </c>
      <c r="L18" s="396">
        <v>2026</v>
      </c>
      <c r="M18" s="398">
        <f t="shared" ca="1" si="1"/>
        <v>36121724.259238862</v>
      </c>
      <c r="N18" s="398">
        <f t="shared" ca="1" si="2"/>
        <v>13287152.537534429</v>
      </c>
      <c r="O18" s="398">
        <f t="shared" ca="1" si="3"/>
        <v>20033367.701693278</v>
      </c>
      <c r="P18" s="398">
        <f t="shared" ca="1" si="4"/>
        <v>16699268.107629495</v>
      </c>
      <c r="Q18" s="398">
        <f t="shared" ca="1" si="5"/>
        <v>1089945.4613499299</v>
      </c>
      <c r="R18" s="398">
        <f t="shared" si="6"/>
        <v>5746107.4708899613</v>
      </c>
      <c r="S18" s="398">
        <f t="shared" si="7"/>
        <v>0</v>
      </c>
      <c r="T18" s="398">
        <f t="shared" si="8"/>
        <v>0</v>
      </c>
      <c r="U18" s="399">
        <f t="shared" ca="1" si="9"/>
        <v>92977565.538335949</v>
      </c>
    </row>
    <row r="19" spans="1:23" x14ac:dyDescent="0.25">
      <c r="A19" s="402"/>
      <c r="B19" s="397">
        <v>2017</v>
      </c>
      <c r="C19" s="398">
        <v>9359947</v>
      </c>
      <c r="D19" s="398">
        <v>2424000.6672964673</v>
      </c>
      <c r="E19" s="398">
        <v>1620057.1986269648</v>
      </c>
      <c r="F19" s="398">
        <v>614573.17842648411</v>
      </c>
      <c r="G19" s="398">
        <v>0</v>
      </c>
      <c r="H19" s="398">
        <v>0</v>
      </c>
      <c r="I19" s="398">
        <v>0</v>
      </c>
      <c r="J19" s="398">
        <v>0</v>
      </c>
      <c r="K19" s="399">
        <f t="shared" si="10"/>
        <v>14018578.044349916</v>
      </c>
    </row>
    <row r="20" spans="1:23" x14ac:dyDescent="0.25">
      <c r="A20" s="402"/>
      <c r="B20" s="400">
        <v>2018</v>
      </c>
      <c r="C20" s="398">
        <v>9359947</v>
      </c>
      <c r="D20" s="398">
        <v>2418351.4572964674</v>
      </c>
      <c r="E20" s="398">
        <v>1622770.098626965</v>
      </c>
      <c r="F20" s="398">
        <v>617451.48842648417</v>
      </c>
      <c r="G20" s="398">
        <v>0</v>
      </c>
      <c r="H20" s="398">
        <v>0</v>
      </c>
      <c r="I20" s="398">
        <v>0</v>
      </c>
      <c r="J20" s="398">
        <v>0</v>
      </c>
      <c r="K20" s="399">
        <f t="shared" si="10"/>
        <v>14018520.044349918</v>
      </c>
      <c r="M20" s="401"/>
      <c r="N20" s="401"/>
      <c r="O20" s="401"/>
      <c r="P20" s="401"/>
      <c r="Q20" s="401"/>
      <c r="R20" s="401"/>
      <c r="S20" s="401"/>
      <c r="T20" s="401"/>
      <c r="U20" s="399"/>
    </row>
    <row r="21" spans="1:23" x14ac:dyDescent="0.25">
      <c r="A21" s="402"/>
      <c r="B21" s="400">
        <v>2019</v>
      </c>
      <c r="C21" s="398">
        <v>9359947</v>
      </c>
      <c r="D21" s="398">
        <v>2295809.8172964673</v>
      </c>
      <c r="E21" s="398">
        <v>1584072.7386269649</v>
      </c>
      <c r="F21" s="398">
        <v>617451.48842648417</v>
      </c>
      <c r="G21" s="398">
        <v>0</v>
      </c>
      <c r="H21" s="398">
        <v>0</v>
      </c>
      <c r="I21" s="398">
        <v>0</v>
      </c>
      <c r="J21" s="398">
        <v>0</v>
      </c>
      <c r="K21" s="399">
        <f t="shared" si="10"/>
        <v>13857281.044349916</v>
      </c>
      <c r="M21" s="398"/>
      <c r="N21" s="398"/>
      <c r="O21" s="398"/>
      <c r="P21" s="398"/>
      <c r="Q21" s="398"/>
      <c r="R21" s="398"/>
      <c r="S21" s="398"/>
      <c r="T21" s="398"/>
      <c r="U21" s="399"/>
    </row>
    <row r="22" spans="1:23" x14ac:dyDescent="0.25">
      <c r="A22" s="402"/>
      <c r="B22" s="397">
        <v>2020</v>
      </c>
      <c r="C22" s="398">
        <v>9359947</v>
      </c>
      <c r="D22" s="398">
        <v>2204656.1772964676</v>
      </c>
      <c r="E22" s="398">
        <v>1555287.378626965</v>
      </c>
      <c r="F22" s="398">
        <v>617451.48842648417</v>
      </c>
      <c r="G22" s="398">
        <v>0</v>
      </c>
      <c r="H22" s="398">
        <v>0</v>
      </c>
      <c r="I22" s="398">
        <v>0</v>
      </c>
      <c r="J22" s="398">
        <v>0</v>
      </c>
      <c r="K22" s="399">
        <f t="shared" si="10"/>
        <v>13737342.044349916</v>
      </c>
      <c r="M22" s="398"/>
      <c r="N22" s="398"/>
      <c r="O22" s="398"/>
      <c r="P22" s="398"/>
      <c r="Q22" s="398"/>
      <c r="R22" s="398"/>
      <c r="S22" s="398"/>
      <c r="T22" s="398"/>
      <c r="U22" s="399"/>
    </row>
    <row r="23" spans="1:23" x14ac:dyDescent="0.25">
      <c r="B23" s="397">
        <v>2021</v>
      </c>
      <c r="C23" s="398">
        <v>9359947</v>
      </c>
      <c r="D23" s="398">
        <v>1854295.5844861702</v>
      </c>
      <c r="E23" s="398">
        <v>1438690.3217543373</v>
      </c>
      <c r="F23" s="398">
        <v>613638.66936505726</v>
      </c>
      <c r="G23" s="398">
        <v>0</v>
      </c>
      <c r="H23" s="398">
        <v>0</v>
      </c>
      <c r="I23" s="398">
        <v>0</v>
      </c>
      <c r="J23" s="398">
        <v>0</v>
      </c>
      <c r="K23" s="399">
        <f t="shared" si="10"/>
        <v>13266571.575605566</v>
      </c>
    </row>
    <row r="24" spans="1:23" x14ac:dyDescent="0.25">
      <c r="B24" s="400">
        <v>2022</v>
      </c>
      <c r="C24" s="398">
        <v>9359947</v>
      </c>
      <c r="D24" s="398">
        <v>1643061.1844861703</v>
      </c>
      <c r="E24" s="398">
        <v>1371984.7217543374</v>
      </c>
      <c r="F24" s="398">
        <v>613638.66936505726</v>
      </c>
      <c r="G24" s="398">
        <v>0</v>
      </c>
      <c r="H24" s="398">
        <v>0</v>
      </c>
      <c r="I24" s="398">
        <v>0</v>
      </c>
      <c r="J24" s="398">
        <v>0</v>
      </c>
      <c r="K24" s="399">
        <f t="shared" si="10"/>
        <v>12988631.575605564</v>
      </c>
      <c r="M24" s="398"/>
      <c r="W24" s="398"/>
    </row>
    <row r="25" spans="1:23" x14ac:dyDescent="0.25">
      <c r="B25" s="397">
        <v>2023</v>
      </c>
      <c r="C25" s="398">
        <v>9358824</v>
      </c>
      <c r="D25" s="398">
        <v>1557401.5844861702</v>
      </c>
      <c r="E25" s="398">
        <v>1344934.3217543373</v>
      </c>
      <c r="F25" s="398">
        <v>613638.66936505726</v>
      </c>
      <c r="G25" s="398">
        <v>0</v>
      </c>
      <c r="H25" s="398">
        <v>0</v>
      </c>
      <c r="I25" s="398">
        <v>0</v>
      </c>
      <c r="J25" s="398">
        <v>0</v>
      </c>
      <c r="K25" s="399">
        <f t="shared" si="10"/>
        <v>12874798.575605566</v>
      </c>
      <c r="M25" s="398"/>
      <c r="W25" s="398"/>
    </row>
    <row r="26" spans="1:23" x14ac:dyDescent="0.25">
      <c r="B26" s="397">
        <v>2024</v>
      </c>
      <c r="C26" s="398">
        <v>9358824</v>
      </c>
      <c r="D26" s="398">
        <v>1441479.7578876079</v>
      </c>
      <c r="E26" s="398">
        <v>1306738.5577251161</v>
      </c>
      <c r="F26" s="398">
        <v>612621.67897088593</v>
      </c>
      <c r="G26" s="398">
        <v>0</v>
      </c>
      <c r="H26" s="398">
        <v>0</v>
      </c>
      <c r="I26" s="398">
        <v>0</v>
      </c>
      <c r="J26" s="398">
        <v>0</v>
      </c>
      <c r="K26" s="399">
        <f t="shared" si="10"/>
        <v>12719663.99458361</v>
      </c>
      <c r="M26" s="396" t="str">
        <f>M5</f>
        <v>Residential</v>
      </c>
      <c r="N26" s="396" t="str">
        <f t="shared" ref="N26:T26" si="11">N5</f>
        <v>GS&lt;50 kW</v>
      </c>
      <c r="O26" s="396" t="str">
        <f t="shared" si="11"/>
        <v>GS 50 to 999 kW (I1 &amp; I4)</v>
      </c>
      <c r="P26" s="396" t="str">
        <f t="shared" si="11"/>
        <v>GS 1,000 to 4,999 kW (I2)</v>
      </c>
      <c r="Q26" s="396" t="str">
        <f t="shared" si="11"/>
        <v>Large Use (I3)</v>
      </c>
      <c r="R26" s="396" t="str">
        <f t="shared" si="11"/>
        <v>Street Lighting</v>
      </c>
      <c r="S26" s="396" t="str">
        <f t="shared" si="11"/>
        <v>USL</v>
      </c>
      <c r="T26" s="396" t="str">
        <f t="shared" si="11"/>
        <v>Sentinel Lights</v>
      </c>
      <c r="W26" s="398"/>
    </row>
    <row r="27" spans="1:23" x14ac:dyDescent="0.25">
      <c r="B27" s="400">
        <v>2025</v>
      </c>
      <c r="C27" s="398">
        <v>9329089</v>
      </c>
      <c r="D27" s="398">
        <v>1310997.2478876079</v>
      </c>
      <c r="E27" s="398">
        <v>1265397.8977251162</v>
      </c>
      <c r="F27" s="398">
        <v>612534.84897088585</v>
      </c>
      <c r="G27" s="398">
        <v>0</v>
      </c>
      <c r="H27" s="398">
        <v>0</v>
      </c>
      <c r="I27" s="398">
        <v>0</v>
      </c>
      <c r="J27" s="398">
        <v>0</v>
      </c>
      <c r="K27" s="399">
        <f t="shared" si="10"/>
        <v>12518018.99458361</v>
      </c>
      <c r="L27" s="396">
        <v>2024</v>
      </c>
      <c r="M27" s="403">
        <f ca="1">SUMIFS(C$4:C$88,$B$4:$B$88,$L27)-C86/2</f>
        <v>30767232.034155205</v>
      </c>
      <c r="N27" s="403">
        <f t="shared" ref="N27:T27" ca="1" si="12">SUMIFS(D$4:D$88,$B$4:$B$88,$L27)-D86/2</f>
        <v>9978626.7263550218</v>
      </c>
      <c r="O27" s="403">
        <f t="shared" ca="1" si="12"/>
        <v>14195316.037998684</v>
      </c>
      <c r="P27" s="403">
        <f t="shared" ca="1" si="12"/>
        <v>12646208.332555249</v>
      </c>
      <c r="Q27" s="403">
        <f t="shared" ca="1" si="12"/>
        <v>661569.17556152958</v>
      </c>
      <c r="R27" s="403">
        <f t="shared" si="12"/>
        <v>5752413.4589334028</v>
      </c>
      <c r="S27" s="403">
        <f t="shared" si="12"/>
        <v>0</v>
      </c>
      <c r="T27" s="403">
        <f t="shared" si="12"/>
        <v>0</v>
      </c>
      <c r="U27" s="399">
        <f ca="1">SUM(M27:T27)</f>
        <v>74001365.765559092</v>
      </c>
      <c r="W27" s="398"/>
    </row>
    <row r="28" spans="1:23" x14ac:dyDescent="0.25">
      <c r="B28" s="397">
        <v>2026</v>
      </c>
      <c r="C28" s="398">
        <v>9243405</v>
      </c>
      <c r="D28" s="398">
        <v>1184762.0188705858</v>
      </c>
      <c r="E28" s="398">
        <v>1205238.2480144768</v>
      </c>
      <c r="F28" s="398">
        <v>550055.03791131102</v>
      </c>
      <c r="G28" s="398">
        <v>0</v>
      </c>
      <c r="H28" s="398">
        <v>0</v>
      </c>
      <c r="I28" s="398">
        <v>0</v>
      </c>
      <c r="J28" s="398">
        <v>0</v>
      </c>
      <c r="K28" s="399">
        <f t="shared" si="10"/>
        <v>12183460.304796373</v>
      </c>
      <c r="L28" s="396">
        <v>2025</v>
      </c>
      <c r="M28" s="403">
        <f ca="1">SUMIFS(C$4:C$88,$B$4:$B$88,$L28)-C87/2</f>
        <v>30423648.344270725</v>
      </c>
      <c r="N28" s="403">
        <f t="shared" ref="N28:T28" ca="1" si="13">SUMIFS(D$4:D$88,$B$4:$B$88,$L28)-D87/2</f>
        <v>9298051.7731024548</v>
      </c>
      <c r="O28" s="403">
        <f t="shared" ca="1" si="13"/>
        <v>13577001.024403486</v>
      </c>
      <c r="P28" s="403">
        <f t="shared" ca="1" si="13"/>
        <v>12169724.379837707</v>
      </c>
      <c r="Q28" s="403">
        <f t="shared" ca="1" si="13"/>
        <v>660904.57544029912</v>
      </c>
      <c r="R28" s="403">
        <f t="shared" si="13"/>
        <v>5746107.4708899613</v>
      </c>
      <c r="S28" s="403">
        <f t="shared" si="13"/>
        <v>0</v>
      </c>
      <c r="T28" s="403">
        <f t="shared" si="13"/>
        <v>0</v>
      </c>
      <c r="U28" s="399">
        <f ca="1">SUM(M28:T28)</f>
        <v>71875437.567944631</v>
      </c>
      <c r="W28" s="398"/>
    </row>
    <row r="29" spans="1:23" x14ac:dyDescent="0.25">
      <c r="C29" s="404"/>
      <c r="D29" s="404"/>
      <c r="E29" s="404"/>
      <c r="F29" s="404"/>
      <c r="G29" s="404"/>
      <c r="H29" s="404"/>
      <c r="I29" s="404"/>
      <c r="J29" s="404"/>
      <c r="K29" s="399"/>
      <c r="L29" s="396">
        <v>2026</v>
      </c>
      <c r="M29" s="403">
        <f ca="1">SUMIFS(C$4:C$88,$B$4:$B$88,$L29)-C88/2</f>
        <v>30113205.235588811</v>
      </c>
      <c r="N29" s="403">
        <f t="shared" ref="N29:T29" ca="1" si="14">SUMIFS(D$4:D$88,$B$4:$B$88,$L29)-D88/2</f>
        <v>8753509.2851200663</v>
      </c>
      <c r="O29" s="403">
        <f t="shared" ca="1" si="14"/>
        <v>13211144.60098196</v>
      </c>
      <c r="P29" s="403">
        <f t="shared" ca="1" si="14"/>
        <v>12092333.972915361</v>
      </c>
      <c r="Q29" s="403">
        <f t="shared" ca="1" si="14"/>
        <v>652621.62095760205</v>
      </c>
      <c r="R29" s="403">
        <f t="shared" si="14"/>
        <v>5746107.4708899613</v>
      </c>
      <c r="S29" s="403">
        <f t="shared" si="14"/>
        <v>0</v>
      </c>
      <c r="T29" s="403">
        <f t="shared" si="14"/>
        <v>0</v>
      </c>
      <c r="U29" s="399">
        <f ca="1">SUM(M29:T29)</f>
        <v>70568922.18645376</v>
      </c>
      <c r="W29" s="398"/>
    </row>
    <row r="30" spans="1:23" x14ac:dyDescent="0.25">
      <c r="A30" s="396">
        <v>2017</v>
      </c>
      <c r="B30" s="397">
        <v>2017</v>
      </c>
      <c r="C30" s="404">
        <v>16824259</v>
      </c>
      <c r="D30" s="404">
        <v>2515338.0099999998</v>
      </c>
      <c r="E30" s="404">
        <v>3524477.64</v>
      </c>
      <c r="F30" s="404">
        <v>0</v>
      </c>
      <c r="G30" s="404">
        <v>278887.34999999998</v>
      </c>
      <c r="H30" s="404">
        <v>6288659</v>
      </c>
      <c r="I30" s="404">
        <v>0</v>
      </c>
      <c r="J30" s="404">
        <v>0</v>
      </c>
      <c r="K30" s="399">
        <f t="shared" si="10"/>
        <v>29431621</v>
      </c>
    </row>
    <row r="31" spans="1:23" x14ac:dyDescent="0.25">
      <c r="B31" s="400">
        <v>2018</v>
      </c>
      <c r="C31" s="404">
        <v>13242368</v>
      </c>
      <c r="D31" s="404">
        <v>2515525.3766666669</v>
      </c>
      <c r="E31" s="404">
        <v>3524798.84</v>
      </c>
      <c r="F31" s="404">
        <v>0</v>
      </c>
      <c r="G31" s="404">
        <v>278914.1166666667</v>
      </c>
      <c r="H31" s="404">
        <v>6279863.666666666</v>
      </c>
      <c r="I31" s="404">
        <v>0</v>
      </c>
      <c r="J31" s="404">
        <v>0</v>
      </c>
      <c r="K31" s="399">
        <f t="shared" si="10"/>
        <v>25841470</v>
      </c>
      <c r="M31" s="398"/>
    </row>
    <row r="32" spans="1:23" x14ac:dyDescent="0.25">
      <c r="B32" s="400">
        <v>2019</v>
      </c>
      <c r="C32" s="404">
        <v>13242368</v>
      </c>
      <c r="D32" s="404">
        <v>2509211.1133333333</v>
      </c>
      <c r="E32" s="404">
        <v>3520652.32</v>
      </c>
      <c r="F32" s="404">
        <v>0</v>
      </c>
      <c r="G32" s="404">
        <v>278694.2333333334</v>
      </c>
      <c r="H32" s="404">
        <v>6284261.333333333</v>
      </c>
      <c r="I32" s="404">
        <v>0</v>
      </c>
      <c r="J32" s="404">
        <v>0</v>
      </c>
      <c r="K32" s="399">
        <f t="shared" si="10"/>
        <v>25835187</v>
      </c>
      <c r="M32" s="398"/>
    </row>
    <row r="33" spans="1:23" x14ac:dyDescent="0.25">
      <c r="B33" s="397">
        <v>2020</v>
      </c>
      <c r="C33" s="404">
        <v>13242368</v>
      </c>
      <c r="D33" s="404">
        <v>2478083.61</v>
      </c>
      <c r="E33" s="404">
        <v>3508670.04</v>
      </c>
      <c r="F33" s="404">
        <v>0</v>
      </c>
      <c r="G33" s="404">
        <v>278474.34999999998</v>
      </c>
      <c r="H33" s="404">
        <v>6288659</v>
      </c>
      <c r="I33" s="404">
        <v>0</v>
      </c>
      <c r="J33" s="404">
        <v>0</v>
      </c>
      <c r="K33" s="399">
        <f t="shared" si="10"/>
        <v>25796255</v>
      </c>
      <c r="L33" s="1"/>
      <c r="M33" s="405"/>
      <c r="N33" s="405"/>
      <c r="O33" s="405"/>
      <c r="P33" s="405"/>
      <c r="Q33" s="405"/>
    </row>
    <row r="34" spans="1:23" x14ac:dyDescent="0.25">
      <c r="B34" s="397">
        <v>2021</v>
      </c>
      <c r="C34" s="404">
        <v>13242087</v>
      </c>
      <c r="D34" s="404">
        <v>2443300.6899999995</v>
      </c>
      <c r="E34" s="404">
        <v>3497685.96</v>
      </c>
      <c r="F34" s="404">
        <v>0</v>
      </c>
      <c r="G34" s="404">
        <v>278474.34999999998</v>
      </c>
      <c r="H34" s="404">
        <v>6296919</v>
      </c>
      <c r="I34" s="404">
        <v>0</v>
      </c>
      <c r="J34" s="404">
        <v>0</v>
      </c>
      <c r="K34" s="399">
        <f t="shared" si="10"/>
        <v>25758467</v>
      </c>
      <c r="L34" s="1"/>
      <c r="M34" s="405"/>
      <c r="N34" s="405"/>
      <c r="O34" s="405"/>
      <c r="P34" s="405"/>
      <c r="Q34" s="405"/>
    </row>
    <row r="35" spans="1:23" x14ac:dyDescent="0.25">
      <c r="B35" s="400">
        <v>2022</v>
      </c>
      <c r="C35" s="404">
        <v>13241425</v>
      </c>
      <c r="D35" s="404">
        <v>2173569.8793360302</v>
      </c>
      <c r="E35" s="404">
        <v>3176775.7017189092</v>
      </c>
      <c r="F35" s="404">
        <v>0</v>
      </c>
      <c r="G35" s="404">
        <v>254394.18847657577</v>
      </c>
      <c r="H35" s="404">
        <v>5752413.4589334028</v>
      </c>
      <c r="I35" s="404">
        <v>0</v>
      </c>
      <c r="J35" s="404">
        <v>0</v>
      </c>
      <c r="K35" s="399">
        <f t="shared" si="10"/>
        <v>24598578.228464916</v>
      </c>
      <c r="L35" s="1"/>
      <c r="M35" s="405"/>
      <c r="N35" s="405"/>
      <c r="O35" s="405"/>
      <c r="P35" s="405"/>
      <c r="Q35" s="405"/>
    </row>
    <row r="36" spans="1:23" x14ac:dyDescent="0.25">
      <c r="B36" s="397">
        <v>2023</v>
      </c>
      <c r="C36" s="404">
        <v>13241425</v>
      </c>
      <c r="D36" s="404">
        <v>2010232.9593360303</v>
      </c>
      <c r="E36" s="404">
        <v>3125195.6217189091</v>
      </c>
      <c r="F36" s="404">
        <v>0</v>
      </c>
      <c r="G36" s="404">
        <v>254394.18847657577</v>
      </c>
      <c r="H36" s="404">
        <v>5752413.4589334028</v>
      </c>
      <c r="I36" s="404">
        <v>0</v>
      </c>
      <c r="J36" s="404">
        <v>0</v>
      </c>
      <c r="K36" s="399">
        <f t="shared" si="10"/>
        <v>24383661.22846492</v>
      </c>
      <c r="L36" s="1"/>
      <c r="M36" s="405" t="str">
        <f>M26</f>
        <v>Residential</v>
      </c>
      <c r="N36" s="405" t="str">
        <f>N26</f>
        <v>GS&lt;50 kW</v>
      </c>
      <c r="O36" s="405" t="str">
        <f>O26</f>
        <v>GS 50 to 999 kW (I1 &amp; I4)</v>
      </c>
      <c r="P36" s="405" t="str">
        <f>P26</f>
        <v>GS 1,000 to 4,999 kW (I2)</v>
      </c>
      <c r="Q36" s="405" t="str">
        <f>Q26</f>
        <v>Large Use (I3)</v>
      </c>
      <c r="R36" s="405"/>
      <c r="S36" s="398"/>
      <c r="T36" s="398"/>
      <c r="U36" s="398"/>
      <c r="V36" s="398"/>
    </row>
    <row r="37" spans="1:23" x14ac:dyDescent="0.25">
      <c r="B37" s="397">
        <v>2024</v>
      </c>
      <c r="C37" s="404">
        <v>13241274.911516305</v>
      </c>
      <c r="D37" s="404">
        <v>1996869.8793360302</v>
      </c>
      <c r="E37" s="404">
        <v>3120975.7017189092</v>
      </c>
      <c r="F37" s="404">
        <v>0</v>
      </c>
      <c r="G37" s="404">
        <v>254394.18847657577</v>
      </c>
      <c r="H37" s="404">
        <v>5752413.4589334028</v>
      </c>
      <c r="I37" s="404">
        <v>0</v>
      </c>
      <c r="J37" s="404">
        <v>0</v>
      </c>
      <c r="K37" s="399">
        <f t="shared" si="10"/>
        <v>24365928.139981221</v>
      </c>
      <c r="L37" s="1">
        <v>2015</v>
      </c>
      <c r="M37" s="405">
        <f>M7</f>
        <v>1745859</v>
      </c>
      <c r="N37" s="405">
        <f>N7</f>
        <v>515127.62</v>
      </c>
      <c r="O37" s="405">
        <f>O7</f>
        <v>718467.47000000009</v>
      </c>
      <c r="P37" s="405">
        <f>P7</f>
        <v>4825418.41</v>
      </c>
      <c r="Q37" s="405">
        <f>Q7</f>
        <v>0</v>
      </c>
      <c r="R37" s="398"/>
      <c r="S37" s="398"/>
      <c r="T37" s="398"/>
      <c r="U37" s="398"/>
      <c r="V37" s="398"/>
    </row>
    <row r="38" spans="1:23" x14ac:dyDescent="0.25">
      <c r="B38" s="400">
        <v>2025</v>
      </c>
      <c r="C38" s="404">
        <v>13241274.911516305</v>
      </c>
      <c r="D38" s="404">
        <v>1958475.7514063972</v>
      </c>
      <c r="E38" s="404">
        <v>3106121.1966966814</v>
      </c>
      <c r="F38" s="404">
        <v>0</v>
      </c>
      <c r="G38" s="404">
        <v>254115.31305805678</v>
      </c>
      <c r="H38" s="404">
        <v>5746107.4708899613</v>
      </c>
      <c r="I38" s="404">
        <v>0</v>
      </c>
      <c r="J38" s="404">
        <v>0</v>
      </c>
      <c r="K38" s="399">
        <f t="shared" si="10"/>
        <v>24306094.643567398</v>
      </c>
      <c r="L38" s="1">
        <f t="shared" ref="L38:L46" si="15">L8</f>
        <v>2016</v>
      </c>
      <c r="M38" s="405">
        <f t="shared" ref="M38:O46" si="16">M8-M7</f>
        <v>6383645.5</v>
      </c>
      <c r="N38" s="405">
        <f t="shared" si="16"/>
        <v>1727143.5449999999</v>
      </c>
      <c r="O38" s="405">
        <f t="shared" si="16"/>
        <v>1528512.8599999999</v>
      </c>
      <c r="P38" s="405">
        <f t="shared" ref="P38:Q46" si="17">P8-P7</f>
        <v>5132712.5949999988</v>
      </c>
      <c r="Q38" s="405">
        <f t="shared" si="17"/>
        <v>0</v>
      </c>
      <c r="R38" s="398" t="s">
        <v>195</v>
      </c>
      <c r="S38" s="398"/>
      <c r="T38" s="398"/>
      <c r="U38" s="398"/>
      <c r="V38" s="398"/>
    </row>
    <row r="39" spans="1:23" x14ac:dyDescent="0.25">
      <c r="B39" s="397">
        <v>2026</v>
      </c>
      <c r="C39" s="404">
        <v>13226762.673903767</v>
      </c>
      <c r="D39" s="262">
        <v>1913889.5914063971</v>
      </c>
      <c r="E39" s="404">
        <v>3092041.3566966816</v>
      </c>
      <c r="F39" s="404">
        <v>0</v>
      </c>
      <c r="G39" s="404">
        <v>254115.31305805678</v>
      </c>
      <c r="H39" s="404">
        <v>5746107.4708899613</v>
      </c>
      <c r="I39" s="404">
        <v>0</v>
      </c>
      <c r="J39" s="404">
        <v>0</v>
      </c>
      <c r="K39" s="399">
        <f t="shared" si="10"/>
        <v>24232916.40595486</v>
      </c>
      <c r="L39" s="1">
        <f t="shared" si="15"/>
        <v>2017</v>
      </c>
      <c r="M39" s="405">
        <f t="shared" si="16"/>
        <v>13089379</v>
      </c>
      <c r="N39" s="405">
        <f t="shared" si="16"/>
        <v>2469653.7472964674</v>
      </c>
      <c r="O39" s="405">
        <f t="shared" si="16"/>
        <v>2572250.628626965</v>
      </c>
      <c r="P39" s="405">
        <f t="shared" si="17"/>
        <v>307278.99342648499</v>
      </c>
      <c r="Q39" s="405">
        <f t="shared" si="17"/>
        <v>139443.67499999999</v>
      </c>
      <c r="T39" s="398"/>
      <c r="U39" s="398"/>
      <c r="V39" s="398"/>
    </row>
    <row r="40" spans="1:23" x14ac:dyDescent="0.25">
      <c r="C40" s="404"/>
      <c r="D40" s="404"/>
      <c r="E40" s="404"/>
      <c r="F40" s="404"/>
      <c r="G40" s="404"/>
      <c r="H40" s="404"/>
      <c r="I40" s="404"/>
      <c r="J40" s="404"/>
      <c r="K40" s="399"/>
      <c r="L40" s="1">
        <f t="shared" si="15"/>
        <v>2018</v>
      </c>
      <c r="M40" s="405">
        <f t="shared" si="16"/>
        <v>6433871.3560417779</v>
      </c>
      <c r="N40" s="405">
        <f t="shared" si="16"/>
        <v>1686797.319189054</v>
      </c>
      <c r="O40" s="405">
        <f t="shared" si="16"/>
        <v>2406862.9830434006</v>
      </c>
      <c r="P40" s="405">
        <f t="shared" si="17"/>
        <v>1656.019999999553</v>
      </c>
      <c r="Q40" s="405">
        <f t="shared" si="17"/>
        <v>139470.44166666671</v>
      </c>
      <c r="U40" s="398"/>
      <c r="V40" s="398"/>
      <c r="W40" s="406"/>
    </row>
    <row r="41" spans="1:23" x14ac:dyDescent="0.25">
      <c r="A41" s="396">
        <v>2018</v>
      </c>
      <c r="B41" s="400">
        <v>2018</v>
      </c>
      <c r="C41" s="404">
        <v>3211983.7120835511</v>
      </c>
      <c r="D41" s="404">
        <v>879501.87504477438</v>
      </c>
      <c r="E41" s="404">
        <v>1297575.9860867995</v>
      </c>
      <c r="F41" s="404">
        <v>0</v>
      </c>
      <c r="G41" s="404">
        <v>0</v>
      </c>
      <c r="H41" s="404">
        <v>0</v>
      </c>
      <c r="I41" s="404">
        <v>0</v>
      </c>
      <c r="J41" s="404">
        <v>0</v>
      </c>
      <c r="K41" s="399">
        <f>SUM(C41:J41)</f>
        <v>5389061.5732151251</v>
      </c>
      <c r="L41" s="1">
        <f t="shared" si="15"/>
        <v>2019</v>
      </c>
      <c r="M41" s="405">
        <f t="shared" si="16"/>
        <v>1579434.1439582221</v>
      </c>
      <c r="N41" s="405">
        <f>N11-N10</f>
        <v>275031.50630748086</v>
      </c>
      <c r="O41" s="405">
        <f t="shared" si="16"/>
        <v>589575.55237655807</v>
      </c>
      <c r="P41" s="405">
        <f t="shared" si="17"/>
        <v>0</v>
      </c>
      <c r="Q41" s="405">
        <f t="shared" si="17"/>
        <v>-219.88333333330229</v>
      </c>
      <c r="V41" s="398"/>
    </row>
    <row r="42" spans="1:23" x14ac:dyDescent="0.25">
      <c r="B42" s="400">
        <v>2019</v>
      </c>
      <c r="C42" s="404">
        <v>3188821</v>
      </c>
      <c r="D42" s="404">
        <v>798454.99999999988</v>
      </c>
      <c r="E42" s="404">
        <v>1266939</v>
      </c>
      <c r="F42" s="404">
        <v>0</v>
      </c>
      <c r="G42" s="404">
        <v>0</v>
      </c>
      <c r="H42" s="404">
        <v>0</v>
      </c>
      <c r="I42" s="404">
        <v>0</v>
      </c>
      <c r="J42" s="404">
        <v>0</v>
      </c>
      <c r="K42" s="399">
        <f>SUM(C42:J42)</f>
        <v>5254215</v>
      </c>
      <c r="L42" s="1">
        <f t="shared" si="15"/>
        <v>2020</v>
      </c>
      <c r="M42" s="405">
        <f t="shared" si="16"/>
        <v>-1865</v>
      </c>
      <c r="N42" s="405">
        <f t="shared" si="16"/>
        <v>-88452.230496534146</v>
      </c>
      <c r="O42" s="405">
        <f t="shared" si="16"/>
        <v>-30684.655419958755</v>
      </c>
      <c r="P42" s="405">
        <f t="shared" si="17"/>
        <v>-131.66999999992549</v>
      </c>
      <c r="Q42" s="405">
        <f t="shared" si="17"/>
        <v>-219.8833333334187</v>
      </c>
    </row>
    <row r="43" spans="1:23" x14ac:dyDescent="0.25">
      <c r="B43" s="397">
        <v>2020</v>
      </c>
      <c r="C43" s="404">
        <v>3188821</v>
      </c>
      <c r="D43" s="404">
        <v>798454.99999999988</v>
      </c>
      <c r="E43" s="404">
        <v>1266939</v>
      </c>
      <c r="F43" s="404">
        <v>0</v>
      </c>
      <c r="G43" s="404">
        <v>0</v>
      </c>
      <c r="H43" s="404">
        <v>0</v>
      </c>
      <c r="I43" s="404">
        <v>0</v>
      </c>
      <c r="J43" s="404">
        <v>0</v>
      </c>
      <c r="K43" s="399">
        <f t="shared" ref="K43:K73" si="18">SUM(C43:J43)</f>
        <v>5254215</v>
      </c>
      <c r="L43" s="1">
        <f t="shared" si="15"/>
        <v>2021</v>
      </c>
      <c r="M43" s="405">
        <f t="shared" ca="1" si="16"/>
        <v>95225.003924954683</v>
      </c>
      <c r="N43" s="405">
        <f t="shared" ca="1" si="16"/>
        <v>283316.45320197567</v>
      </c>
      <c r="O43" s="405">
        <f t="shared" ca="1" si="16"/>
        <v>851167.06494929362</v>
      </c>
      <c r="P43" s="405">
        <f t="shared" ca="1" si="17"/>
        <v>129535.29977888241</v>
      </c>
      <c r="Q43" s="405">
        <f t="shared" ca="1" si="17"/>
        <v>45153.344240304374</v>
      </c>
    </row>
    <row r="44" spans="1:23" x14ac:dyDescent="0.25">
      <c r="B44" s="397">
        <v>2021</v>
      </c>
      <c r="C44" s="404">
        <v>3188821</v>
      </c>
      <c r="D44" s="404">
        <v>798454.99999999988</v>
      </c>
      <c r="E44" s="404">
        <v>1266939</v>
      </c>
      <c r="F44" s="404">
        <v>0</v>
      </c>
      <c r="G44" s="404">
        <v>0</v>
      </c>
      <c r="H44" s="404">
        <v>0</v>
      </c>
      <c r="I44" s="404">
        <v>0</v>
      </c>
      <c r="J44" s="404">
        <v>0</v>
      </c>
      <c r="K44" s="399">
        <f t="shared" si="18"/>
        <v>5254215</v>
      </c>
      <c r="L44" s="1">
        <f t="shared" si="15"/>
        <v>2022</v>
      </c>
      <c r="M44" s="405">
        <f t="shared" ca="1" si="16"/>
        <v>175067.94726306573</v>
      </c>
      <c r="N44" s="405">
        <f t="shared" ca="1" si="16"/>
        <v>1137005.6722145351</v>
      </c>
      <c r="O44" s="405">
        <f t="shared" ca="1" si="16"/>
        <v>2045390.3544061854</v>
      </c>
      <c r="P44" s="405">
        <f t="shared" ca="1" si="17"/>
        <v>373565.99045350403</v>
      </c>
      <c r="Q44" s="405">
        <f t="shared" ca="1" si="17"/>
        <v>91116.760525771475</v>
      </c>
    </row>
    <row r="45" spans="1:23" x14ac:dyDescent="0.25">
      <c r="B45" s="400">
        <v>2022</v>
      </c>
      <c r="C45" s="404">
        <v>3188821</v>
      </c>
      <c r="D45" s="404">
        <v>798454.99999999988</v>
      </c>
      <c r="E45" s="404">
        <v>1266939</v>
      </c>
      <c r="F45" s="404">
        <v>0</v>
      </c>
      <c r="G45" s="404">
        <v>0</v>
      </c>
      <c r="H45" s="404">
        <v>0</v>
      </c>
      <c r="I45" s="404">
        <v>0</v>
      </c>
      <c r="J45" s="404">
        <v>0</v>
      </c>
      <c r="K45" s="399">
        <f t="shared" si="18"/>
        <v>5254215</v>
      </c>
      <c r="L45" s="1">
        <f t="shared" si="15"/>
        <v>2023</v>
      </c>
      <c r="M45" s="405">
        <f t="shared" ca="1" si="16"/>
        <v>153159.37764799967</v>
      </c>
      <c r="N45" s="405">
        <f t="shared" ca="1" si="16"/>
        <v>936888.89055782743</v>
      </c>
      <c r="O45" s="405">
        <f t="shared" ca="1" si="16"/>
        <v>1795964.5641583558</v>
      </c>
      <c r="P45" s="405">
        <f t="shared" ca="1" si="17"/>
        <v>545751.92990725487</v>
      </c>
      <c r="Q45" s="405">
        <f t="shared" ca="1" si="17"/>
        <v>102454.07091778202</v>
      </c>
    </row>
    <row r="46" spans="1:23" x14ac:dyDescent="0.25">
      <c r="B46" s="397">
        <v>2023</v>
      </c>
      <c r="C46" s="404">
        <v>3188821</v>
      </c>
      <c r="D46" s="404">
        <v>798454.99999999988</v>
      </c>
      <c r="E46" s="404">
        <v>1266939</v>
      </c>
      <c r="F46" s="404">
        <v>0</v>
      </c>
      <c r="G46" s="404">
        <v>0</v>
      </c>
      <c r="H46" s="404">
        <v>0</v>
      </c>
      <c r="I46" s="404">
        <v>0</v>
      </c>
      <c r="J46" s="404">
        <v>0</v>
      </c>
      <c r="K46" s="399">
        <f t="shared" si="18"/>
        <v>5254215</v>
      </c>
      <c r="L46" s="1">
        <f t="shared" si="15"/>
        <v>2024</v>
      </c>
      <c r="M46" s="405">
        <f t="shared" ca="1" si="16"/>
        <v>1113455.7053191848</v>
      </c>
      <c r="N46" s="405">
        <f t="shared" ca="1" si="16"/>
        <v>1036114.2030842155</v>
      </c>
      <c r="O46" s="405">
        <f t="shared" ca="1" si="16"/>
        <v>1717809.2158578839</v>
      </c>
      <c r="P46" s="405">
        <f t="shared" ca="1" si="17"/>
        <v>1330420.7639891244</v>
      </c>
      <c r="Q46" s="405">
        <f t="shared" ca="1" si="17"/>
        <v>144370.64987767173</v>
      </c>
    </row>
    <row r="47" spans="1:23" x14ac:dyDescent="0.25">
      <c r="B47" s="397">
        <v>2024</v>
      </c>
      <c r="C47" s="404">
        <v>3188821</v>
      </c>
      <c r="D47" s="404">
        <v>798454.99999999988</v>
      </c>
      <c r="E47" s="404">
        <v>1266939</v>
      </c>
      <c r="F47" s="404">
        <v>0</v>
      </c>
      <c r="G47" s="404">
        <v>0</v>
      </c>
      <c r="H47" s="404">
        <v>0</v>
      </c>
      <c r="I47" s="404">
        <v>0</v>
      </c>
      <c r="J47" s="404">
        <v>0</v>
      </c>
      <c r="K47" s="399">
        <f t="shared" si="18"/>
        <v>5254215</v>
      </c>
    </row>
    <row r="48" spans="1:23" x14ac:dyDescent="0.25">
      <c r="B48" s="400">
        <v>2025</v>
      </c>
      <c r="C48" s="404">
        <v>3188821</v>
      </c>
      <c r="D48" s="404">
        <v>798454.99999999988</v>
      </c>
      <c r="E48" s="404">
        <v>1266939</v>
      </c>
      <c r="F48" s="404">
        <v>0</v>
      </c>
      <c r="G48" s="404">
        <v>0</v>
      </c>
      <c r="H48" s="404">
        <v>0</v>
      </c>
      <c r="I48" s="404">
        <v>0</v>
      </c>
      <c r="J48" s="404">
        <v>0</v>
      </c>
      <c r="K48" s="399">
        <f t="shared" si="18"/>
        <v>5254215</v>
      </c>
    </row>
    <row r="49" spans="1:11" x14ac:dyDescent="0.25">
      <c r="B49" s="397">
        <v>2026</v>
      </c>
      <c r="C49" s="404">
        <v>3188821</v>
      </c>
      <c r="D49" s="404">
        <v>798454.99999999988</v>
      </c>
      <c r="E49" s="404">
        <v>1266939</v>
      </c>
      <c r="F49" s="404">
        <v>0</v>
      </c>
      <c r="G49" s="404">
        <v>0</v>
      </c>
      <c r="H49" s="404">
        <v>0</v>
      </c>
      <c r="I49" s="404">
        <v>0</v>
      </c>
      <c r="J49" s="404">
        <v>0</v>
      </c>
      <c r="K49" s="399">
        <f t="shared" si="18"/>
        <v>5254215</v>
      </c>
    </row>
    <row r="50" spans="1:11" x14ac:dyDescent="0.25">
      <c r="C50" s="404"/>
      <c r="D50" s="404"/>
      <c r="E50" s="404"/>
      <c r="F50" s="404"/>
      <c r="G50" s="404"/>
      <c r="H50" s="404"/>
      <c r="I50" s="404"/>
      <c r="J50" s="404"/>
      <c r="K50" s="399"/>
    </row>
    <row r="51" spans="1:11" x14ac:dyDescent="0.25">
      <c r="A51" s="396">
        <v>2019</v>
      </c>
      <c r="B51" s="397">
        <v>2019</v>
      </c>
      <c r="C51" s="404">
        <v>4410</v>
      </c>
      <c r="D51" s="404">
        <v>90366.694326404904</v>
      </c>
      <c r="E51" s="404">
        <v>28536.850839917333</v>
      </c>
      <c r="F51" s="404">
        <v>0</v>
      </c>
      <c r="G51" s="404">
        <v>0</v>
      </c>
      <c r="H51" s="404">
        <v>0</v>
      </c>
      <c r="I51" s="404">
        <v>0</v>
      </c>
      <c r="J51" s="396">
        <v>0</v>
      </c>
      <c r="K51" s="399">
        <f t="shared" si="18"/>
        <v>123313.54516632223</v>
      </c>
    </row>
    <row r="52" spans="1:11" x14ac:dyDescent="0.25">
      <c r="B52" s="397">
        <v>2020</v>
      </c>
      <c r="C52" s="404">
        <v>4410</v>
      </c>
      <c r="D52" s="404">
        <v>79568.2</v>
      </c>
      <c r="E52" s="404">
        <v>25126.799999999999</v>
      </c>
      <c r="F52" s="404">
        <v>0</v>
      </c>
      <c r="G52" s="404">
        <v>0</v>
      </c>
      <c r="H52" s="404">
        <v>0</v>
      </c>
      <c r="I52" s="404">
        <v>0</v>
      </c>
      <c r="J52" s="396">
        <v>0</v>
      </c>
      <c r="K52" s="399">
        <f t="shared" si="18"/>
        <v>109105</v>
      </c>
    </row>
    <row r="53" spans="1:11" x14ac:dyDescent="0.25">
      <c r="B53" s="397">
        <v>2021</v>
      </c>
      <c r="C53" s="404">
        <v>4410</v>
      </c>
      <c r="D53" s="404">
        <v>79568.2</v>
      </c>
      <c r="E53" s="404">
        <v>25126.799999999999</v>
      </c>
      <c r="F53" s="404">
        <v>0</v>
      </c>
      <c r="G53" s="404">
        <v>0</v>
      </c>
      <c r="H53" s="404">
        <v>0</v>
      </c>
      <c r="I53" s="404">
        <v>0</v>
      </c>
      <c r="J53" s="396">
        <v>0</v>
      </c>
      <c r="K53" s="399">
        <f t="shared" si="18"/>
        <v>109105</v>
      </c>
    </row>
    <row r="54" spans="1:11" x14ac:dyDescent="0.25">
      <c r="B54" s="400">
        <v>2022</v>
      </c>
      <c r="C54" s="404">
        <v>4410</v>
      </c>
      <c r="D54" s="404">
        <v>79568.2</v>
      </c>
      <c r="E54" s="404">
        <v>25126.799999999999</v>
      </c>
      <c r="F54" s="404">
        <v>0</v>
      </c>
      <c r="G54" s="404">
        <v>0</v>
      </c>
      <c r="H54" s="404">
        <v>0</v>
      </c>
      <c r="I54" s="404">
        <v>0</v>
      </c>
      <c r="J54" s="396">
        <v>0</v>
      </c>
      <c r="K54" s="399">
        <f t="shared" si="18"/>
        <v>109105</v>
      </c>
    </row>
    <row r="55" spans="1:11" x14ac:dyDescent="0.25">
      <c r="B55" s="397">
        <v>2023</v>
      </c>
      <c r="C55" s="404">
        <v>4410</v>
      </c>
      <c r="D55" s="404">
        <v>79568.2</v>
      </c>
      <c r="E55" s="404">
        <v>25126.799999999999</v>
      </c>
      <c r="F55" s="404">
        <v>0</v>
      </c>
      <c r="G55" s="404">
        <v>0</v>
      </c>
      <c r="H55" s="404">
        <v>0</v>
      </c>
      <c r="I55" s="404">
        <v>0</v>
      </c>
      <c r="J55" s="396">
        <v>0</v>
      </c>
      <c r="K55" s="399">
        <f t="shared" si="18"/>
        <v>109105</v>
      </c>
    </row>
    <row r="56" spans="1:11" x14ac:dyDescent="0.25">
      <c r="B56" s="397">
        <v>2024</v>
      </c>
      <c r="C56" s="404">
        <v>4410</v>
      </c>
      <c r="D56" s="404">
        <v>79568.2</v>
      </c>
      <c r="E56" s="404">
        <v>25126.799999999999</v>
      </c>
      <c r="F56" s="404">
        <v>0</v>
      </c>
      <c r="G56" s="404">
        <v>0</v>
      </c>
      <c r="H56" s="404">
        <v>0</v>
      </c>
      <c r="I56" s="404">
        <v>0</v>
      </c>
      <c r="J56" s="396">
        <v>0</v>
      </c>
      <c r="K56" s="399">
        <f t="shared" si="18"/>
        <v>109105</v>
      </c>
    </row>
    <row r="57" spans="1:11" x14ac:dyDescent="0.25">
      <c r="B57" s="400">
        <v>2025</v>
      </c>
      <c r="C57" s="404">
        <v>4410</v>
      </c>
      <c r="D57" s="404">
        <v>79568.2</v>
      </c>
      <c r="E57" s="404">
        <v>25126.799999999999</v>
      </c>
      <c r="F57" s="404">
        <v>0</v>
      </c>
      <c r="G57" s="404">
        <v>0</v>
      </c>
      <c r="H57" s="404">
        <v>0</v>
      </c>
      <c r="I57" s="404">
        <v>0</v>
      </c>
      <c r="J57" s="396">
        <v>0</v>
      </c>
      <c r="K57" s="399">
        <f t="shared" si="18"/>
        <v>109105</v>
      </c>
    </row>
    <row r="58" spans="1:11" x14ac:dyDescent="0.25">
      <c r="B58" s="397">
        <v>2026</v>
      </c>
      <c r="C58" s="404">
        <v>4410</v>
      </c>
      <c r="D58" s="404">
        <v>79568.2</v>
      </c>
      <c r="E58" s="404">
        <v>25126.799999999999</v>
      </c>
      <c r="F58" s="404">
        <v>0</v>
      </c>
      <c r="G58" s="404">
        <v>0</v>
      </c>
      <c r="H58" s="404">
        <v>0</v>
      </c>
      <c r="I58" s="404">
        <v>0</v>
      </c>
      <c r="J58" s="396">
        <v>0</v>
      </c>
      <c r="K58" s="399">
        <f t="shared" si="18"/>
        <v>109105</v>
      </c>
    </row>
    <row r="59" spans="1:11" x14ac:dyDescent="0.25">
      <c r="C59" s="404"/>
      <c r="D59" s="404"/>
      <c r="E59" s="404"/>
      <c r="F59" s="404"/>
      <c r="G59" s="404"/>
      <c r="H59" s="404"/>
      <c r="I59" s="404"/>
      <c r="J59" s="404"/>
      <c r="K59" s="399"/>
    </row>
    <row r="60" spans="1:11" x14ac:dyDescent="0.25">
      <c r="A60" s="396">
        <v>2020</v>
      </c>
      <c r="B60" s="397">
        <v>2020</v>
      </c>
      <c r="C60" s="401">
        <v>0</v>
      </c>
      <c r="D60" s="401"/>
      <c r="E60" s="401"/>
      <c r="F60" s="401"/>
      <c r="G60" s="401"/>
      <c r="H60" s="398"/>
      <c r="I60" s="398"/>
      <c r="J60" s="398"/>
      <c r="K60" s="399">
        <f t="shared" si="18"/>
        <v>0</v>
      </c>
    </row>
    <row r="61" spans="1:11" x14ac:dyDescent="0.25">
      <c r="B61" s="397">
        <v>2021</v>
      </c>
      <c r="C61" s="401">
        <f t="shared" ref="C61:E66" si="19">C60*(SUM(C52,C42,C31,C19,C6)/SUM(C$51,C$41,C$30,C$18,C$5))</f>
        <v>0</v>
      </c>
      <c r="D61" s="401">
        <f t="shared" si="19"/>
        <v>0</v>
      </c>
      <c r="E61" s="401">
        <f t="shared" si="19"/>
        <v>0</v>
      </c>
      <c r="F61" s="401"/>
      <c r="G61" s="401"/>
      <c r="H61" s="398"/>
      <c r="I61" s="398"/>
      <c r="J61" s="398"/>
      <c r="K61" s="399">
        <f t="shared" si="18"/>
        <v>0</v>
      </c>
    </row>
    <row r="62" spans="1:11" x14ac:dyDescent="0.25">
      <c r="B62" s="400">
        <v>2022</v>
      </c>
      <c r="C62" s="401">
        <f t="shared" si="19"/>
        <v>0</v>
      </c>
      <c r="D62" s="401">
        <f t="shared" si="19"/>
        <v>0</v>
      </c>
      <c r="E62" s="401">
        <f t="shared" si="19"/>
        <v>0</v>
      </c>
      <c r="F62" s="401"/>
      <c r="G62" s="401"/>
      <c r="H62" s="398"/>
      <c r="I62" s="398"/>
      <c r="J62" s="398"/>
      <c r="K62" s="399">
        <f t="shared" si="18"/>
        <v>0</v>
      </c>
    </row>
    <row r="63" spans="1:11" x14ac:dyDescent="0.25">
      <c r="B63" s="397">
        <v>2023</v>
      </c>
      <c r="C63" s="401">
        <f t="shared" si="19"/>
        <v>0</v>
      </c>
      <c r="D63" s="401">
        <f t="shared" si="19"/>
        <v>0</v>
      </c>
      <c r="E63" s="401">
        <f t="shared" si="19"/>
        <v>0</v>
      </c>
      <c r="F63" s="401"/>
      <c r="G63" s="401"/>
      <c r="H63" s="398"/>
      <c r="I63" s="398"/>
      <c r="J63" s="398"/>
      <c r="K63" s="399">
        <f t="shared" si="18"/>
        <v>0</v>
      </c>
    </row>
    <row r="64" spans="1:11" x14ac:dyDescent="0.25">
      <c r="B64" s="397">
        <v>2024</v>
      </c>
      <c r="C64" s="401">
        <f t="shared" si="19"/>
        <v>0</v>
      </c>
      <c r="D64" s="401">
        <f t="shared" si="19"/>
        <v>0</v>
      </c>
      <c r="E64" s="401">
        <f t="shared" si="19"/>
        <v>0</v>
      </c>
      <c r="F64" s="401"/>
      <c r="G64" s="401"/>
      <c r="H64" s="398"/>
      <c r="I64" s="398"/>
      <c r="J64" s="398"/>
      <c r="K64" s="399">
        <f t="shared" si="18"/>
        <v>0</v>
      </c>
    </row>
    <row r="65" spans="1:13" x14ac:dyDescent="0.25">
      <c r="B65" s="400">
        <v>2025</v>
      </c>
      <c r="C65" s="401">
        <f t="shared" si="19"/>
        <v>0</v>
      </c>
      <c r="D65" s="401">
        <f t="shared" si="19"/>
        <v>0</v>
      </c>
      <c r="E65" s="401">
        <f t="shared" si="19"/>
        <v>0</v>
      </c>
      <c r="F65" s="401"/>
      <c r="G65" s="401"/>
      <c r="H65" s="398"/>
      <c r="I65" s="398"/>
      <c r="J65" s="398"/>
      <c r="K65" s="399">
        <f t="shared" si="18"/>
        <v>0</v>
      </c>
    </row>
    <row r="66" spans="1:13" x14ac:dyDescent="0.25">
      <c r="B66" s="397">
        <v>2026</v>
      </c>
      <c r="C66" s="401">
        <f t="shared" si="19"/>
        <v>0</v>
      </c>
      <c r="D66" s="401">
        <f t="shared" si="19"/>
        <v>0</v>
      </c>
      <c r="E66" s="401">
        <f t="shared" si="19"/>
        <v>0</v>
      </c>
      <c r="F66" s="401"/>
      <c r="G66" s="401"/>
      <c r="H66" s="398"/>
      <c r="I66" s="398"/>
      <c r="J66" s="398"/>
      <c r="K66" s="399">
        <f t="shared" si="18"/>
        <v>0</v>
      </c>
    </row>
    <row r="67" spans="1:13" x14ac:dyDescent="0.25">
      <c r="C67" s="401"/>
      <c r="D67" s="401"/>
      <c r="E67" s="401"/>
      <c r="F67" s="401"/>
      <c r="G67" s="401"/>
      <c r="H67" s="398"/>
      <c r="I67" s="398"/>
      <c r="J67" s="398"/>
      <c r="K67" s="399"/>
    </row>
    <row r="68" spans="1:13" x14ac:dyDescent="0.25">
      <c r="A68" s="396">
        <v>2021</v>
      </c>
      <c r="B68" s="397">
        <v>2021</v>
      </c>
      <c r="C68" s="401">
        <f ca="1">'CDM Framework'!P45</f>
        <v>192398.00784990491</v>
      </c>
      <c r="D68" s="401">
        <f ca="1">'CDM Framework'!P46</f>
        <v>1336919.1720245492</v>
      </c>
      <c r="E68" s="401">
        <f ca="1">'CDM Framework'!P47</f>
        <v>1957495.3436438434</v>
      </c>
      <c r="F68" s="401">
        <f ca="1">'CDM Framework'!P48</f>
        <v>266696.05768062011</v>
      </c>
      <c r="G68" s="401">
        <f ca="1">'CDM Framework'!P49</f>
        <v>90306.68848060882</v>
      </c>
      <c r="H68" s="401"/>
      <c r="I68" s="401"/>
      <c r="J68" s="401"/>
      <c r="K68" s="399">
        <f t="shared" ca="1" si="18"/>
        <v>3843815.2696795263</v>
      </c>
      <c r="L68" s="398"/>
      <c r="M68" s="398"/>
    </row>
    <row r="69" spans="1:13" x14ac:dyDescent="0.25">
      <c r="B69" s="400">
        <v>2022</v>
      </c>
      <c r="C69" s="401">
        <f ca="1">C68*(SUM(C52,C42,C31,C19,C6)/SUM(C$51,C$41,C$30,C$18,C$5))</f>
        <v>171064.0947673326</v>
      </c>
      <c r="D69" s="401">
        <f ca="1">D68*(SUM(D52,D42,D31,D19,D6)/SUM(D$51,D$41,D$30,D$18,D$5))</f>
        <v>1319254.9106706749</v>
      </c>
      <c r="E69" s="401">
        <f ca="1">E68*(SUM(E52,E42,E31,E19,E6)/SUM(E$51,E$41,E$30,E$18,E$5))</f>
        <v>1949138.3492627081</v>
      </c>
      <c r="F69" s="401">
        <f ca="1">F68*(SUM(F52,F42,F31,F19,F6)/SUM(F$51,F$41,F$30,F$18,F$5))</f>
        <v>266695.66300307959</v>
      </c>
      <c r="G69" s="401">
        <f ca="1">G68</f>
        <v>90306.68848060882</v>
      </c>
      <c r="H69" s="401"/>
      <c r="I69" s="401"/>
      <c r="J69" s="401"/>
      <c r="K69" s="399">
        <f t="shared" ca="1" si="18"/>
        <v>3796459.7061844035</v>
      </c>
    </row>
    <row r="70" spans="1:13" x14ac:dyDescent="0.25">
      <c r="B70" s="397">
        <v>2023</v>
      </c>
      <c r="C70" s="401">
        <f t="shared" ref="C70:D73" ca="1" si="20">C69*(SUM(C53,C43,C32,C20,C7)/SUM(C$51,C$41,C$30,C$18,C$5))</f>
        <v>152081.61032003246</v>
      </c>
      <c r="D70" s="401">
        <f t="shared" ca="1" si="20"/>
        <v>1299549.6864045036</v>
      </c>
      <c r="E70" s="401">
        <f t="shared" ref="E70:F73" ca="1" si="21">E69*(SUM(E53,E43,E32,E20,E7)/SUM(E$51,E$41,E$30,E$18,E$5))</f>
        <v>1940463.6616111021</v>
      </c>
      <c r="F70" s="401">
        <f t="shared" ca="1" si="21"/>
        <v>266770.04679652944</v>
      </c>
      <c r="G70" s="401">
        <f ca="1">G69*(SUM(G53,G43,G32,G20,G7)/SUM(G$51,G$41,G$30,G$18,G$5))</f>
        <v>90244.155251127188</v>
      </c>
      <c r="H70" s="401"/>
      <c r="I70" s="401"/>
      <c r="J70" s="401"/>
      <c r="K70" s="399">
        <f t="shared" ca="1" si="18"/>
        <v>3749109.1603832948</v>
      </c>
    </row>
    <row r="71" spans="1:13" x14ac:dyDescent="0.25">
      <c r="B71" s="397">
        <v>2024</v>
      </c>
      <c r="C71" s="401">
        <f t="shared" ca="1" si="20"/>
        <v>135194.64977180539</v>
      </c>
      <c r="D71" s="401">
        <f t="shared" ca="1" si="20"/>
        <v>1250394.9247642718</v>
      </c>
      <c r="E71" s="401">
        <f t="shared" ca="1" si="21"/>
        <v>1917624.9035236898</v>
      </c>
      <c r="F71" s="401">
        <f t="shared" ca="1" si="21"/>
        <v>266812.68739523983</v>
      </c>
      <c r="G71" s="401">
        <f ca="1">G70*(SUM(G54,G44,G33,G21,G8)/SUM(G$51,G$41,G$30,G$18,G$5))</f>
        <v>90110.51406547027</v>
      </c>
      <c r="H71" s="401"/>
      <c r="I71" s="401"/>
      <c r="J71" s="401"/>
      <c r="K71" s="399">
        <f t="shared" ca="1" si="18"/>
        <v>3660137.6795204766</v>
      </c>
    </row>
    <row r="72" spans="1:13" x14ac:dyDescent="0.25">
      <c r="B72" s="400">
        <v>2025</v>
      </c>
      <c r="C72" s="401">
        <f t="shared" ca="1" si="20"/>
        <v>120158.62497194717</v>
      </c>
      <c r="D72" s="401">
        <f t="shared" ca="1" si="20"/>
        <v>1180407.4952670529</v>
      </c>
      <c r="E72" s="401">
        <f t="shared" ca="1" si="21"/>
        <v>1885410.7218460436</v>
      </c>
      <c r="F72" s="401">
        <f t="shared" ca="1" si="21"/>
        <v>266855.33480963542</v>
      </c>
      <c r="G72" s="401">
        <f ca="1">G71*(SUM(G55,G45,G34,G22,G9)/SUM(G$51,G$41,G$30,G$18,G$5))</f>
        <v>89977.070786995871</v>
      </c>
      <c r="H72" s="401"/>
      <c r="I72" s="401"/>
      <c r="J72" s="401"/>
      <c r="K72" s="399">
        <f t="shared" ca="1" si="18"/>
        <v>3542809.247681675</v>
      </c>
    </row>
    <row r="73" spans="1:13" x14ac:dyDescent="0.25">
      <c r="B73" s="397">
        <v>2026</v>
      </c>
      <c r="C73" s="401">
        <f t="shared" ca="1" si="20"/>
        <v>106777.58437347531</v>
      </c>
      <c r="D73" s="401">
        <f t="shared" ca="1" si="20"/>
        <v>1008765.3410243023</v>
      </c>
      <c r="E73" s="401">
        <f t="shared" ca="1" si="21"/>
        <v>1749238.0832106599</v>
      </c>
      <c r="F73" s="401">
        <f t="shared" ca="1" si="21"/>
        <v>266795.44989316608</v>
      </c>
      <c r="G73" s="401">
        <f ca="1">G72*(SUM(G56,G46,G35,G23,G10)/SUM(G$51,G$41,G$30,G$18,G$5))</f>
        <v>82074.873257454048</v>
      </c>
      <c r="H73" s="401"/>
      <c r="I73" s="401"/>
      <c r="J73" s="401"/>
      <c r="K73" s="399">
        <f t="shared" ca="1" si="18"/>
        <v>3213651.3317590575</v>
      </c>
    </row>
    <row r="74" spans="1:13" x14ac:dyDescent="0.25">
      <c r="C74" s="398"/>
      <c r="D74" s="398"/>
      <c r="E74" s="398"/>
      <c r="F74" s="398"/>
      <c r="G74" s="398"/>
    </row>
    <row r="75" spans="1:13" x14ac:dyDescent="0.25">
      <c r="A75" s="396">
        <v>2022</v>
      </c>
      <c r="B75" s="400">
        <v>2022</v>
      </c>
      <c r="C75" s="398">
        <f ca="1">'CDM Framework'!Q45</f>
        <v>203329.71284137678</v>
      </c>
      <c r="D75" s="398">
        <f ca="1">'CDM Framework'!Q46</f>
        <v>1934351.1164402061</v>
      </c>
      <c r="E75" s="398">
        <f ca="1">'CDM Framework'!Q47</f>
        <v>2925231.0704929768</v>
      </c>
      <c r="F75" s="398">
        <f ca="1">'CDM Framework'!Q48</f>
        <v>480436.71258146735</v>
      </c>
      <c r="G75" s="398">
        <f ca="1">'CDM Framework'!Q49</f>
        <v>140087.15561778244</v>
      </c>
      <c r="K75" s="399">
        <f ca="1">SUM(C75:J75)</f>
        <v>5683435.7679738104</v>
      </c>
    </row>
    <row r="76" spans="1:13" x14ac:dyDescent="0.25">
      <c r="B76" s="397">
        <v>2023</v>
      </c>
      <c r="C76" s="401">
        <f ca="1">C75*(SUM(C52,C42,C31,C19,C6)/SUM(C$51,C$41,C$30,C$18,C$5))</f>
        <v>180783.6456063856</v>
      </c>
      <c r="D76" s="401">
        <f t="shared" ref="D76:E79" ca="1" si="22">D75*(SUM(D52,D42,D31,D19,D6)/SUM(D$51,D$41,D$30,D$18,D$5))</f>
        <v>1908793.1886417624</v>
      </c>
      <c r="E76" s="401">
        <f t="shared" ca="1" si="22"/>
        <v>2912742.5914276186</v>
      </c>
      <c r="F76" s="401">
        <f ca="1">F75*(SUM(F52,F42,F31,F19,F6)/SUM(F$51,F$41,F$30,F$18,F$5))</f>
        <v>480436.00159390434</v>
      </c>
      <c r="G76" s="401">
        <f ca="1">G75</f>
        <v>140087.15561778244</v>
      </c>
      <c r="K76" s="399">
        <f ca="1">SUM(C76:J76)</f>
        <v>5622842.582887454</v>
      </c>
    </row>
    <row r="77" spans="1:13" x14ac:dyDescent="0.25">
      <c r="B77" s="397">
        <v>2024</v>
      </c>
      <c r="C77" s="401">
        <f ca="1">C76*(SUM(C53,C43,C32,C20,C7)/SUM(C$51,C$41,C$30,C$18,C$5))</f>
        <v>160722.61090639795</v>
      </c>
      <c r="D77" s="401">
        <f t="shared" ca="1" si="22"/>
        <v>1880282.2484468881</v>
      </c>
      <c r="E77" s="401">
        <f t="shared" ca="1" si="22"/>
        <v>2899779.3596489602</v>
      </c>
      <c r="F77" s="401">
        <f ca="1">F76*(SUM(F53,F43,F32,F20,F7)/SUM(F$51,F$41,F$30,F$18,F$5))</f>
        <v>480569.99946963286</v>
      </c>
      <c r="G77" s="401">
        <f ca="1">G76*(SUM(G53,G43,G32,G20,G7)/SUM(G$51,G$41,G$30,G$18,G$5))</f>
        <v>139990.15170370849</v>
      </c>
      <c r="K77" s="399">
        <f ca="1">SUM(C77:J77)</f>
        <v>5561344.3701755879</v>
      </c>
    </row>
    <row r="78" spans="1:13" x14ac:dyDescent="0.25">
      <c r="B78" s="400">
        <v>2025</v>
      </c>
      <c r="C78" s="401">
        <f ca="1">C77*(SUM(C54,C44,C33,C21,C8)/SUM(C$51,C$41,C$30,C$18,C$5))</f>
        <v>142876.16396338525</v>
      </c>
      <c r="D78" s="401">
        <f t="shared" ca="1" si="22"/>
        <v>1809161.5928031013</v>
      </c>
      <c r="E78" s="401">
        <f t="shared" ca="1" si="22"/>
        <v>2865649.7025921992</v>
      </c>
      <c r="F78" s="401">
        <f ca="1">F77*(SUM(F54,F44,F33,F21,F8)/SUM(F$51,F$41,F$30,F$18,F$5))</f>
        <v>480646.81391242996</v>
      </c>
      <c r="G78" s="401">
        <f ca="1">G77*(SUM(G54,G44,G33,G21,G8)/SUM(G$51,G$41,G$30,G$18,G$5))</f>
        <v>139782.84243473795</v>
      </c>
      <c r="K78" s="399">
        <f ca="1">SUM(C78:J78)</f>
        <v>5438117.1157058533</v>
      </c>
    </row>
    <row r="79" spans="1:13" x14ac:dyDescent="0.25">
      <c r="B79" s="397">
        <v>2026</v>
      </c>
      <c r="C79" s="401">
        <f ca="1">C78*(SUM(C55,C45,C34,C22,C9)/SUM(C$51,C$41,C$30,C$18,C$5))</f>
        <v>126985.81957262599</v>
      </c>
      <c r="D79" s="401">
        <f t="shared" ca="1" si="22"/>
        <v>1707898.7302324986</v>
      </c>
      <c r="E79" s="401">
        <f t="shared" ca="1" si="22"/>
        <v>2817509.6518585193</v>
      </c>
      <c r="F79" s="401">
        <f ca="1">F78*(SUM(F55,F45,F34,F22,F9)/SUM(F$51,F$41,F$30,F$18,F$5))</f>
        <v>480723.64063326904</v>
      </c>
      <c r="G79" s="401">
        <f ca="1">G78*(SUM(G55,G45,G34,G22,G9)/SUM(G$51,G$41,G$30,G$18,G$5))</f>
        <v>139575.84016688482</v>
      </c>
      <c r="K79" s="399">
        <f ca="1">SUM(C79:J79)</f>
        <v>5272693.6824637977</v>
      </c>
      <c r="L79" s="398"/>
      <c r="M79" s="398"/>
    </row>
    <row r="80" spans="1:13" x14ac:dyDescent="0.25">
      <c r="C80" s="401"/>
      <c r="D80" s="401"/>
      <c r="E80" s="401"/>
      <c r="F80" s="401"/>
      <c r="G80" s="401"/>
    </row>
    <row r="81" spans="1:17" x14ac:dyDescent="0.25">
      <c r="A81" s="396">
        <v>2023</v>
      </c>
      <c r="B81" s="397">
        <v>2023</v>
      </c>
      <c r="C81" s="401">
        <f ca="1">'CDM Framework'!R45</f>
        <v>231752.14581920355</v>
      </c>
      <c r="D81" s="401">
        <f ca="1">'CDM Framework'!R46</f>
        <v>533992.56880468002</v>
      </c>
      <c r="E81" s="401">
        <f ca="1">'CDM Framework'!R47</f>
        <v>874718.71125766716</v>
      </c>
      <c r="F81" s="401">
        <f ca="1">'CDM Framework'!R48</f>
        <v>612351.88162126741</v>
      </c>
      <c r="G81" s="401">
        <f ca="1">'CDM Framework'!R49</f>
        <v>64946.052676744803</v>
      </c>
      <c r="K81" s="399">
        <f ca="1">SUM(C81:J81)</f>
        <v>2317761.3601795631</v>
      </c>
    </row>
    <row r="82" spans="1:17" x14ac:dyDescent="0.25">
      <c r="B82" s="397">
        <v>2024</v>
      </c>
      <c r="C82" s="401">
        <f ca="1">C81*(SUM(C52,C42,C31,C19,C6)/SUM(C$51,C$41,C$30,C$18,C$5))</f>
        <v>206054.47778792327</v>
      </c>
      <c r="D82" s="401">
        <f t="shared" ref="D82:E84" ca="1" si="23">D81*(SUM(D52,D42,D31,D19,D6)/SUM(D$51,D$41,D$30,D$18,D$5))</f>
        <v>526937.10539763758</v>
      </c>
      <c r="E82" s="401">
        <f t="shared" ca="1" si="23"/>
        <v>870984.33744227572</v>
      </c>
      <c r="F82" s="401">
        <f ca="1">F81*(SUM(F52,F42,F31,F19,F6)/SUM(F$51,F$41,F$30,F$18,F$5))</f>
        <v>612350.97541539138</v>
      </c>
      <c r="G82" s="401">
        <f ca="1">G81</f>
        <v>64946.052676744803</v>
      </c>
      <c r="K82" s="399">
        <f ca="1">SUM(C82:J82)</f>
        <v>2281272.9487199727</v>
      </c>
    </row>
    <row r="83" spans="1:17" x14ac:dyDescent="0.25">
      <c r="B83" s="400">
        <v>2025</v>
      </c>
      <c r="C83" s="401">
        <f ca="1">C82*(SUM(C53,C43,C32,C20,C7)/SUM(C$51,C$41,C$30,C$18,C$5))</f>
        <v>183189.21243094813</v>
      </c>
      <c r="D83" s="401">
        <f t="shared" ca="1" si="23"/>
        <v>519066.4401061596</v>
      </c>
      <c r="E83" s="401">
        <f t="shared" ca="1" si="23"/>
        <v>867108.00045490335</v>
      </c>
      <c r="F83" s="401">
        <f ca="1">F82*(SUM(F53,F43,F32,F20,F7)/SUM(F$51,F$41,F$30,F$18,F$5))</f>
        <v>612521.76555108838</v>
      </c>
      <c r="G83" s="401">
        <f ca="1">G82*(SUM(G53,G43,G32,G20,G7)/SUM(G$51,G$41,G$30,G$18,G$5))</f>
        <v>64901.080521478223</v>
      </c>
      <c r="K83" s="399">
        <f ca="1">SUM(C83:J83)</f>
        <v>2246786.4990645777</v>
      </c>
    </row>
    <row r="84" spans="1:17" x14ac:dyDescent="0.25">
      <c r="B84" s="397">
        <v>2026</v>
      </c>
      <c r="C84" s="401">
        <f ca="1">C83*(SUM(C54,C44,C33,C21,C8)/SUM(C$51,C$41,C$30,C$18,C$5))</f>
        <v>162848.1008614928</v>
      </c>
      <c r="D84" s="401">
        <f t="shared" ca="1" si="23"/>
        <v>499433.0336994729</v>
      </c>
      <c r="E84" s="401">
        <f t="shared" ca="1" si="23"/>
        <v>856902.36236446525</v>
      </c>
      <c r="F84" s="401">
        <f ca="1">F83*(SUM(F54,F44,F33,F21,F8)/SUM(F$51,F$41,F$30,F$18,F$5))</f>
        <v>612619.67120099126</v>
      </c>
      <c r="G84" s="401">
        <f ca="1">G83*(SUM(G54,G44,G33,G21,G8)/SUM(G$51,G$41,G$30,G$18,G$5))</f>
        <v>64804.969506563524</v>
      </c>
      <c r="K84" s="399">
        <f ca="1">SUM(C84:J84)</f>
        <v>2196608.1376329856</v>
      </c>
    </row>
    <row r="85" spans="1:17" x14ac:dyDescent="0.25">
      <c r="C85" s="401"/>
      <c r="D85" s="401"/>
      <c r="E85" s="401"/>
      <c r="F85" s="401"/>
      <c r="G85" s="401"/>
    </row>
    <row r="86" spans="1:17" x14ac:dyDescent="0.25">
      <c r="A86" s="396">
        <v>2024</v>
      </c>
      <c r="B86" s="397">
        <v>2024</v>
      </c>
      <c r="C86" s="401">
        <f ca="1">'CDM Framework'!S45</f>
        <v>2120750.7683455423</v>
      </c>
      <c r="D86" s="401">
        <f ca="1">'CDM Framework'!S46</f>
        <v>2238480.7410451733</v>
      </c>
      <c r="E86" s="401">
        <f ca="1">'CDM Framework'!S47</f>
        <v>3104496.8758794689</v>
      </c>
      <c r="F86" s="401">
        <f ca="1">'CDM Framework'!S48</f>
        <v>2114648.3426081985</v>
      </c>
      <c r="G86" s="401">
        <f ca="1">'CDM Framework'!S49</f>
        <v>224256.53727806071</v>
      </c>
      <c r="K86" s="399">
        <f ca="1">SUM(C86:J86)</f>
        <v>9802633.2651564423</v>
      </c>
    </row>
    <row r="87" spans="1:17" x14ac:dyDescent="0.25">
      <c r="B87" s="400">
        <v>2025</v>
      </c>
      <c r="C87" s="401">
        <f t="shared" ref="C87:F88" ca="1" si="24">C86*(SUM(C52,C42,C31,C19,C6)/SUM(C$51,C$41,C$30,C$18,C$5))</f>
        <v>1885592.8627762794</v>
      </c>
      <c r="D87" s="401">
        <f t="shared" ca="1" si="24"/>
        <v>2208904.4512642752</v>
      </c>
      <c r="E87" s="401">
        <f t="shared" ca="1" si="24"/>
        <v>3091243.0701770848</v>
      </c>
      <c r="F87" s="401">
        <f t="shared" ca="1" si="24"/>
        <v>2114645.2131873355</v>
      </c>
      <c r="G87" s="401">
        <f ca="1">G86</f>
        <v>224256.53727806071</v>
      </c>
      <c r="K87" s="399">
        <f ca="1">SUM(C87:J87)</f>
        <v>9524642.1346830353</v>
      </c>
    </row>
    <row r="88" spans="1:17" x14ac:dyDescent="0.25">
      <c r="B88" s="397">
        <v>2026</v>
      </c>
      <c r="C88" s="401">
        <f t="shared" ca="1" si="24"/>
        <v>1676354.113754903</v>
      </c>
      <c r="D88" s="401">
        <f t="shared" ca="1" si="24"/>
        <v>2175910.8597736219</v>
      </c>
      <c r="E88" s="401">
        <f t="shared" ca="1" si="24"/>
        <v>3077485.4176743152</v>
      </c>
      <c r="F88" s="401">
        <f t="shared" ca="1" si="24"/>
        <v>2115235.0065532504</v>
      </c>
      <c r="G88" s="401">
        <f ca="1">G87*(SUM(G53,G43,G32,G20,G7)/SUM(G$51,G$41,G$30,G$18,G$5))</f>
        <v>224101.24993728555</v>
      </c>
      <c r="K88" s="399">
        <f ca="1">SUM(C88:J88)</f>
        <v>9269086.6476933751</v>
      </c>
      <c r="L88" s="407"/>
      <c r="M88" s="407"/>
    </row>
    <row r="89" spans="1:17" x14ac:dyDescent="0.25">
      <c r="C89" s="401"/>
      <c r="D89" s="401"/>
      <c r="E89" s="401"/>
      <c r="F89" s="401"/>
      <c r="G89" s="401"/>
      <c r="N89" s="399"/>
      <c r="O89" s="408"/>
      <c r="P89" s="408"/>
      <c r="Q89" s="408"/>
    </row>
    <row r="90" spans="1:17" x14ac:dyDescent="0.25">
      <c r="A90" s="396">
        <v>2025</v>
      </c>
      <c r="B90" s="400">
        <v>2025</v>
      </c>
      <c r="C90" s="401">
        <f ca="1">'CDM Framework'!T45</f>
        <v>3610035.7431794158</v>
      </c>
      <c r="D90" s="401">
        <f ca="1">'CDM Framework'!T46</f>
        <v>2219390.3241229923</v>
      </c>
      <c r="E90" s="401">
        <f ca="1">'CDM Framework'!T47</f>
        <v>3376146.505450245</v>
      </c>
      <c r="F90" s="401">
        <f ca="1">'CDM Framework'!T48</f>
        <v>2260921.0298635736</v>
      </c>
      <c r="G90" s="401">
        <f ca="1">'CDM Framework'!T49</f>
        <v>206478.83649617029</v>
      </c>
      <c r="K90" s="399">
        <f ca="1">SUM(C90:J90)</f>
        <v>11672972.439112397</v>
      </c>
      <c r="L90" s="399"/>
      <c r="M90" s="398"/>
    </row>
    <row r="91" spans="1:17" x14ac:dyDescent="0.25">
      <c r="B91" s="397">
        <v>2026</v>
      </c>
      <c r="C91" s="401">
        <f ca="1">C90*(SUM(C52,C42,C31,C19,C6)/SUM(C$51,C$41,C$30,C$18,C$5))</f>
        <v>3209739.5570044974</v>
      </c>
      <c r="D91" s="401">
        <f ca="1">D90*(SUM(D52,D42,D31,D19,D6)/SUM(D$51,D$41,D$30,D$18,D$5))</f>
        <v>2190066.2695713621</v>
      </c>
      <c r="E91" s="401">
        <f ca="1">E90*(SUM(E52,E42,E31,E19,E6)/SUM(E$51,E$41,E$30,E$18,E$5))</f>
        <v>3361732.965480634</v>
      </c>
      <c r="F91" s="401">
        <f ca="1">F90*(SUM(F52,F42,F31,F19,F6)/SUM(F$51,F$41,F$30,F$18,F$5))</f>
        <v>2260917.683977027</v>
      </c>
      <c r="G91" s="401">
        <f ca="1">G90</f>
        <v>206478.83649617029</v>
      </c>
      <c r="K91" s="399">
        <f ca="1">SUM(C91:J91)</f>
        <v>11228935.312529691</v>
      </c>
      <c r="L91" s="408"/>
      <c r="M91" s="398"/>
    </row>
    <row r="92" spans="1:17" x14ac:dyDescent="0.25">
      <c r="C92" s="401"/>
      <c r="D92" s="401"/>
      <c r="E92" s="401"/>
      <c r="F92" s="401"/>
      <c r="G92" s="401"/>
    </row>
    <row r="93" spans="1:17" x14ac:dyDescent="0.25">
      <c r="A93" s="396">
        <v>2026</v>
      </c>
      <c r="B93" s="397">
        <v>2026</v>
      </c>
      <c r="C93" s="398">
        <f ca="1">'CDM Framework'!U45</f>
        <v>3921204.8195361863</v>
      </c>
      <c r="D93" s="398">
        <f ca="1">'CDM Framework'!U46</f>
        <v>2511243.1059123804</v>
      </c>
      <c r="E93" s="398">
        <f ca="1">'CDM Framework'!U47</f>
        <v>3843494.8527870509</v>
      </c>
      <c r="F93" s="398">
        <f ca="1">'CDM Framework'!U48</f>
        <v>2576797.8949209652</v>
      </c>
      <c r="G93" s="398">
        <f ca="1">'CDM Framework'!U49</f>
        <v>237588.75785502951</v>
      </c>
      <c r="K93" s="399">
        <f ca="1">SUM(C93:J93)</f>
        <v>13090329.431011613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Y140"/>
  <sheetViews>
    <sheetView topLeftCell="K1" zoomScaleNormal="100" workbookViewId="0">
      <selection activeCell="W20" sqref="W20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14.6640625" style="1" bestFit="1" customWidth="1"/>
    <col min="5" max="6" width="9.33203125" style="1"/>
    <col min="7" max="8" width="9.6640625" style="1" customWidth="1"/>
    <col min="9" max="9" width="9.33203125" style="1"/>
    <col min="10" max="10" width="14.6640625" style="1" bestFit="1" customWidth="1"/>
    <col min="11" max="11" width="12.77734375" style="1" bestFit="1" customWidth="1"/>
    <col min="12" max="12" width="13.77734375" style="1" bestFit="1" customWidth="1"/>
    <col min="13" max="14" width="12.44140625" style="1" customWidth="1"/>
    <col min="15" max="15" width="14.33203125" style="1" bestFit="1" customWidth="1"/>
    <col min="16" max="16" width="14.6640625" style="1" bestFit="1" customWidth="1"/>
    <col min="17" max="17" width="9.33203125" style="1"/>
    <col min="18" max="18" width="15.109375" style="1" bestFit="1" customWidth="1"/>
    <col min="19" max="19" width="15.33203125" style="1" customWidth="1"/>
    <col min="20" max="20" width="17.6640625" style="1" customWidth="1"/>
    <col min="21" max="21" width="14.109375" style="1" customWidth="1"/>
    <col min="22" max="22" width="12.109375" style="1" customWidth="1"/>
    <col min="23" max="23" width="12.44140625" style="1" bestFit="1" customWidth="1"/>
    <col min="24" max="24" width="15.6640625" style="1" customWidth="1"/>
    <col min="25" max="25" width="13.33203125" style="1" bestFit="1" customWidth="1"/>
    <col min="26" max="16384" width="9.33203125" style="1"/>
  </cols>
  <sheetData>
    <row r="1" spans="1:23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152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196</v>
      </c>
      <c r="P1" s="265" t="s">
        <v>197</v>
      </c>
    </row>
    <row r="2" spans="1:23" x14ac:dyDescent="0.25">
      <c r="A2" s="3">
        <f>'Monthly Data'!A2</f>
        <v>42005</v>
      </c>
      <c r="B2" s="1">
        <f t="shared" ref="B2:B56" si="0">YEAR(A2)</f>
        <v>2015</v>
      </c>
      <c r="C2" s="1">
        <f t="shared" ref="C2:C56" si="1">MONTH(A2)</f>
        <v>1</v>
      </c>
      <c r="D2" s="24">
        <f>'Monthly Data'!F2</f>
        <v>49452804.208921209</v>
      </c>
      <c r="E2" s="269">
        <f>'Monthly Data'!BF2</f>
        <v>673.89184782608697</v>
      </c>
      <c r="F2" s="269">
        <f>'Monthly Data'!BK2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>E2*'Res Predicted Monthly'!$T$10</f>
        <v>24141895.4313001</v>
      </c>
      <c r="L2" s="18">
        <f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18">
        <f t="shared" ref="O2:O33" si="2">SUM(J2:N2)</f>
        <v>48463802.61360012</v>
      </c>
      <c r="P2" s="18">
        <f t="shared" ref="P2:P33" si="3">O2-D2</f>
        <v>-989001.59532108903</v>
      </c>
      <c r="Q2" s="270">
        <f t="shared" ref="Q2:Q33" si="4">ABS(P2/D2)</f>
        <v>1.9998898164457875E-2</v>
      </c>
    </row>
    <row r="3" spans="1:23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Data'!F3</f>
        <v>50302916.673507825</v>
      </c>
      <c r="E3" s="269">
        <f>'Monthly Data'!BF3</f>
        <v>753.85434782608695</v>
      </c>
      <c r="F3" s="269">
        <f>'Monthly Data'!BK3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>E3*'Res Predicted Monthly'!$T$10</f>
        <v>27006518.767600689</v>
      </c>
      <c r="L3" s="18">
        <f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18">
        <f t="shared" si="2"/>
        <v>51392099.804341316</v>
      </c>
      <c r="P3" s="18">
        <f t="shared" si="3"/>
        <v>1089183.1308334917</v>
      </c>
      <c r="Q3" s="270">
        <f t="shared" si="4"/>
        <v>2.16524846442376E-2</v>
      </c>
    </row>
    <row r="4" spans="1:23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Data'!F4</f>
        <v>41870929.863253012</v>
      </c>
      <c r="E4" s="269">
        <f>'Monthly Data'!BF4</f>
        <v>513.79999999999995</v>
      </c>
      <c r="F4" s="269">
        <f>'Monthly Data'!BK4</f>
        <v>0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>E4*'Res Predicted Monthly'!$T$10</f>
        <v>18406671.504658341</v>
      </c>
      <c r="L4" s="18">
        <f>F4*'Res Predicted Monthly'!$T$11</f>
        <v>0</v>
      </c>
      <c r="M4" s="18">
        <f>G4*'Res Predicted Monthly'!$T$12</f>
        <v>0</v>
      </c>
      <c r="N4" s="18">
        <f>H4*'Res Predicted Monthly'!$T$13</f>
        <v>191021.56332183871</v>
      </c>
      <c r="O4" s="18">
        <f t="shared" si="2"/>
        <v>42855926.395839579</v>
      </c>
      <c r="P4" s="18">
        <f t="shared" si="3"/>
        <v>984996.5325865671</v>
      </c>
      <c r="Q4" s="270">
        <f t="shared" si="4"/>
        <v>2.3524591782496451E-2</v>
      </c>
      <c r="S4" s="1" t="s">
        <v>200</v>
      </c>
    </row>
    <row r="5" spans="1:23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Data'!F5</f>
        <v>37098204.799471788</v>
      </c>
      <c r="E5" s="269">
        <f>'Monthly Data'!BF5</f>
        <v>226.75037878787884</v>
      </c>
      <c r="F5" s="269">
        <f>'Monthly Data'!BK5</f>
        <v>9.8333333333333321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>E5*'Res Predicted Monthly'!$T$10</f>
        <v>8123238.1002439382</v>
      </c>
      <c r="L5" s="18">
        <f>F5*'Res Predicted Monthly'!$T$11</f>
        <v>576182.11473857576</v>
      </c>
      <c r="M5" s="18">
        <f>G5*'Res Predicted Monthly'!$T$12</f>
        <v>0</v>
      </c>
      <c r="N5" s="18">
        <f>H5*'Res Predicted Monthly'!$T$13</f>
        <v>254695.4177624516</v>
      </c>
      <c r="O5" s="18">
        <f t="shared" si="2"/>
        <v>33212348.960604366</v>
      </c>
      <c r="P5" s="18">
        <f t="shared" si="3"/>
        <v>-3885855.8388674222</v>
      </c>
      <c r="Q5" s="270">
        <f t="shared" si="4"/>
        <v>0.1047451179881014</v>
      </c>
      <c r="S5" s="1" t="s">
        <v>146</v>
      </c>
    </row>
    <row r="6" spans="1:23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Data'!F6</f>
        <v>31770390.553364351</v>
      </c>
      <c r="E6" s="269">
        <f>'Monthly Data'!BF6</f>
        <v>35.578442028985506</v>
      </c>
      <c r="F6" s="269">
        <f>'Monthly Data'!BK6</f>
        <v>155.69477225672881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>E6*'Res Predicted Monthly'!$T$10</f>
        <v>1274582.9020534572</v>
      </c>
      <c r="L6" s="18">
        <f>F6*'Res Predicted Monthly'!$T$11</f>
        <v>9122902.6914531831</v>
      </c>
      <c r="M6" s="18">
        <f>G6*'Res Predicted Monthly'!$T$12</f>
        <v>0</v>
      </c>
      <c r="N6" s="18">
        <f>H6*'Res Predicted Monthly'!$T$13</f>
        <v>318369.27220306452</v>
      </c>
      <c r="O6" s="18">
        <f t="shared" si="2"/>
        <v>34974088.193569109</v>
      </c>
      <c r="P6" s="18">
        <f t="shared" si="3"/>
        <v>3203697.6402047575</v>
      </c>
      <c r="Q6" s="270">
        <f t="shared" si="4"/>
        <v>0.100839101578671</v>
      </c>
      <c r="S6" s="1" t="s">
        <v>575</v>
      </c>
    </row>
    <row r="7" spans="1:23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Data'!F7</f>
        <v>34887825.889012918</v>
      </c>
      <c r="E7" s="269">
        <f>'Monthly Data'!BF7</f>
        <v>5.9875000000000078</v>
      </c>
      <c r="F7" s="269">
        <f>'Monthly Data'!BK7</f>
        <v>209.61250000000001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>E7*'Res Predicted Monthly'!$T$10</f>
        <v>214499.69956041645</v>
      </c>
      <c r="L7" s="18">
        <f>F7*'Res Predicted Monthly'!$T$11</f>
        <v>12282200.697522685</v>
      </c>
      <c r="M7" s="18">
        <f>G7*'Res Predicted Monthly'!$T$12</f>
        <v>0</v>
      </c>
      <c r="N7" s="18">
        <f>H7*'Res Predicted Monthly'!$T$13</f>
        <v>382043.12664367742</v>
      </c>
      <c r="O7" s="18">
        <f t="shared" si="2"/>
        <v>37136976.851586185</v>
      </c>
      <c r="P7" s="18">
        <f t="shared" si="3"/>
        <v>2249150.9625732675</v>
      </c>
      <c r="Q7" s="270">
        <f t="shared" si="4"/>
        <v>6.4468074615150597E-2</v>
      </c>
    </row>
    <row r="8" spans="1:23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Data'!F8</f>
        <v>40842121.370275021</v>
      </c>
      <c r="E8" s="269">
        <f>'Monthly Data'!BF8</f>
        <v>0</v>
      </c>
      <c r="F8" s="269">
        <f>'Monthly Data'!BK8</f>
        <v>329.53750000000002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>E8*'Res Predicted Monthly'!$T$10</f>
        <v>0</v>
      </c>
      <c r="L8" s="18">
        <f>F8*'Res Predicted Monthly'!$T$11</f>
        <v>19309181.04769459</v>
      </c>
      <c r="M8" s="18">
        <f>G8*'Res Predicted Monthly'!$T$12</f>
        <v>0</v>
      </c>
      <c r="N8" s="18">
        <f>H8*'Res Predicted Monthly'!$T$13</f>
        <v>445716.98108429031</v>
      </c>
      <c r="O8" s="18">
        <f t="shared" si="2"/>
        <v>44013131.356638283</v>
      </c>
      <c r="P8" s="18">
        <f t="shared" si="3"/>
        <v>3171009.9863632619</v>
      </c>
      <c r="Q8" s="270">
        <f t="shared" si="4"/>
        <v>7.7640677809432526E-2</v>
      </c>
      <c r="T8" s="1" t="s">
        <v>148</v>
      </c>
      <c r="U8" s="1" t="s">
        <v>149</v>
      </c>
      <c r="V8" s="1" t="s">
        <v>150</v>
      </c>
      <c r="W8" s="1" t="s">
        <v>151</v>
      </c>
    </row>
    <row r="9" spans="1:23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Data'!F9</f>
        <v>45385708.477988221</v>
      </c>
      <c r="E9" s="269">
        <f>'Monthly Data'!BF9</f>
        <v>0</v>
      </c>
      <c r="F9" s="269">
        <f>'Monthly Data'!BK9</f>
        <v>291.94166666666666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>E9*'Res Predicted Monthly'!$T$10</f>
        <v>0</v>
      </c>
      <c r="L9" s="18">
        <f>F9*'Res Predicted Monthly'!$T$11</f>
        <v>17106261.038675025</v>
      </c>
      <c r="M9" s="18">
        <f>G9*'Res Predicted Monthly'!$T$12</f>
        <v>0</v>
      </c>
      <c r="N9" s="18">
        <f>H9*'Res Predicted Monthly'!$T$13</f>
        <v>509390.8355249032</v>
      </c>
      <c r="O9" s="18">
        <f t="shared" si="2"/>
        <v>41873885.202059329</v>
      </c>
      <c r="P9" s="18">
        <f t="shared" si="3"/>
        <v>-3511823.2759288922</v>
      </c>
      <c r="Q9" s="270">
        <f t="shared" si="4"/>
        <v>7.7377293286764584E-2</v>
      </c>
      <c r="S9" s="1" t="s">
        <v>152</v>
      </c>
      <c r="T9" s="18">
        <v>24258233.327859402</v>
      </c>
      <c r="U9" s="18">
        <v>880225.64997414197</v>
      </c>
      <c r="V9" s="588">
        <v>27.559107518136901</v>
      </c>
      <c r="W9" s="588">
        <v>1.7358544023033401E-52</v>
      </c>
    </row>
    <row r="10" spans="1:23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Data'!F10</f>
        <v>40632623.048269503</v>
      </c>
      <c r="E10" s="269">
        <f>'Monthly Data'!BF10</f>
        <v>6.0041666666666682</v>
      </c>
      <c r="F10" s="269">
        <f>'Monthly Data'!BK10</f>
        <v>248.92261904761907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>E10*'Res Predicted Monthly'!$T$10</f>
        <v>215096.77596837841</v>
      </c>
      <c r="L10" s="18">
        <f>F10*'Res Predicted Monthly'!$T$11</f>
        <v>14585568.920249701</v>
      </c>
      <c r="M10" s="18">
        <f>G10*'Res Predicted Monthly'!$T$12</f>
        <v>0</v>
      </c>
      <c r="N10" s="18">
        <f>H10*'Res Predicted Monthly'!$T$13</f>
        <v>573064.6899655161</v>
      </c>
      <c r="O10" s="18">
        <f t="shared" si="2"/>
        <v>39631963.714042999</v>
      </c>
      <c r="P10" s="18">
        <f t="shared" si="3"/>
        <v>-1000659.334226504</v>
      </c>
      <c r="Q10" s="270">
        <f t="shared" si="4"/>
        <v>2.4626993266907017E-2</v>
      </c>
      <c r="S10" s="1" t="s">
        <v>57</v>
      </c>
      <c r="T10" s="18">
        <v>35824.584477731303</v>
      </c>
      <c r="U10" s="18">
        <v>1771.52246186407</v>
      </c>
      <c r="V10" s="588">
        <v>20.2224839080138</v>
      </c>
      <c r="W10" s="588">
        <v>1.1335313592220399E-39</v>
      </c>
    </row>
    <row r="11" spans="1:23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Data'!F11</f>
        <v>32633098.840061631</v>
      </c>
      <c r="E11" s="269">
        <f>'Monthly Data'!BF11</f>
        <v>157.34583333333333</v>
      </c>
      <c r="F11" s="269">
        <f>'Monthly Data'!BK11</f>
        <v>32.275000000000006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>E11*'Res Predicted Monthly'!$T$10</f>
        <v>5636849.0984690301</v>
      </c>
      <c r="L11" s="18">
        <f>F11*'Res Predicted Monthly'!$T$11</f>
        <v>1891146.8901546651</v>
      </c>
      <c r="M11" s="18">
        <f>G11*'Res Predicted Monthly'!$T$12</f>
        <v>0</v>
      </c>
      <c r="N11" s="18">
        <f>H11*'Res Predicted Monthly'!$T$13</f>
        <v>636738.54440612905</v>
      </c>
      <c r="O11" s="18">
        <f t="shared" si="2"/>
        <v>32422967.860889226</v>
      </c>
      <c r="P11" s="18">
        <f t="shared" si="3"/>
        <v>-210130.97917240486</v>
      </c>
      <c r="Q11" s="270">
        <f t="shared" si="4"/>
        <v>6.4391978280174877E-3</v>
      </c>
      <c r="S11" s="1" t="s">
        <v>62</v>
      </c>
      <c r="T11" s="18">
        <v>58594.791329346699</v>
      </c>
      <c r="U11" s="18">
        <v>3118.9593173580602</v>
      </c>
      <c r="V11" s="588">
        <v>18.786648162817301</v>
      </c>
      <c r="W11" s="588">
        <v>7.6732685718107595E-37</v>
      </c>
    </row>
    <row r="12" spans="1:23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Data'!F12</f>
        <v>36028748.529270537</v>
      </c>
      <c r="E12" s="269">
        <f>'Monthly Data'!BF12</f>
        <v>252.04166666666663</v>
      </c>
      <c r="F12" s="269">
        <f>'Monthly Data'!BK12</f>
        <v>11.908333333333333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>E12*'Res Predicted Monthly'!$T$10</f>
        <v>9029287.9794081934</v>
      </c>
      <c r="L12" s="18">
        <f>F12*'Res Predicted Monthly'!$T$11</f>
        <v>697766.30674697028</v>
      </c>
      <c r="M12" s="18">
        <f>G12*'Res Predicted Monthly'!$T$12</f>
        <v>0</v>
      </c>
      <c r="N12" s="18">
        <f>H12*'Res Predicted Monthly'!$T$13</f>
        <v>700412.39884674188</v>
      </c>
      <c r="O12" s="18">
        <f t="shared" si="2"/>
        <v>34685700.012861311</v>
      </c>
      <c r="P12" s="18">
        <f t="shared" si="3"/>
        <v>-1343048.5164092258</v>
      </c>
      <c r="Q12" s="270">
        <f t="shared" si="4"/>
        <v>3.7277134822435033E-2</v>
      </c>
      <c r="S12" s="1" t="s">
        <v>110</v>
      </c>
      <c r="T12" s="18">
        <v>15196.652880874501</v>
      </c>
      <c r="U12" s="18">
        <v>4591.1227702339902</v>
      </c>
      <c r="V12" s="588">
        <v>3.3100079526080699</v>
      </c>
      <c r="W12" s="588">
        <v>1.24648333361304E-3</v>
      </c>
    </row>
    <row r="13" spans="1:23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Data'!F13</f>
        <v>40106687.746603891</v>
      </c>
      <c r="E13" s="269">
        <f>'Monthly Data'!BF13</f>
        <v>313.62590579710144</v>
      </c>
      <c r="F13" s="269">
        <f>'Monthly Data'!BK13</f>
        <v>0.86666666666666714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>E13*'Res Predicted Monthly'!$T$10</f>
        <v>11235517.756633259</v>
      </c>
      <c r="L13" s="18">
        <f>F13*'Res Predicted Monthly'!$T$11</f>
        <v>50782.152485433835</v>
      </c>
      <c r="M13" s="18">
        <f>G13*'Res Predicted Monthly'!$T$12</f>
        <v>0</v>
      </c>
      <c r="N13" s="18">
        <f>H13*'Res Predicted Monthly'!$T$13</f>
        <v>764086.25328735483</v>
      </c>
      <c r="O13" s="18">
        <f t="shared" si="2"/>
        <v>36308619.490265444</v>
      </c>
      <c r="P13" s="18">
        <f t="shared" si="3"/>
        <v>-3798068.2563384473</v>
      </c>
      <c r="Q13" s="270">
        <f t="shared" si="4"/>
        <v>9.4699125500835105E-2</v>
      </c>
      <c r="S13" s="1" t="s">
        <v>80</v>
      </c>
      <c r="T13" s="18">
        <v>63673.8544406129</v>
      </c>
      <c r="U13" s="18">
        <v>6850.9839795404996</v>
      </c>
      <c r="V13" s="588">
        <v>9.2941181340907892</v>
      </c>
      <c r="W13" s="588">
        <v>1.1448402398924E-15</v>
      </c>
    </row>
    <row r="14" spans="1:23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Data'!F14</f>
        <v>44838756.596333042</v>
      </c>
      <c r="E14" s="269">
        <f>'Monthly Data'!BF14</f>
        <v>551.87916666666672</v>
      </c>
      <c r="F14" s="269">
        <f>'Monthly Data'!BK14</f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>E14*'Res Predicted Monthly'!$T$10</f>
        <v>19770841.827749956</v>
      </c>
      <c r="L14" s="18">
        <f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18">
        <f t="shared" si="2"/>
        <v>44856835.263337322</v>
      </c>
      <c r="P14" s="18">
        <f t="shared" si="3"/>
        <v>18078.667004279792</v>
      </c>
      <c r="Q14" s="270">
        <f t="shared" si="4"/>
        <v>4.0319287100299041E-4</v>
      </c>
      <c r="T14" s="18"/>
      <c r="U14" s="18"/>
      <c r="V14" s="588"/>
      <c r="W14" s="588"/>
    </row>
    <row r="15" spans="1:23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Data'!F15</f>
        <v>44227635.344579577</v>
      </c>
      <c r="E15" s="269">
        <f>'Monthly Data'!BF15</f>
        <v>487.70833333333337</v>
      </c>
      <c r="F15" s="269">
        <f>'Monthly Data'!BK15</f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>E15*'Res Predicted Monthly'!$T$10</f>
        <v>17471948.387993541</v>
      </c>
      <c r="L15" s="18">
        <f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18">
        <f t="shared" si="2"/>
        <v>42621615.678021528</v>
      </c>
      <c r="P15" s="18">
        <f t="shared" si="3"/>
        <v>-1606019.6665580496</v>
      </c>
      <c r="Q15" s="270">
        <f t="shared" si="4"/>
        <v>3.631258271091084E-2</v>
      </c>
      <c r="S15" s="1" t="s">
        <v>153</v>
      </c>
      <c r="T15" s="18"/>
      <c r="U15" s="18"/>
      <c r="V15" s="273"/>
      <c r="W15" s="274"/>
    </row>
    <row r="16" spans="1:23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Data'!F16</f>
        <v>38332383.641313039</v>
      </c>
      <c r="E16" s="269">
        <f>'Monthly Data'!BF16</f>
        <v>391.07934782608697</v>
      </c>
      <c r="F16" s="269">
        <f>'Monthly Data'!BK16</f>
        <v>0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>E16*'Res Predicted Monthly'!$T$10</f>
        <v>14010255.133691717</v>
      </c>
      <c r="L16" s="18">
        <f>F16*'Res Predicted Monthly'!$T$11</f>
        <v>0</v>
      </c>
      <c r="M16" s="18">
        <f>G16*'Res Predicted Monthly'!$T$12</f>
        <v>0</v>
      </c>
      <c r="N16" s="18">
        <f>H16*'Res Predicted Monthly'!$T$13</f>
        <v>955107.81660919345</v>
      </c>
      <c r="O16" s="18">
        <f t="shared" si="2"/>
        <v>39223596.278160311</v>
      </c>
      <c r="P16" s="18">
        <f t="shared" si="3"/>
        <v>891212.63684727252</v>
      </c>
      <c r="Q16" s="270">
        <f t="shared" si="4"/>
        <v>2.3249601308037646E-2</v>
      </c>
      <c r="S16" s="1" t="s">
        <v>154</v>
      </c>
      <c r="T16" s="1">
        <v>621840931211264</v>
      </c>
      <c r="U16" s="1" t="s">
        <v>155</v>
      </c>
      <c r="V16" s="18">
        <v>2325362.8631496099</v>
      </c>
    </row>
    <row r="17" spans="1:22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Data'!F17</f>
        <v>36524120.843347013</v>
      </c>
      <c r="E17" s="269">
        <f>'Monthly Data'!BF17</f>
        <v>286.81666666666661</v>
      </c>
      <c r="F17" s="269">
        <f>'Monthly Data'!BK17</f>
        <v>9.3541666666666732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>E17*'Res Predicted Monthly'!$T$10</f>
        <v>10275087.904621297</v>
      </c>
      <c r="L17" s="18">
        <f>F17*'Res Predicted Monthly'!$T$11</f>
        <v>548105.44389326428</v>
      </c>
      <c r="M17" s="18">
        <f>G17*'Res Predicted Monthly'!$T$12</f>
        <v>0</v>
      </c>
      <c r="N17" s="18">
        <f>H17*'Res Predicted Monthly'!$T$13</f>
        <v>1018781.6710498064</v>
      </c>
      <c r="O17" s="18">
        <f t="shared" si="2"/>
        <v>36100208.347423762</v>
      </c>
      <c r="P17" s="18">
        <f t="shared" si="3"/>
        <v>-423912.49592325091</v>
      </c>
      <c r="Q17" s="270">
        <f t="shared" si="4"/>
        <v>1.1606370971704524E-2</v>
      </c>
      <c r="S17" s="1" t="s">
        <v>156</v>
      </c>
      <c r="T17" s="275">
        <v>0.85316058041704201</v>
      </c>
      <c r="U17" s="1" t="s">
        <v>157</v>
      </c>
      <c r="V17" s="275">
        <v>0.84805312234459096</v>
      </c>
    </row>
    <row r="18" spans="1:22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Data'!F18</f>
        <v>31953380.148771688</v>
      </c>
      <c r="E18" s="269">
        <f>'Monthly Data'!BF18</f>
        <v>75.344444444444463</v>
      </c>
      <c r="F18" s="269">
        <f>'Monthly Data'!BK18</f>
        <v>134.0888888888889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>E18*'Res Predicted Monthly'!$T$10</f>
        <v>2699183.4149277336</v>
      </c>
      <c r="L18" s="18">
        <f>F18*'Res Predicted Monthly'!$T$11</f>
        <v>7856910.4640284004</v>
      </c>
      <c r="M18" s="18">
        <f>G18*'Res Predicted Monthly'!$T$12</f>
        <v>0</v>
      </c>
      <c r="N18" s="18">
        <f>H18*'Res Predicted Monthly'!$T$13</f>
        <v>1082455.5254904192</v>
      </c>
      <c r="O18" s="18">
        <f t="shared" si="2"/>
        <v>35896782.732305951</v>
      </c>
      <c r="P18" s="18">
        <f t="shared" si="3"/>
        <v>3943402.5835342631</v>
      </c>
      <c r="Q18" s="270">
        <f t="shared" si="4"/>
        <v>0.12341112474405468</v>
      </c>
      <c r="S18" s="1" t="s">
        <v>199</v>
      </c>
      <c r="T18" s="272">
        <v>157.54363223243001</v>
      </c>
      <c r="U18" s="1" t="s">
        <v>159</v>
      </c>
      <c r="V18" s="272">
        <v>1.0739945879174199E-45</v>
      </c>
    </row>
    <row r="19" spans="1:22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Data'!F19</f>
        <v>38776341.079345882</v>
      </c>
      <c r="E19" s="269">
        <f>'Monthly Data'!BF19</f>
        <v>3.9749999999999996</v>
      </c>
      <c r="F19" s="269">
        <f>'Monthly Data'!BK19</f>
        <v>263.20416666666671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>E19*'Res Predicted Monthly'!$T$10</f>
        <v>142402.72329898193</v>
      </c>
      <c r="L19" s="18">
        <f>F19*'Res Predicted Monthly'!$T$11</f>
        <v>15422393.222847925</v>
      </c>
      <c r="M19" s="18">
        <f>G19*'Res Predicted Monthly'!$T$12</f>
        <v>0</v>
      </c>
      <c r="N19" s="18">
        <f>H19*'Res Predicted Monthly'!$T$13</f>
        <v>1146129.3799310322</v>
      </c>
      <c r="O19" s="18">
        <f t="shared" si="2"/>
        <v>40969158.65393734</v>
      </c>
      <c r="P19" s="18">
        <f t="shared" si="3"/>
        <v>2192817.5745914578</v>
      </c>
      <c r="Q19" s="270">
        <f t="shared" si="4"/>
        <v>5.6550399381530517E-2</v>
      </c>
      <c r="S19" s="1" t="s">
        <v>160</v>
      </c>
      <c r="T19" s="2">
        <v>1.8505008192256301E-2</v>
      </c>
      <c r="U19" s="1" t="s">
        <v>161</v>
      </c>
      <c r="V19" s="272">
        <v>1.9602291578087701</v>
      </c>
    </row>
    <row r="20" spans="1:22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Data'!F20</f>
        <v>47218565.56540361</v>
      </c>
      <c r="E20" s="269">
        <f>'Monthly Data'!BF20</f>
        <v>0</v>
      </c>
      <c r="F20" s="269">
        <f>'Monthly Data'!BK20</f>
        <v>375.22916666666669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>E20*'Res Predicted Monthly'!$T$10</f>
        <v>0</v>
      </c>
      <c r="L20" s="18">
        <f>F20*'Res Predicted Monthly'!$T$11</f>
        <v>21986474.721517988</v>
      </c>
      <c r="M20" s="18">
        <f>G20*'Res Predicted Monthly'!$T$12</f>
        <v>0</v>
      </c>
      <c r="N20" s="18">
        <f>H20*'Res Predicted Monthly'!$T$13</f>
        <v>1209803.2343716451</v>
      </c>
      <c r="O20" s="18">
        <f t="shared" si="2"/>
        <v>47454511.283749036</v>
      </c>
      <c r="P20" s="18">
        <f t="shared" si="3"/>
        <v>235945.71834542602</v>
      </c>
      <c r="Q20" s="270">
        <f t="shared" si="4"/>
        <v>4.9968844991407401E-3</v>
      </c>
      <c r="T20" s="272"/>
      <c r="V20" s="272"/>
    </row>
    <row r="21" spans="1:22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Data'!F21</f>
        <v>52195914.613973007</v>
      </c>
      <c r="E21" s="269">
        <f>'Monthly Data'!BF21</f>
        <v>0</v>
      </c>
      <c r="F21" s="269">
        <f>'Monthly Data'!BK21</f>
        <v>390.02499999999998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>E21*'Res Predicted Monthly'!$T$10</f>
        <v>0</v>
      </c>
      <c r="L21" s="18">
        <f>F21*'Res Predicted Monthly'!$T$11</f>
        <v>22853433.488228444</v>
      </c>
      <c r="M21" s="18">
        <f>G21*'Res Predicted Monthly'!$T$12</f>
        <v>0</v>
      </c>
      <c r="N21" s="18">
        <f>H21*'Res Predicted Monthly'!$T$13</f>
        <v>1273477.0888122581</v>
      </c>
      <c r="O21" s="18">
        <f t="shared" si="2"/>
        <v>48385143.904900104</v>
      </c>
      <c r="P21" s="18">
        <f t="shared" si="3"/>
        <v>-3810770.7090729028</v>
      </c>
      <c r="Q21" s="270">
        <f t="shared" si="4"/>
        <v>7.300898427120861E-2</v>
      </c>
      <c r="S21" s="1" t="s">
        <v>162</v>
      </c>
    </row>
    <row r="22" spans="1:22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Data'!F22</f>
        <v>42103147.773135491</v>
      </c>
      <c r="E22" s="269">
        <f>'Monthly Data'!BF22</f>
        <v>4.9124999999999979</v>
      </c>
      <c r="F22" s="269">
        <f>'Monthly Data'!BK22</f>
        <v>235.7416666666667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>E22*'Res Predicted Monthly'!$T$10</f>
        <v>175988.27124685494</v>
      </c>
      <c r="L22" s="18">
        <f>F22*'Res Predicted Monthly'!$T$11</f>
        <v>13813233.765965741</v>
      </c>
      <c r="M22" s="18">
        <f>G22*'Res Predicted Monthly'!$T$12</f>
        <v>0</v>
      </c>
      <c r="N22" s="18">
        <f>H22*'Res Predicted Monthly'!$T$13</f>
        <v>1337150.9432528708</v>
      </c>
      <c r="O22" s="18">
        <f t="shared" si="2"/>
        <v>39584606.308324866</v>
      </c>
      <c r="P22" s="18">
        <f t="shared" si="3"/>
        <v>-2518541.4648106247</v>
      </c>
      <c r="Q22" s="270">
        <f t="shared" si="4"/>
        <v>5.9818365087125763E-2</v>
      </c>
      <c r="S22" s="1" t="s">
        <v>163</v>
      </c>
      <c r="T22" s="18">
        <v>43307328.699478202</v>
      </c>
      <c r="U22" s="1" t="s">
        <v>164</v>
      </c>
      <c r="V22" s="18">
        <v>5963546.8001526203</v>
      </c>
    </row>
    <row r="23" spans="1:22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Data'!F23</f>
        <v>31899084.21183715</v>
      </c>
      <c r="E23" s="269">
        <f>'Monthly Data'!BF23</f>
        <v>121.96666666666667</v>
      </c>
      <c r="F23" s="269">
        <f>'Monthly Data'!BK23</f>
        <v>85.800000000000011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>E23*'Res Predicted Monthly'!$T$10</f>
        <v>4369405.1534672948</v>
      </c>
      <c r="L23" s="18">
        <f>F23*'Res Predicted Monthly'!$T$11</f>
        <v>5027433.0960579477</v>
      </c>
      <c r="M23" s="18">
        <f>G23*'Res Predicted Monthly'!$T$12</f>
        <v>0</v>
      </c>
      <c r="N23" s="18">
        <f>H23*'Res Predicted Monthly'!$T$13</f>
        <v>1400824.7976934838</v>
      </c>
      <c r="O23" s="18">
        <f t="shared" si="2"/>
        <v>35055896.375078127</v>
      </c>
      <c r="P23" s="18">
        <f t="shared" si="3"/>
        <v>3156812.1632409766</v>
      </c>
      <c r="Q23" s="270">
        <f t="shared" si="4"/>
        <v>9.8962469965502745E-2</v>
      </c>
      <c r="T23" s="18"/>
      <c r="V23" s="18"/>
    </row>
    <row r="24" spans="1:22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Data'!F24</f>
        <v>35135197.641628094</v>
      </c>
      <c r="E24" s="269">
        <f>'Monthly Data'!BF24</f>
        <v>257.33511904761906</v>
      </c>
      <c r="F24" s="269">
        <f>'Monthly Data'!BK24</f>
        <v>3.6666666666666679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>E24*'Res Predicted Monthly'!$T$10</f>
        <v>9218923.7114084717</v>
      </c>
      <c r="L24" s="18">
        <f>F24*'Res Predicted Monthly'!$T$11</f>
        <v>214847.56820760464</v>
      </c>
      <c r="M24" s="18">
        <f>G24*'Res Predicted Monthly'!$T$12</f>
        <v>0</v>
      </c>
      <c r="N24" s="18">
        <f>H24*'Res Predicted Monthly'!$T$13</f>
        <v>1464498.6521340967</v>
      </c>
      <c r="O24" s="18">
        <f t="shared" si="2"/>
        <v>35156503.25960958</v>
      </c>
      <c r="P24" s="18">
        <f t="shared" si="3"/>
        <v>21305.617981486022</v>
      </c>
      <c r="Q24" s="270">
        <f t="shared" si="4"/>
        <v>6.0638958684106504E-4</v>
      </c>
    </row>
    <row r="25" spans="1:22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Data'!F25</f>
        <v>42452801.040332444</v>
      </c>
      <c r="E25" s="269">
        <f>'Monthly Data'!BF25</f>
        <v>492.67083333333335</v>
      </c>
      <c r="F25" s="269">
        <f>'Monthly Data'!BK25</f>
        <v>0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>E25*'Res Predicted Monthly'!$T$10</f>
        <v>17649727.888464279</v>
      </c>
      <c r="L25" s="18">
        <f>F25*'Res Predicted Monthly'!$T$11</f>
        <v>0</v>
      </c>
      <c r="M25" s="18">
        <f>G25*'Res Predicted Monthly'!$T$12</f>
        <v>0</v>
      </c>
      <c r="N25" s="18">
        <f>H25*'Res Predicted Monthly'!$T$13</f>
        <v>1528172.5065747097</v>
      </c>
      <c r="O25" s="18">
        <f t="shared" si="2"/>
        <v>43436133.722898394</v>
      </c>
      <c r="P25" s="18">
        <f t="shared" si="3"/>
        <v>983332.68256594986</v>
      </c>
      <c r="Q25" s="270">
        <f t="shared" si="4"/>
        <v>2.3162963537593926E-2</v>
      </c>
    </row>
    <row r="26" spans="1:22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Data'!F26</f>
        <v>46444289.199650407</v>
      </c>
      <c r="E26" s="269">
        <f>'Monthly Data'!BF26</f>
        <v>496.21666666666664</v>
      </c>
      <c r="F26" s="269">
        <f>'Monthly Data'!BK26</f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>E26*'Res Predicted Monthly'!$T$10</f>
        <v>17776755.894258235</v>
      </c>
      <c r="L26" s="18">
        <f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18">
        <f t="shared" si="2"/>
        <v>43626835.583132952</v>
      </c>
      <c r="P26" s="18">
        <f t="shared" si="3"/>
        <v>-2817453.6165174544</v>
      </c>
      <c r="Q26" s="270">
        <f t="shared" si="4"/>
        <v>6.0663079682542795E-2</v>
      </c>
    </row>
    <row r="27" spans="1:22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Data'!F27</f>
        <v>42786099.90316622</v>
      </c>
      <c r="E27" s="269">
        <f>'Monthly Data'!BF27</f>
        <v>418.08333333333331</v>
      </c>
      <c r="F27" s="269">
        <f>'Monthly Data'!BK27</f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>E27*'Res Predicted Monthly'!$T$10</f>
        <v>14977661.693731494</v>
      </c>
      <c r="L27" s="18">
        <f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18">
        <f t="shared" si="2"/>
        <v>40891415.23704683</v>
      </c>
      <c r="P27" s="18">
        <f t="shared" si="3"/>
        <v>-1894684.6661193892</v>
      </c>
      <c r="Q27" s="270">
        <f t="shared" si="4"/>
        <v>4.4282714956667045E-2</v>
      </c>
    </row>
    <row r="28" spans="1:22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Data'!F28</f>
        <v>40837973.445211791</v>
      </c>
      <c r="E28" s="269">
        <f>'Monthly Data'!BF28</f>
        <v>475.67916666666662</v>
      </c>
      <c r="F28" s="269">
        <f>'Monthly Data'!BK28</f>
        <v>0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>E28*'Res Predicted Monthly'!$T$10</f>
        <v>17041008.490546826</v>
      </c>
      <c r="L28" s="18">
        <f>F28*'Res Predicted Monthly'!$T$11</f>
        <v>0</v>
      </c>
      <c r="M28" s="18">
        <f>G28*'Res Predicted Monthly'!$T$12</f>
        <v>0</v>
      </c>
      <c r="N28" s="18">
        <f>H28*'Res Predicted Monthly'!$T$13</f>
        <v>1719194.0698965483</v>
      </c>
      <c r="O28" s="18">
        <f t="shared" si="2"/>
        <v>43018435.888302773</v>
      </c>
      <c r="P28" s="18">
        <f t="shared" si="3"/>
        <v>2180462.4430909827</v>
      </c>
      <c r="Q28" s="270">
        <f t="shared" si="4"/>
        <v>5.3393012902961265E-2</v>
      </c>
    </row>
    <row r="29" spans="1:22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Data'!F29</f>
        <v>36940740.360373333</v>
      </c>
      <c r="E29" s="269">
        <f>'Monthly Data'!BF29</f>
        <v>174.03750000000005</v>
      </c>
      <c r="F29" s="269">
        <f>'Monthly Data'!BK29</f>
        <v>24.758333333333333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>E29*'Res Predicted Monthly'!$T$10</f>
        <v>6234821.1210431634</v>
      </c>
      <c r="L29" s="18">
        <f>F29*'Res Predicted Monthly'!$T$11</f>
        <v>1450709.3753290754</v>
      </c>
      <c r="M29" s="18">
        <f>G29*'Res Predicted Monthly'!$T$12</f>
        <v>0</v>
      </c>
      <c r="N29" s="18">
        <f>H29*'Res Predicted Monthly'!$T$13</f>
        <v>1782867.9243371612</v>
      </c>
      <c r="O29" s="18">
        <f t="shared" si="2"/>
        <v>33726631.748568803</v>
      </c>
      <c r="P29" s="18">
        <f t="shared" si="3"/>
        <v>-3214108.61180453</v>
      </c>
      <c r="Q29" s="270">
        <f t="shared" si="4"/>
        <v>8.7007152007498298E-2</v>
      </c>
    </row>
    <row r="30" spans="1:22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Data'!F30</f>
        <v>33272849.356663078</v>
      </c>
      <c r="E30" s="269">
        <f>'Monthly Data'!BF30</f>
        <v>88.129166666666677</v>
      </c>
      <c r="F30" s="269">
        <f>'Monthly Data'!BK30</f>
        <v>90.983333333333348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>E30*'Res Predicted Monthly'!$T$10</f>
        <v>3157190.7762020621</v>
      </c>
      <c r="L30" s="18">
        <f>F30*'Res Predicted Monthly'!$T$11</f>
        <v>5331149.431115061</v>
      </c>
      <c r="M30" s="18">
        <f>G30*'Res Predicted Monthly'!$T$12</f>
        <v>0</v>
      </c>
      <c r="N30" s="18">
        <f>H30*'Res Predicted Monthly'!$T$13</f>
        <v>1846541.7787777742</v>
      </c>
      <c r="O30" s="18">
        <f t="shared" si="2"/>
        <v>34593115.313954294</v>
      </c>
      <c r="P30" s="18">
        <f t="shared" si="3"/>
        <v>1320265.9572912157</v>
      </c>
      <c r="Q30" s="270">
        <f t="shared" si="4"/>
        <v>3.9679978806108018E-2</v>
      </c>
    </row>
    <row r="31" spans="1:22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Data'!F31</f>
        <v>37271121.64391619</v>
      </c>
      <c r="E31" s="269">
        <f>'Monthly Data'!BF31</f>
        <v>4.091666666666665</v>
      </c>
      <c r="F31" s="269">
        <f>'Monthly Data'!BK31</f>
        <v>228.62166666666667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>E31*'Res Predicted Monthly'!$T$10</f>
        <v>146582.25815471719</v>
      </c>
      <c r="L31" s="18">
        <f>F31*'Res Predicted Monthly'!$T$11</f>
        <v>13396038.851700792</v>
      </c>
      <c r="M31" s="18">
        <f>G31*'Res Predicted Monthly'!$T$12</f>
        <v>0</v>
      </c>
      <c r="N31" s="18">
        <f>H31*'Res Predicted Monthly'!$T$13</f>
        <v>1910215.6332183869</v>
      </c>
      <c r="O31" s="18">
        <f t="shared" si="2"/>
        <v>39711070.070933297</v>
      </c>
      <c r="P31" s="18">
        <f t="shared" si="3"/>
        <v>2439948.4270171076</v>
      </c>
      <c r="Q31" s="270">
        <f t="shared" si="4"/>
        <v>6.5464851053533654E-2</v>
      </c>
    </row>
    <row r="32" spans="1:22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Data'!F32</f>
        <v>43007005.802366681</v>
      </c>
      <c r="E32" s="269">
        <f>'Monthly Data'!BF32</f>
        <v>0</v>
      </c>
      <c r="F32" s="269">
        <f>'Monthly Data'!BK32</f>
        <v>322.16666666666657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>E32*'Res Predicted Monthly'!$T$10</f>
        <v>0</v>
      </c>
      <c r="L32" s="18">
        <f>F32*'Res Predicted Monthly'!$T$11</f>
        <v>18877288.606604524</v>
      </c>
      <c r="M32" s="18">
        <f>G32*'Res Predicted Monthly'!$T$12</f>
        <v>0</v>
      </c>
      <c r="N32" s="18">
        <f>H32*'Res Predicted Monthly'!$T$13</f>
        <v>1973889.4876589999</v>
      </c>
      <c r="O32" s="18">
        <f t="shared" si="2"/>
        <v>45109411.422122926</v>
      </c>
      <c r="P32" s="18">
        <f t="shared" si="3"/>
        <v>2102405.6197562441</v>
      </c>
      <c r="Q32" s="270">
        <f t="shared" si="4"/>
        <v>4.8885189297241158E-2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Data'!F33</f>
        <v>43246511.74715858</v>
      </c>
      <c r="E33" s="269">
        <f>'Monthly Data'!BF33</f>
        <v>0</v>
      </c>
      <c r="F33" s="269">
        <f>'Monthly Data'!BK33</f>
        <v>279.42409420289852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>E33*'Res Predicted Monthly'!$T$10</f>
        <v>0</v>
      </c>
      <c r="L33" s="18">
        <f>F33*'Res Predicted Monthly'!$T$11</f>
        <v>16372796.492210554</v>
      </c>
      <c r="M33" s="18">
        <f>G33*'Res Predicted Monthly'!$T$12</f>
        <v>0</v>
      </c>
      <c r="N33" s="18">
        <f>H33*'Res Predicted Monthly'!$T$13</f>
        <v>2037563.3420996128</v>
      </c>
      <c r="O33" s="18">
        <f t="shared" si="2"/>
        <v>42668593.162169568</v>
      </c>
      <c r="P33" s="18">
        <f t="shared" si="3"/>
        <v>-577918.58498901129</v>
      </c>
      <c r="Q33" s="270">
        <f t="shared" si="4"/>
        <v>1.3363357219833625E-2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Data'!F34</f>
        <v>40173512.443843894</v>
      </c>
      <c r="E34" s="269">
        <f>'Monthly Data'!BF34</f>
        <v>16.833333333333329</v>
      </c>
      <c r="F34" s="269">
        <f>'Monthly Data'!BK34</f>
        <v>217.22916666666663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>E34*'Res Predicted Monthly'!$T$10</f>
        <v>603047.17204181012</v>
      </c>
      <c r="L34" s="18">
        <f>F34*'Res Predicted Monthly'!$T$11</f>
        <v>12728497.691481207</v>
      </c>
      <c r="M34" s="18">
        <f>G34*'Res Predicted Monthly'!$T$12</f>
        <v>0</v>
      </c>
      <c r="N34" s="18">
        <f>H34*'Res Predicted Monthly'!$T$13</f>
        <v>2101237.1965402258</v>
      </c>
      <c r="O34" s="18">
        <f t="shared" ref="O34:O65" si="5">SUM(J34:N34)</f>
        <v>39691015.387922652</v>
      </c>
      <c r="P34" s="18">
        <f t="shared" ref="P34:P65" si="6">O34-D34</f>
        <v>-482497.05592124164</v>
      </c>
      <c r="Q34" s="270">
        <f t="shared" ref="Q34:Q65" si="7">ABS(P34/D34)</f>
        <v>1.2010327864552419E-2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Data'!F35</f>
        <v>36831928.279389635</v>
      </c>
      <c r="E35" s="269">
        <f>'Monthly Data'!BF35</f>
        <v>82.137500000000017</v>
      </c>
      <c r="F35" s="269">
        <f>'Monthly Data'!BK35</f>
        <v>98.274999999999977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>E35*'Res Predicted Monthly'!$T$10</f>
        <v>2942541.8075396554</v>
      </c>
      <c r="L35" s="18">
        <f>F35*'Res Predicted Monthly'!$T$11</f>
        <v>5758403.1178915454</v>
      </c>
      <c r="M35" s="18">
        <f>G35*'Res Predicted Monthly'!$T$12</f>
        <v>0</v>
      </c>
      <c r="N35" s="18">
        <f>H35*'Res Predicted Monthly'!$T$13</f>
        <v>2164911.0509808385</v>
      </c>
      <c r="O35" s="18">
        <f t="shared" si="5"/>
        <v>35124089.304271445</v>
      </c>
      <c r="P35" s="18">
        <f t="shared" si="6"/>
        <v>-1707838.9751181901</v>
      </c>
      <c r="Q35" s="270">
        <f t="shared" si="7"/>
        <v>4.6368437790259828E-2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Data'!F36</f>
        <v>39177413.497449182</v>
      </c>
      <c r="E36" s="269">
        <f>'Monthly Data'!BF36</f>
        <v>322.61174242424249</v>
      </c>
      <c r="F36" s="269">
        <f>'Monthly Data'!BK36</f>
        <v>1.2958333333333325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>E36*'Res Predicted Monthly'!$T$10</f>
        <v>11557431.619985366</v>
      </c>
      <c r="L36" s="18">
        <f>F36*'Res Predicted Monthly'!$T$11</f>
        <v>75929.083764278388</v>
      </c>
      <c r="M36" s="18">
        <f>G36*'Res Predicted Monthly'!$T$12</f>
        <v>0</v>
      </c>
      <c r="N36" s="18">
        <f>H36*'Res Predicted Monthly'!$T$13</f>
        <v>2228584.9054214517</v>
      </c>
      <c r="O36" s="18">
        <f t="shared" si="5"/>
        <v>38120178.937030494</v>
      </c>
      <c r="P36" s="18">
        <f t="shared" si="6"/>
        <v>-1057234.5604186878</v>
      </c>
      <c r="Q36" s="270">
        <f t="shared" si="7"/>
        <v>2.6985818256928158E-2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Data'!F37</f>
        <v>45743096.906611487</v>
      </c>
      <c r="E37" s="269">
        <f>'Monthly Data'!BF37</f>
        <v>612.31250000000011</v>
      </c>
      <c r="F37" s="269">
        <f>'Monthly Data'!BK37</f>
        <v>0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>E37*'Res Predicted Monthly'!$T$10</f>
        <v>21935840.883020852</v>
      </c>
      <c r="L37" s="18">
        <f>F37*'Res Predicted Monthly'!$T$11</f>
        <v>0</v>
      </c>
      <c r="M37" s="18">
        <f>G37*'Res Predicted Monthly'!$T$12</f>
        <v>0</v>
      </c>
      <c r="N37" s="18">
        <f>H37*'Res Predicted Monthly'!$T$13</f>
        <v>2292258.7598620644</v>
      </c>
      <c r="O37" s="18">
        <f t="shared" si="5"/>
        <v>48486332.970742315</v>
      </c>
      <c r="P37" s="18">
        <f t="shared" si="6"/>
        <v>2743236.0641308278</v>
      </c>
      <c r="Q37" s="270">
        <f t="shared" si="7"/>
        <v>5.9970492809688483E-2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Data'!F38</f>
        <v>49182543.969667621</v>
      </c>
      <c r="E38" s="269">
        <f>'Monthly Data'!BF38</f>
        <v>626.53750000000002</v>
      </c>
      <c r="F38" s="269">
        <f>'Monthly Data'!BK38</f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>E38*'Res Predicted Monthly'!$T$10</f>
        <v>22445445.597216576</v>
      </c>
      <c r="L38" s="18">
        <f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18">
        <f t="shared" si="5"/>
        <v>49059611.539378658</v>
      </c>
      <c r="P38" s="18">
        <f t="shared" si="6"/>
        <v>-122932.43028896302</v>
      </c>
      <c r="Q38" s="270">
        <f t="shared" si="7"/>
        <v>2.4995134526749818E-3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Data'!F39</f>
        <v>42254490.640547559</v>
      </c>
      <c r="E39" s="269">
        <f>'Monthly Data'!BF39</f>
        <v>464.49583333333334</v>
      </c>
      <c r="F39" s="269">
        <f>'Monthly Data'!BK39</f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>E39*'Res Predicted Monthly'!$T$10</f>
        <v>16640370.2208042</v>
      </c>
      <c r="L39" s="18">
        <f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18">
        <f t="shared" si="5"/>
        <v>43318210.017406888</v>
      </c>
      <c r="P39" s="18">
        <f t="shared" si="6"/>
        <v>1063719.3768593296</v>
      </c>
      <c r="Q39" s="270">
        <f t="shared" si="7"/>
        <v>2.5174114294933207E-2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Data'!F40</f>
        <v>43432566.137043901</v>
      </c>
      <c r="E40" s="269">
        <f>'Monthly Data'!BF40</f>
        <v>443.2791666666667</v>
      </c>
      <c r="F40" s="269">
        <f>'Monthly Data'!BK40</f>
        <v>0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>E40*'Res Predicted Monthly'!$T$10</f>
        <v>15880291.953468336</v>
      </c>
      <c r="L40" s="18">
        <f>F40*'Res Predicted Monthly'!$T$11</f>
        <v>0</v>
      </c>
      <c r="M40" s="18">
        <f>G40*'Res Predicted Monthly'!$T$12</f>
        <v>0</v>
      </c>
      <c r="N40" s="18">
        <f>H40*'Res Predicted Monthly'!$T$13</f>
        <v>2483280.323183903</v>
      </c>
      <c r="O40" s="18">
        <f t="shared" si="5"/>
        <v>42621805.604511641</v>
      </c>
      <c r="P40" s="18">
        <f t="shared" si="6"/>
        <v>-810760.53253225982</v>
      </c>
      <c r="Q40" s="270">
        <f t="shared" si="7"/>
        <v>1.8667110987042445E-2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Data'!F41</f>
        <v>40741485.304550432</v>
      </c>
      <c r="E41" s="269">
        <f>'Monthly Data'!BF41</f>
        <v>332.51666666666671</v>
      </c>
      <c r="F41" s="269">
        <f>'Monthly Data'!BK41</f>
        <v>6.2499999999998224E-2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>E41*'Res Predicted Monthly'!$T$10</f>
        <v>11912271.415253622</v>
      </c>
      <c r="L41" s="18">
        <f>F41*'Res Predicted Monthly'!$T$11</f>
        <v>3662.1744580840646</v>
      </c>
      <c r="M41" s="18">
        <f>G41*'Res Predicted Monthly'!$T$12</f>
        <v>0</v>
      </c>
      <c r="N41" s="18">
        <f>H41*'Res Predicted Monthly'!$T$13</f>
        <v>2546954.1776245162</v>
      </c>
      <c r="O41" s="18">
        <f t="shared" si="5"/>
        <v>38721121.095195629</v>
      </c>
      <c r="P41" s="18">
        <f t="shared" si="6"/>
        <v>-2020364.209354803</v>
      </c>
      <c r="Q41" s="270">
        <f t="shared" si="7"/>
        <v>4.9589851578856106E-2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Data'!F42</f>
        <v>32656333.018106893</v>
      </c>
      <c r="E42" s="269">
        <f>'Monthly Data'!BF42</f>
        <v>22.062500000000014</v>
      </c>
      <c r="F42" s="269">
        <f>'Monthly Data'!BK42</f>
        <v>185.32554112554109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>E42*'Res Predicted Monthly'!$T$10</f>
        <v>790379.89503994735</v>
      </c>
      <c r="L42" s="18">
        <f>F42*'Res Predicted Monthly'!$T$11</f>
        <v>10859111.410249341</v>
      </c>
      <c r="M42" s="18">
        <f>G42*'Res Predicted Monthly'!$T$12</f>
        <v>0</v>
      </c>
      <c r="N42" s="18">
        <f>H42*'Res Predicted Monthly'!$T$13</f>
        <v>2610628.0320651289</v>
      </c>
      <c r="O42" s="18">
        <f t="shared" si="5"/>
        <v>38518352.665213816</v>
      </c>
      <c r="P42" s="18">
        <f t="shared" si="6"/>
        <v>5862019.6471069232</v>
      </c>
      <c r="Q42" s="270">
        <f t="shared" si="7"/>
        <v>0.17950636539187118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Data'!F43</f>
        <v>39427584.09957619</v>
      </c>
      <c r="E43" s="269">
        <f>'Monthly Data'!BF43</f>
        <v>3.3208333333333275</v>
      </c>
      <c r="F43" s="269">
        <f>'Monthly Data'!BK43</f>
        <v>258.19393939393944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>E43*'Res Predicted Monthly'!$T$10</f>
        <v>118967.47428646583</v>
      </c>
      <c r="L43" s="18">
        <f>F43*'Res Predicted Monthly'!$T$11</f>
        <v>15128820.001289871</v>
      </c>
      <c r="M43" s="18">
        <f>G43*'Res Predicted Monthly'!$T$12</f>
        <v>0</v>
      </c>
      <c r="N43" s="18">
        <f>H43*'Res Predicted Monthly'!$T$13</f>
        <v>2674301.8865057416</v>
      </c>
      <c r="O43" s="18">
        <f t="shared" si="5"/>
        <v>42180322.689941481</v>
      </c>
      <c r="P43" s="18">
        <f t="shared" si="6"/>
        <v>2752738.5903652906</v>
      </c>
      <c r="Q43" s="270">
        <f t="shared" si="7"/>
        <v>6.9817582112389184E-2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Data'!F44</f>
        <v>48882916.889358468</v>
      </c>
      <c r="E44" s="269">
        <f>'Monthly Data'!BF44</f>
        <v>0</v>
      </c>
      <c r="F44" s="269">
        <f>'Monthly Data'!BK44</f>
        <v>380.39861424807083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>E44*'Res Predicted Monthly'!$T$10</f>
        <v>0</v>
      </c>
      <c r="L44" s="18">
        <f>F44*'Res Predicted Monthly'!$T$11</f>
        <v>22289377.423838362</v>
      </c>
      <c r="M44" s="18">
        <f>G44*'Res Predicted Monthly'!$T$12</f>
        <v>0</v>
      </c>
      <c r="N44" s="18">
        <f>H44*'Res Predicted Monthly'!$T$13</f>
        <v>2737975.7409463548</v>
      </c>
      <c r="O44" s="18">
        <f t="shared" si="5"/>
        <v>49285586.492644116</v>
      </c>
      <c r="P44" s="18">
        <f t="shared" si="6"/>
        <v>402669.60328564793</v>
      </c>
      <c r="Q44" s="270">
        <f t="shared" si="7"/>
        <v>8.2374299430013516E-3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Data'!F45</f>
        <v>51351752.177842215</v>
      </c>
      <c r="E45" s="269">
        <f>'Monthly Data'!BF45</f>
        <v>0</v>
      </c>
      <c r="F45" s="269">
        <f>'Monthly Data'!BK45</f>
        <v>376.24583333333334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>E45*'Res Predicted Monthly'!$T$10</f>
        <v>0</v>
      </c>
      <c r="L45" s="18">
        <f>F45*'Res Predicted Monthly'!$T$11</f>
        <v>22046046.092702825</v>
      </c>
      <c r="M45" s="18">
        <f>G45*'Res Predicted Monthly'!$T$12</f>
        <v>0</v>
      </c>
      <c r="N45" s="18">
        <f>H45*'Res Predicted Monthly'!$T$13</f>
        <v>2801649.5953869675</v>
      </c>
      <c r="O45" s="18">
        <f t="shared" si="5"/>
        <v>49105929.01594919</v>
      </c>
      <c r="P45" s="18">
        <f t="shared" si="6"/>
        <v>-2245823.161893025</v>
      </c>
      <c r="Q45" s="270">
        <f t="shared" si="7"/>
        <v>4.3734109677801336E-2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Data'!F46</f>
        <v>45094790.035028785</v>
      </c>
      <c r="E46" s="269">
        <f>'Monthly Data'!BF46</f>
        <v>13.695833333333338</v>
      </c>
      <c r="F46" s="269">
        <f>'Monthly Data'!BK46</f>
        <v>241.36666666666665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>E46*'Res Predicted Monthly'!$T$10</f>
        <v>490647.53824292851</v>
      </c>
      <c r="L46" s="18">
        <f>F46*'Res Predicted Monthly'!$T$11</f>
        <v>14142829.467193313</v>
      </c>
      <c r="M46" s="18">
        <f>G46*'Res Predicted Monthly'!$T$12</f>
        <v>0</v>
      </c>
      <c r="N46" s="18">
        <f>H46*'Res Predicted Monthly'!$T$13</f>
        <v>2865323.4498275807</v>
      </c>
      <c r="O46" s="18">
        <f t="shared" si="5"/>
        <v>41757033.783123225</v>
      </c>
      <c r="P46" s="18">
        <f t="shared" si="6"/>
        <v>-3337756.2519055605</v>
      </c>
      <c r="Q46" s="270">
        <f t="shared" si="7"/>
        <v>7.4016449556874628E-2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Data'!F47</f>
        <v>34872575.812981203</v>
      </c>
      <c r="E47" s="269">
        <f>'Monthly Data'!BF47</f>
        <v>194.17916666666662</v>
      </c>
      <c r="F47" s="269">
        <f>'Monthly Data'!BK47</f>
        <v>41.524999999999999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>E47*'Res Predicted Monthly'!$T$10</f>
        <v>6956387.9600654645</v>
      </c>
      <c r="L47" s="18">
        <f>F47*'Res Predicted Monthly'!$T$11</f>
        <v>2433148.7099511218</v>
      </c>
      <c r="M47" s="18">
        <f>G47*'Res Predicted Monthly'!$T$12</f>
        <v>0</v>
      </c>
      <c r="N47" s="18">
        <f>H47*'Res Predicted Monthly'!$T$13</f>
        <v>2928997.3042681934</v>
      </c>
      <c r="O47" s="18">
        <f t="shared" si="5"/>
        <v>36576767.302144185</v>
      </c>
      <c r="P47" s="18">
        <f t="shared" si="6"/>
        <v>1704191.4891629815</v>
      </c>
      <c r="Q47" s="270">
        <f t="shared" si="7"/>
        <v>4.8869102709889346E-2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Data'!F48</f>
        <v>39696145.233856961</v>
      </c>
      <c r="E48" s="269">
        <f>'Monthly Data'!BF48</f>
        <v>383.52500000000003</v>
      </c>
      <c r="F48" s="269">
        <f>'Monthly Data'!BK48</f>
        <v>0.34166666666666856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>E48*'Res Predicted Monthly'!$T$10</f>
        <v>13739623.7618219</v>
      </c>
      <c r="L48" s="18">
        <f>F48*'Res Predicted Monthly'!$T$11</f>
        <v>20019.8870375269</v>
      </c>
      <c r="M48" s="18">
        <f>G48*'Res Predicted Monthly'!$T$12</f>
        <v>0</v>
      </c>
      <c r="N48" s="18">
        <f>H48*'Res Predicted Monthly'!$T$13</f>
        <v>2992671.1587088061</v>
      </c>
      <c r="O48" s="18">
        <f t="shared" si="5"/>
        <v>41010548.135427631</v>
      </c>
      <c r="P48" s="18">
        <f t="shared" si="6"/>
        <v>1314402.9015706703</v>
      </c>
      <c r="Q48" s="270">
        <f t="shared" si="7"/>
        <v>3.3111600479776869E-2</v>
      </c>
    </row>
    <row r="49" spans="1:21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Data'!F49</f>
        <v>43470353.451681152</v>
      </c>
      <c r="E49" s="269">
        <f>'Monthly Data'!BF49</f>
        <v>460.91666666666657</v>
      </c>
      <c r="F49" s="269">
        <f>'Monthly Data'!BK49</f>
        <v>0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>E49*'Res Predicted Monthly'!$T$10</f>
        <v>16512148.062194316</v>
      </c>
      <c r="L49" s="18">
        <f>F49*'Res Predicted Monthly'!$T$11</f>
        <v>0</v>
      </c>
      <c r="M49" s="18">
        <f>G49*'Res Predicted Monthly'!$T$12</f>
        <v>0</v>
      </c>
      <c r="N49" s="18">
        <f>H49*'Res Predicted Monthly'!$T$13</f>
        <v>3056345.0131494193</v>
      </c>
      <c r="O49" s="18">
        <f t="shared" si="5"/>
        <v>43826726.403203137</v>
      </c>
      <c r="P49" s="18">
        <f t="shared" si="6"/>
        <v>356372.95152198523</v>
      </c>
      <c r="Q49" s="270">
        <f t="shared" si="7"/>
        <v>8.1980688728033116E-3</v>
      </c>
    </row>
    <row r="50" spans="1:21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Data'!F50</f>
        <v>49786545.597074255</v>
      </c>
      <c r="E50" s="269">
        <f>'Monthly Data'!BF50</f>
        <v>655.93333333333339</v>
      </c>
      <c r="F50" s="269">
        <f>'Monthly Data'!BK50</f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>E50*'Res Predicted Monthly'!$T$10</f>
        <v>23498539.11175989</v>
      </c>
      <c r="L50" s="18">
        <f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18">
        <f t="shared" si="5"/>
        <v>50876791.30720932</v>
      </c>
      <c r="P50" s="18">
        <f t="shared" si="6"/>
        <v>1090245.710135065</v>
      </c>
      <c r="Q50" s="270">
        <f t="shared" si="7"/>
        <v>2.1898400402359592E-2</v>
      </c>
    </row>
    <row r="51" spans="1:21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Data'!F51</f>
        <v>46962938.100034416</v>
      </c>
      <c r="E51" s="269">
        <f>'Monthly Data'!BF51</f>
        <v>527.30416666666656</v>
      </c>
      <c r="F51" s="269">
        <f>'Monthly Data'!BK51</f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>E51*'Res Predicted Monthly'!$T$10</f>
        <v>18890452.664209701</v>
      </c>
      <c r="L51" s="18">
        <f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18">
        <f t="shared" si="5"/>
        <v>46332378.71409975</v>
      </c>
      <c r="P51" s="18">
        <f t="shared" si="6"/>
        <v>-630559.3859346658</v>
      </c>
      <c r="Q51" s="270">
        <f t="shared" si="7"/>
        <v>1.3426744821448974E-2</v>
      </c>
    </row>
    <row r="52" spans="1:21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Data'!F52</f>
        <v>40529259.756652385</v>
      </c>
      <c r="E52" s="269">
        <f>'Monthly Data'!BF52</f>
        <v>487.45833333333331</v>
      </c>
      <c r="F52" s="269">
        <f>'Monthly Data'!BK52</f>
        <v>0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>E52*'Res Predicted Monthly'!$T$10</f>
        <v>17462992.241874103</v>
      </c>
      <c r="L52" s="18">
        <f>F52*'Res Predicted Monthly'!$T$11</f>
        <v>0</v>
      </c>
      <c r="M52" s="18">
        <f>G52*'Res Predicted Monthly'!$T$12</f>
        <v>0</v>
      </c>
      <c r="N52" s="18">
        <f>H52*'Res Predicted Monthly'!$T$13</f>
        <v>3247366.576471258</v>
      </c>
      <c r="O52" s="18">
        <f t="shared" si="5"/>
        <v>44968592.146204755</v>
      </c>
      <c r="P52" s="18">
        <f t="shared" si="6"/>
        <v>4439332.3895523697</v>
      </c>
      <c r="Q52" s="270">
        <f t="shared" si="7"/>
        <v>0.10953401113682337</v>
      </c>
    </row>
    <row r="53" spans="1:21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Data'!F53</f>
        <v>38390411.159753427</v>
      </c>
      <c r="E53" s="269">
        <f>'Monthly Data'!BF53</f>
        <v>246.6541666666667</v>
      </c>
      <c r="F53" s="269">
        <f>'Monthly Data'!BK53</f>
        <v>2.8791666666666664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>E53*'Res Predicted Monthly'!$T$10</f>
        <v>8836283.0305344183</v>
      </c>
      <c r="L53" s="18">
        <f>F53*'Res Predicted Monthly'!$T$11</f>
        <v>168704.17003574403</v>
      </c>
      <c r="M53" s="18">
        <f>G53*'Res Predicted Monthly'!$T$12</f>
        <v>0</v>
      </c>
      <c r="N53" s="18">
        <f>H53*'Res Predicted Monthly'!$T$13</f>
        <v>3311040.4309118707</v>
      </c>
      <c r="O53" s="18">
        <f t="shared" si="5"/>
        <v>36574260.959341429</v>
      </c>
      <c r="P53" s="18">
        <f t="shared" si="6"/>
        <v>-1816150.2004119977</v>
      </c>
      <c r="Q53" s="270">
        <f t="shared" si="7"/>
        <v>4.7307391235131079E-2</v>
      </c>
    </row>
    <row r="54" spans="1:21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Data'!F54</f>
        <v>34434462.367302448</v>
      </c>
      <c r="E54" s="269">
        <f>'Monthly Data'!BF54</f>
        <v>92.742982456140368</v>
      </c>
      <c r="F54" s="269">
        <f>'Monthly Data'!BK54</f>
        <v>63.802850877192981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>E54*'Res Predicted Monthly'!$T$10</f>
        <v>3322478.8097167527</v>
      </c>
      <c r="L54" s="18">
        <f>F54*'Res Predicted Monthly'!$T$11</f>
        <v>3738514.7333665476</v>
      </c>
      <c r="M54" s="18">
        <f>G54*'Res Predicted Monthly'!$T$12</f>
        <v>0</v>
      </c>
      <c r="N54" s="18">
        <f>H54*'Res Predicted Monthly'!$T$13</f>
        <v>3374714.2853524839</v>
      </c>
      <c r="O54" s="18">
        <f t="shared" si="5"/>
        <v>34693941.156295188</v>
      </c>
      <c r="P54" s="18">
        <f t="shared" si="6"/>
        <v>259478.78899274021</v>
      </c>
      <c r="Q54" s="270">
        <f t="shared" si="7"/>
        <v>7.5354389513898907E-3</v>
      </c>
    </row>
    <row r="55" spans="1:21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Data'!F55</f>
        <v>36650162.657272302</v>
      </c>
      <c r="E55" s="269">
        <f>'Monthly Data'!BF55</f>
        <v>9.0750000000000011</v>
      </c>
      <c r="F55" s="269">
        <f>'Monthly Data'!BK55</f>
        <v>230.72083333333327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>E55*'Res Predicted Monthly'!$T$10</f>
        <v>325108.10413541162</v>
      </c>
      <c r="L55" s="18">
        <f>F55*'Res Predicted Monthly'!$T$11</f>
        <v>13519039.084499642</v>
      </c>
      <c r="M55" s="18">
        <f>G55*'Res Predicted Monthly'!$T$12</f>
        <v>0</v>
      </c>
      <c r="N55" s="18">
        <f>H55*'Res Predicted Monthly'!$T$13</f>
        <v>3438388.1397930966</v>
      </c>
      <c r="O55" s="18">
        <f t="shared" si="5"/>
        <v>41540768.656287551</v>
      </c>
      <c r="P55" s="18">
        <f t="shared" si="6"/>
        <v>4890605.9990152493</v>
      </c>
      <c r="Q55" s="270">
        <f t="shared" si="7"/>
        <v>0.13344022630264729</v>
      </c>
    </row>
    <row r="56" spans="1:21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Data'!F56</f>
        <v>51398792.330054857</v>
      </c>
      <c r="E56" s="269">
        <f>'Monthly Data'!BF56</f>
        <v>0</v>
      </c>
      <c r="F56" s="269">
        <f>'Monthly Data'!BK56</f>
        <v>383.6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>E56*'Res Predicted Monthly'!$T$10</f>
        <v>0</v>
      </c>
      <c r="L56" s="18">
        <f>F56*'Res Predicted Monthly'!$T$11</f>
        <v>22476961.953937396</v>
      </c>
      <c r="M56" s="18">
        <f>G56*'Res Predicted Monthly'!$T$12</f>
        <v>0</v>
      </c>
      <c r="N56" s="18">
        <f>H56*'Res Predicted Monthly'!$T$13</f>
        <v>3502061.9942337093</v>
      </c>
      <c r="O56" s="18">
        <f t="shared" si="5"/>
        <v>50237257.276030511</v>
      </c>
      <c r="P56" s="18">
        <f t="shared" si="6"/>
        <v>-1161535.0540243462</v>
      </c>
      <c r="Q56" s="270">
        <f t="shared" si="7"/>
        <v>2.2598489212851638E-2</v>
      </c>
    </row>
    <row r="57" spans="1:21" x14ac:dyDescent="0.25">
      <c r="A57" s="3">
        <f>'Monthly Data'!A57</f>
        <v>43678</v>
      </c>
      <c r="B57" s="1">
        <f t="shared" ref="B57:B115" si="8">YEAR(A57)</f>
        <v>2019</v>
      </c>
      <c r="C57" s="1">
        <f t="shared" ref="C57:C115" si="9">MONTH(A57)</f>
        <v>8</v>
      </c>
      <c r="D57" s="24">
        <f>'Monthly Data'!F57</f>
        <v>50405166.652542427</v>
      </c>
      <c r="E57" s="269">
        <f>'Monthly Data'!BF57</f>
        <v>0</v>
      </c>
      <c r="F57" s="269">
        <f>'Monthly Data'!BK57</f>
        <v>314.07083333333338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>E57*'Res Predicted Monthly'!$T$10</f>
        <v>0</v>
      </c>
      <c r="L57" s="18">
        <f>F57*'Res Predicted Monthly'!$T$11</f>
        <v>18402914.941800695</v>
      </c>
      <c r="M57" s="18">
        <f>G57*'Res Predicted Monthly'!$T$12</f>
        <v>0</v>
      </c>
      <c r="N57" s="18">
        <f>H57*'Res Predicted Monthly'!$T$13</f>
        <v>3565735.8486743225</v>
      </c>
      <c r="O57" s="18">
        <f t="shared" si="5"/>
        <v>46226884.11833442</v>
      </c>
      <c r="P57" s="18">
        <f t="shared" si="6"/>
        <v>-4178282.5342080072</v>
      </c>
      <c r="Q57" s="270">
        <f t="shared" si="7"/>
        <v>8.2893933532848574E-2</v>
      </c>
    </row>
    <row r="58" spans="1:21" x14ac:dyDescent="0.25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4">
        <f>'Monthly Data'!F58</f>
        <v>40715477.639350682</v>
      </c>
      <c r="E58" s="269">
        <f>'Monthly Data'!BF58</f>
        <v>4.9833333333333325</v>
      </c>
      <c r="F58" s="269">
        <f>'Monthly Data'!BK58</f>
        <v>191.51666666666671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>E58*'Res Predicted Monthly'!$T$10</f>
        <v>178525.84598069428</v>
      </c>
      <c r="L58" s="18">
        <f>F58*'Res Predicted Monthly'!$T$11</f>
        <v>11221879.119425384</v>
      </c>
      <c r="M58" s="18">
        <f>G58*'Res Predicted Monthly'!$T$12</f>
        <v>0</v>
      </c>
      <c r="N58" s="18">
        <f>H58*'Res Predicted Monthly'!$T$13</f>
        <v>3629409.7031149352</v>
      </c>
      <c r="O58" s="18">
        <f t="shared" si="5"/>
        <v>39288047.996380411</v>
      </c>
      <c r="P58" s="18">
        <f t="shared" si="6"/>
        <v>-1427429.6429702714</v>
      </c>
      <c r="Q58" s="270">
        <f t="shared" si="7"/>
        <v>3.5058649087065838E-2</v>
      </c>
    </row>
    <row r="59" spans="1:21" x14ac:dyDescent="0.25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4">
        <f>'Monthly Data'!F59</f>
        <v>35245091.017522082</v>
      </c>
      <c r="E59" s="269">
        <f>'Monthly Data'!BF59</f>
        <v>125.30000000000004</v>
      </c>
      <c r="F59" s="269">
        <f>'Monthly Data'!BK59</f>
        <v>37.229166666666664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>E59*'Res Predicted Monthly'!$T$10</f>
        <v>4488820.4350597337</v>
      </c>
      <c r="L59" s="18">
        <f>F59*'Res Predicted Monthly'!$T$11</f>
        <v>2181435.2521988032</v>
      </c>
      <c r="M59" s="18">
        <f>G59*'Res Predicted Monthly'!$T$12</f>
        <v>0</v>
      </c>
      <c r="N59" s="18">
        <f>H59*'Res Predicted Monthly'!$T$13</f>
        <v>3693083.5575555484</v>
      </c>
      <c r="O59" s="18">
        <f t="shared" si="5"/>
        <v>34621572.572673485</v>
      </c>
      <c r="P59" s="18">
        <f t="shared" si="6"/>
        <v>-623518.44484859705</v>
      </c>
      <c r="Q59" s="270">
        <f t="shared" si="7"/>
        <v>1.7690930193331466E-2</v>
      </c>
    </row>
    <row r="60" spans="1:21" x14ac:dyDescent="0.25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4">
        <f>'Monthly Data'!F60</f>
        <v>40900798.175965577</v>
      </c>
      <c r="E60" s="269">
        <f>'Monthly Data'!BF60</f>
        <v>409.72499999999997</v>
      </c>
      <c r="F60" s="269">
        <f>'Monthly Data'!BK60</f>
        <v>0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>E60*'Res Predicted Monthly'!$T$10</f>
        <v>14678227.875138458</v>
      </c>
      <c r="L60" s="18">
        <f>F60*'Res Predicted Monthly'!$T$11</f>
        <v>0</v>
      </c>
      <c r="M60" s="18">
        <f>G60*'Res Predicted Monthly'!$T$12</f>
        <v>0</v>
      </c>
      <c r="N60" s="18">
        <f>H60*'Res Predicted Monthly'!$T$13</f>
        <v>3756757.4119961611</v>
      </c>
      <c r="O60" s="18">
        <f t="shared" si="5"/>
        <v>42693218.614994027</v>
      </c>
      <c r="P60" s="18">
        <f t="shared" si="6"/>
        <v>1792420.4390284494</v>
      </c>
      <c r="Q60" s="270">
        <f t="shared" si="7"/>
        <v>4.3823605380926882E-2</v>
      </c>
    </row>
    <row r="61" spans="1:21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Data'!F61</f>
        <v>46344241.546475172</v>
      </c>
      <c r="E61" s="269">
        <f>'Monthly Data'!BF61</f>
        <v>490.42916666666656</v>
      </c>
      <c r="F61" s="269">
        <f>'Monthly Data'!BK61</f>
        <v>0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>E61*'Res Predicted Monthly'!$T$10</f>
        <v>17569421.111593362</v>
      </c>
      <c r="L61" s="18">
        <f>F61*'Res Predicted Monthly'!$T$11</f>
        <v>0</v>
      </c>
      <c r="M61" s="18">
        <f>G61*'Res Predicted Monthly'!$T$12</f>
        <v>0</v>
      </c>
      <c r="N61" s="18">
        <f>H61*'Res Predicted Monthly'!$T$13</f>
        <v>3820431.2664367738</v>
      </c>
      <c r="O61" s="18">
        <f t="shared" si="5"/>
        <v>45648085.705889538</v>
      </c>
      <c r="P61" s="18">
        <f t="shared" si="6"/>
        <v>-696155.84058563411</v>
      </c>
      <c r="Q61" s="270">
        <f t="shared" si="7"/>
        <v>1.502140972330967E-2</v>
      </c>
    </row>
    <row r="62" spans="1:21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Data'!F62</f>
        <v>48338968.594280884</v>
      </c>
      <c r="E62" s="269">
        <f>'Monthly Data'!BF62</f>
        <v>504.82083333333333</v>
      </c>
      <c r="F62" s="269">
        <f>'Monthly Data'!BK62</f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>E62*'Res Predicted Monthly'!$T$10</f>
        <v>18084996.589868713</v>
      </c>
      <c r="L62" s="18">
        <f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18">
        <f t="shared" si="5"/>
        <v>46227335.038605496</v>
      </c>
      <c r="P62" s="18">
        <f t="shared" si="6"/>
        <v>-2111633.5556753874</v>
      </c>
      <c r="Q62" s="270">
        <f t="shared" si="7"/>
        <v>4.3683876944060833E-2</v>
      </c>
    </row>
    <row r="63" spans="1:21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Data'!F63</f>
        <v>45824867.163535185</v>
      </c>
      <c r="E63" s="269">
        <f>'Monthly Data'!BF63</f>
        <v>504.40000000000003</v>
      </c>
      <c r="F63" s="269">
        <f>'Monthly Data'!BK63</f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>E63*'Res Predicted Monthly'!$T$10</f>
        <v>18069920.410567671</v>
      </c>
      <c r="L63" s="18">
        <f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18">
        <f t="shared" si="5"/>
        <v>46275932.713745072</v>
      </c>
      <c r="P63" s="18">
        <f t="shared" si="6"/>
        <v>451065.55020988733</v>
      </c>
      <c r="Q63" s="270">
        <f t="shared" si="7"/>
        <v>9.8432483961201651E-3</v>
      </c>
    </row>
    <row r="64" spans="1:21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Data'!F64</f>
        <v>40318850.692109823</v>
      </c>
      <c r="E64" s="269">
        <f>'Monthly Data'!BF64</f>
        <v>357.57083333333344</v>
      </c>
      <c r="F64" s="269">
        <f>'Monthly Data'!BK64</f>
        <v>3.7499999999999645E-2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>E64*'Res Predicted Monthly'!$T$10</f>
        <v>12809826.525522783</v>
      </c>
      <c r="L64" s="18">
        <f>F64*'Res Predicted Monthly'!$T$11</f>
        <v>2197.3046748504803</v>
      </c>
      <c r="M64" s="18">
        <f>G64*'Res Predicted Monthly'!$T$12</f>
        <v>0</v>
      </c>
      <c r="N64" s="18">
        <f>H64*'Res Predicted Monthly'!$T$13</f>
        <v>4011452.8297586129</v>
      </c>
      <c r="O64" s="18">
        <f t="shared" si="5"/>
        <v>41081709.987815648</v>
      </c>
      <c r="P64" s="18">
        <f t="shared" si="6"/>
        <v>762859.29570582509</v>
      </c>
      <c r="Q64" s="270">
        <f t="shared" si="7"/>
        <v>1.8920660748276547E-2</v>
      </c>
      <c r="T64" s="18"/>
      <c r="U64" s="270"/>
    </row>
    <row r="65" spans="1:25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Data'!F65</f>
        <v>41695243.05434832</v>
      </c>
      <c r="E65" s="269">
        <f>'Monthly Data'!BF65</f>
        <v>259.67500000000007</v>
      </c>
      <c r="F65" s="269">
        <f>'Monthly Data'!BK65</f>
        <v>2.1541666666666721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>E65*'Res Predicted Monthly'!$T$10</f>
        <v>9302748.9742548782</v>
      </c>
      <c r="L65" s="18">
        <f>F65*'Res Predicted Monthly'!$T$11</f>
        <v>126222.946321968</v>
      </c>
      <c r="M65" s="18">
        <f>G65*'Res Predicted Monthly'!$T$12</f>
        <v>0</v>
      </c>
      <c r="N65" s="18">
        <f>H65*'Res Predicted Monthly'!$T$13</f>
        <v>4075126.6841992256</v>
      </c>
      <c r="O65" s="18">
        <f t="shared" si="5"/>
        <v>37762331.932635479</v>
      </c>
      <c r="P65" s="18">
        <f t="shared" si="6"/>
        <v>-3932911.1217128411</v>
      </c>
      <c r="Q65" s="270">
        <f t="shared" si="7"/>
        <v>9.432517557425979E-2</v>
      </c>
      <c r="T65" s="18"/>
      <c r="U65" s="270"/>
    </row>
    <row r="66" spans="1:25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Data'!F66</f>
        <v>39366599.834296227</v>
      </c>
      <c r="E66" s="269">
        <f>'Monthly Data'!BF66</f>
        <v>122.05</v>
      </c>
      <c r="F66" s="269">
        <f>'Monthly Data'!BK66</f>
        <v>111.87976190476191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>E66*'Res Predicted Monthly'!$T$10</f>
        <v>4372390.5355071053</v>
      </c>
      <c r="L66" s="18">
        <f>F66*'Res Predicted Monthly'!$T$11</f>
        <v>6555571.302786516</v>
      </c>
      <c r="M66" s="18">
        <f>G66*'Res Predicted Monthly'!$T$12</f>
        <v>1181548.8071147071</v>
      </c>
      <c r="N66" s="18">
        <f>H66*'Res Predicted Monthly'!$T$13</f>
        <v>4138800.5386398383</v>
      </c>
      <c r="O66" s="18">
        <f t="shared" ref="O66:O97" si="10">SUM(J66:N66)</f>
        <v>40506544.511907563</v>
      </c>
      <c r="P66" s="18">
        <f t="shared" ref="P66:P97" si="11">O66-D66</f>
        <v>1139944.6776113361</v>
      </c>
      <c r="Q66" s="270">
        <f t="shared" ref="Q66:Q97" si="12">ABS(P66/D66)</f>
        <v>2.8957153587295975E-2</v>
      </c>
      <c r="T66" s="18"/>
      <c r="U66" s="270"/>
    </row>
    <row r="67" spans="1:25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Data'!F67</f>
        <v>47154097.622346401</v>
      </c>
      <c r="E67" s="269">
        <f>'Monthly Data'!BF67</f>
        <v>3.4333333333333353</v>
      </c>
      <c r="F67" s="269">
        <f>'Monthly Data'!BK67</f>
        <v>282.53623188405788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>E67*'Res Predicted Monthly'!$T$10</f>
        <v>122997.74004021088</v>
      </c>
      <c r="L67" s="18">
        <f>F67*'Res Predicted Monthly'!$T$11</f>
        <v>16555151.550226284</v>
      </c>
      <c r="M67" s="18">
        <f>G67*'Res Predicted Monthly'!$T$12</f>
        <v>3381805.8693598243</v>
      </c>
      <c r="N67" s="18">
        <f>H67*'Res Predicted Monthly'!$T$13</f>
        <v>4202474.3930804515</v>
      </c>
      <c r="O67" s="18">
        <f t="shared" si="10"/>
        <v>48520662.880566165</v>
      </c>
      <c r="P67" s="18">
        <f t="shared" si="11"/>
        <v>1366565.2582197636</v>
      </c>
      <c r="Q67" s="270">
        <f t="shared" si="12"/>
        <v>2.8980837872553119E-2</v>
      </c>
      <c r="T67" s="18"/>
      <c r="U67" s="270"/>
    </row>
    <row r="68" spans="1:25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Data'!F68</f>
        <v>60194460.576176599</v>
      </c>
      <c r="E68" s="269">
        <f>'Monthly Data'!BF68</f>
        <v>0</v>
      </c>
      <c r="F68" s="269">
        <f>'Monthly Data'!BK68</f>
        <v>432.88750000000005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>E68*'Res Predicted Monthly'!$T$10</f>
        <v>0</v>
      </c>
      <c r="L68" s="18">
        <f>F68*'Res Predicted Monthly'!$T$11</f>
        <v>25364952.731582571</v>
      </c>
      <c r="M68" s="18">
        <f>G68*'Res Predicted Monthly'!$T$12</f>
        <v>5636248.5953553421</v>
      </c>
      <c r="N68" s="18">
        <f>H68*'Res Predicted Monthly'!$T$13</f>
        <v>4266148.2475210642</v>
      </c>
      <c r="O68" s="18">
        <f t="shared" si="10"/>
        <v>59525582.902318373</v>
      </c>
      <c r="P68" s="18">
        <f t="shared" si="11"/>
        <v>-668877.67385822535</v>
      </c>
      <c r="Q68" s="270">
        <f t="shared" si="12"/>
        <v>1.1111947303053826E-2</v>
      </c>
      <c r="T68" s="18"/>
      <c r="U68" s="270"/>
    </row>
    <row r="69" spans="1:25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Data'!F69</f>
        <v>55662667.072527848</v>
      </c>
      <c r="E69" s="269">
        <f>'Monthly Data'!BF69</f>
        <v>0</v>
      </c>
      <c r="F69" s="269">
        <f>'Monthly Data'!BK69</f>
        <v>340.93106060606056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>E69*'Res Predicted Monthly'!$T$10</f>
        <v>0</v>
      </c>
      <c r="L69" s="18">
        <f>F69*'Res Predicted Monthly'!$T$11</f>
        <v>19976784.35390497</v>
      </c>
      <c r="M69" s="18">
        <f>G69*'Res Predicted Monthly'!$T$12</f>
        <v>4238818.5057244711</v>
      </c>
      <c r="N69" s="18">
        <f>H69*'Res Predicted Monthly'!$T$13</f>
        <v>4329822.101961677</v>
      </c>
      <c r="O69" s="18">
        <f t="shared" si="10"/>
        <v>52803658.289450519</v>
      </c>
      <c r="P69" s="18">
        <f t="shared" si="11"/>
        <v>-2859008.7830773294</v>
      </c>
      <c r="Q69" s="270">
        <f t="shared" si="12"/>
        <v>5.1363129606277619E-2</v>
      </c>
      <c r="T69" s="18"/>
      <c r="U69" s="270"/>
    </row>
    <row r="70" spans="1:25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Data'!F70</f>
        <v>44332780.477901466</v>
      </c>
      <c r="E70" s="269">
        <f>'Monthly Data'!BF70</f>
        <v>23.967028985507248</v>
      </c>
      <c r="F70" s="269">
        <f>'Monthly Data'!BK70</f>
        <v>174.07880434782609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>E70*'Res Predicted Monthly'!$T$10</f>
        <v>858608.85457153921</v>
      </c>
      <c r="L70" s="18">
        <f>F70*'Res Predicted Monthly'!$T$11</f>
        <v>10200111.215623042</v>
      </c>
      <c r="M70" s="18">
        <f>G70*'Res Predicted Monthly'!$T$12</f>
        <v>1835940.1201369977</v>
      </c>
      <c r="N70" s="18">
        <f>H70*'Res Predicted Monthly'!$T$13</f>
        <v>4393495.9564022897</v>
      </c>
      <c r="O70" s="18">
        <f t="shared" si="10"/>
        <v>41546389.474593267</v>
      </c>
      <c r="P70" s="18">
        <f t="shared" si="11"/>
        <v>-2786391.0033081993</v>
      </c>
      <c r="Q70" s="270">
        <f t="shared" si="12"/>
        <v>6.2851708674061854E-2</v>
      </c>
      <c r="T70" s="18"/>
      <c r="U70" s="270"/>
    </row>
    <row r="71" spans="1:25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Data'!F71</f>
        <v>36451110.769841231</v>
      </c>
      <c r="E71" s="269">
        <f>'Monthly Data'!BF71</f>
        <v>167.76250000000005</v>
      </c>
      <c r="F71" s="269">
        <f>'Monthly Data'!BK71</f>
        <v>31.466666666666676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>E71*'Res Predicted Monthly'!$T$10</f>
        <v>6010021.8534453996</v>
      </c>
      <c r="L71" s="18">
        <f>F71*'Res Predicted Monthly'!$T$11</f>
        <v>1843782.7671634434</v>
      </c>
      <c r="M71" s="18">
        <f>G71*'Res Predicted Monthly'!$T$12</f>
        <v>155955.65018997461</v>
      </c>
      <c r="N71" s="18">
        <f>H71*'Res Predicted Monthly'!$T$13</f>
        <v>4457169.8108429033</v>
      </c>
      <c r="O71" s="18">
        <f t="shared" si="10"/>
        <v>36725163.40950112</v>
      </c>
      <c r="P71" s="18">
        <f t="shared" si="11"/>
        <v>274052.63965988904</v>
      </c>
      <c r="Q71" s="270">
        <f t="shared" si="12"/>
        <v>7.518361824151421E-3</v>
      </c>
      <c r="T71" s="18"/>
      <c r="U71" s="270"/>
    </row>
    <row r="72" spans="1:25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Data'!F72</f>
        <v>39603334.04316061</v>
      </c>
      <c r="E72" s="269">
        <f>'Monthly Data'!BF72</f>
        <v>246.30072463768118</v>
      </c>
      <c r="F72" s="269">
        <f>'Monthly Data'!BK72</f>
        <v>9.9624999999999932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>E72*'Res Predicted Monthly'!$T$10</f>
        <v>8823621.1167090461</v>
      </c>
      <c r="L72" s="18">
        <f>F72*'Res Predicted Monthly'!$T$11</f>
        <v>583750.60861861613</v>
      </c>
      <c r="M72" s="18">
        <f>G72*'Res Predicted Monthly'!$T$12</f>
        <v>27797.210894599539</v>
      </c>
      <c r="N72" s="18">
        <f>H72*'Res Predicted Monthly'!$T$13</f>
        <v>4520843.665283516</v>
      </c>
      <c r="O72" s="18">
        <f t="shared" si="10"/>
        <v>38214245.92936518</v>
      </c>
      <c r="P72" s="18">
        <f t="shared" si="11"/>
        <v>-1389088.1137954295</v>
      </c>
      <c r="Q72" s="270">
        <f t="shared" si="12"/>
        <v>3.5075029599315292E-2</v>
      </c>
      <c r="T72" s="18"/>
      <c r="U72" s="270"/>
    </row>
    <row r="73" spans="1:25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Data'!F73</f>
        <v>46095359.099475369</v>
      </c>
      <c r="E73" s="269">
        <f>'Monthly Data'!BF73</f>
        <v>458.90416666666681</v>
      </c>
      <c r="F73" s="269">
        <f>'Monthly Data'!BK73</f>
        <v>0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>E73*'Res Predicted Monthly'!$T$10</f>
        <v>16440051.08593289</v>
      </c>
      <c r="L73" s="18">
        <f>F73*'Res Predicted Monthly'!$T$11</f>
        <v>0</v>
      </c>
      <c r="M73" s="18">
        <f>G73*'Res Predicted Monthly'!$T$12</f>
        <v>0</v>
      </c>
      <c r="N73" s="18">
        <f>H73*'Res Predicted Monthly'!$T$13</f>
        <v>4584517.5197241288</v>
      </c>
      <c r="O73" s="18">
        <f t="shared" si="10"/>
        <v>45282801.93351642</v>
      </c>
      <c r="P73" s="18">
        <f t="shared" si="11"/>
        <v>-812557.16595894843</v>
      </c>
      <c r="Q73" s="270">
        <f t="shared" si="12"/>
        <v>1.7627743482926821E-2</v>
      </c>
      <c r="T73" s="18"/>
      <c r="U73" s="270"/>
    </row>
    <row r="74" spans="1:25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 ca="1">'Monthly Data'!F74</f>
        <v>51585862.116538197</v>
      </c>
      <c r="E74" s="269">
        <f>'Monthly Data'!BF74</f>
        <v>529.50416666666661</v>
      </c>
      <c r="F74" s="269">
        <f>'Monthly Data'!BK74</f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>E74*'Res Predicted Monthly'!$T$10</f>
        <v>18969266.750060715</v>
      </c>
      <c r="L74" s="18">
        <f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18">
        <f t="shared" si="10"/>
        <v>47875691.452084854</v>
      </c>
      <c r="P74" s="18">
        <f t="shared" ca="1" si="11"/>
        <v>-3710170.6644533426</v>
      </c>
      <c r="Q74" s="270">
        <f t="shared" ca="1" si="12"/>
        <v>7.1922238230150246E-2</v>
      </c>
      <c r="T74" s="18"/>
      <c r="U74" s="270"/>
    </row>
    <row r="75" spans="1:25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 ca="1">'Monthly Data'!F75</f>
        <v>50364379.755166516</v>
      </c>
      <c r="E75" s="269">
        <f>'Monthly Data'!BF75</f>
        <v>541.45416666666677</v>
      </c>
      <c r="F75" s="269">
        <f>'Monthly Data'!BK75</f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>E75*'Res Predicted Monthly'!$T$10</f>
        <v>19397370.53456961</v>
      </c>
      <c r="L75" s="18">
        <f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18">
        <f t="shared" si="10"/>
        <v>48367469.09103436</v>
      </c>
      <c r="P75" s="18">
        <f t="shared" ca="1" si="11"/>
        <v>-1996910.6641321555</v>
      </c>
      <c r="Q75" s="270">
        <f t="shared" ca="1" si="12"/>
        <v>3.9649265489610383E-2</v>
      </c>
      <c r="T75" s="18"/>
      <c r="U75" s="270"/>
    </row>
    <row r="76" spans="1:25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 ca="1">'Monthly Data'!F76</f>
        <v>41586785.497837111</v>
      </c>
      <c r="E76" s="269">
        <f>'Monthly Data'!BF76</f>
        <v>368.59637681159427</v>
      </c>
      <c r="F76" s="269">
        <f>'Monthly Data'!BK76</f>
        <v>5.1499999999999932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>E76*'Res Predicted Monthly'!$T$10</f>
        <v>13204812.039272638</v>
      </c>
      <c r="L76" s="18">
        <f>F76*'Res Predicted Monthly'!$T$11</f>
        <v>301763.1753461351</v>
      </c>
      <c r="M76" s="18">
        <f>G76*'Res Predicted Monthly'!$T$12</f>
        <v>3371.75735794398</v>
      </c>
      <c r="N76" s="18">
        <f>H76*'Res Predicted Monthly'!$T$13</f>
        <v>4775539.0830459679</v>
      </c>
      <c r="O76" s="18">
        <f t="shared" si="10"/>
        <v>42543719.382882088</v>
      </c>
      <c r="P76" s="18">
        <f t="shared" ca="1" si="11"/>
        <v>956933.88504497707</v>
      </c>
      <c r="Q76" s="270">
        <f t="shared" ca="1" si="12"/>
        <v>2.3010527829681528E-2</v>
      </c>
    </row>
    <row r="77" spans="1:25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 ca="1">'Monthly Data'!F77</f>
        <v>39270551.374150336</v>
      </c>
      <c r="E77" s="269">
        <f>'Monthly Data'!BF77</f>
        <v>203.50416666666672</v>
      </c>
      <c r="F77" s="269">
        <f>'Monthly Data'!BK77</f>
        <v>22.362499999999997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>E77*'Res Predicted Monthly'!$T$10</f>
        <v>7290452.2103203125</v>
      </c>
      <c r="L77" s="18">
        <f>F77*'Res Predicted Monthly'!$T$11</f>
        <v>1310326.0211025153</v>
      </c>
      <c r="M77" s="18">
        <f>G77*'Res Predicted Monthly'!$T$12</f>
        <v>125989.75029050013</v>
      </c>
      <c r="N77" s="18">
        <f>H77*'Res Predicted Monthly'!$T$13</f>
        <v>4839212.9374865806</v>
      </c>
      <c r="O77" s="18">
        <f t="shared" si="10"/>
        <v>37824214.247059308</v>
      </c>
      <c r="P77" s="18">
        <f t="shared" ca="1" si="11"/>
        <v>-1446337.1270910278</v>
      </c>
      <c r="Q77" s="270">
        <f t="shared" ca="1" si="12"/>
        <v>3.6830069262614749E-2</v>
      </c>
      <c r="T77" s="18"/>
    </row>
    <row r="78" spans="1:25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 ca="1">'Monthly Data'!F78</f>
        <v>38438683.524425663</v>
      </c>
      <c r="E78" s="269">
        <f>'Monthly Data'!BF78</f>
        <v>83.376388888888897</v>
      </c>
      <c r="F78" s="269">
        <f>'Monthly Data'!BK78</f>
        <v>120.51527777777777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>E78*'Res Predicted Monthly'!$T$10</f>
        <v>2986924.4871981777</v>
      </c>
      <c r="L78" s="18">
        <f>F78*'Res Predicted Monthly'!$T$11</f>
        <v>7061567.5533871418</v>
      </c>
      <c r="M78" s="18">
        <f>G78*'Res Predicted Monthly'!$T$12</f>
        <v>948920.16348335589</v>
      </c>
      <c r="N78" s="18">
        <f>H78*'Res Predicted Monthly'!$T$13</f>
        <v>4902886.7919271933</v>
      </c>
      <c r="O78" s="18">
        <f t="shared" si="10"/>
        <v>40158532.323855273</v>
      </c>
      <c r="P78" s="18">
        <f t="shared" ca="1" si="11"/>
        <v>1719848.7994296104</v>
      </c>
      <c r="Q78" s="270">
        <f t="shared" ca="1" si="12"/>
        <v>4.4742656140571033E-2</v>
      </c>
      <c r="T78" s="18"/>
      <c r="U78" s="276"/>
      <c r="W78" s="18"/>
      <c r="X78" s="18"/>
      <c r="Y78" s="231"/>
    </row>
    <row r="79" spans="1:25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 ca="1">'Monthly Data'!F79</f>
        <v>46157027.434236296</v>
      </c>
      <c r="E79" s="269">
        <f>'Monthly Data'!BF79</f>
        <v>0</v>
      </c>
      <c r="F79" s="269">
        <f>'Monthly Data'!BK79</f>
        <v>301.67500000000001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>E79*'Res Predicted Monthly'!$T$10</f>
        <v>0</v>
      </c>
      <c r="L79" s="18">
        <f>F79*'Res Predicted Monthly'!$T$11</f>
        <v>17676583.674280666</v>
      </c>
      <c r="M79" s="18">
        <f>G79*'Res Predicted Monthly'!$T$12</f>
        <v>2754488.3137390092</v>
      </c>
      <c r="N79" s="18">
        <f>H79*'Res Predicted Monthly'!$T$13</f>
        <v>4966560.646367806</v>
      </c>
      <c r="O79" s="18">
        <f t="shared" si="10"/>
        <v>49655865.96224688</v>
      </c>
      <c r="P79" s="18">
        <f t="shared" ca="1" si="11"/>
        <v>3498838.5280105844</v>
      </c>
      <c r="Q79" s="270">
        <f t="shared" ca="1" si="12"/>
        <v>7.5802943181201746E-2</v>
      </c>
      <c r="T79" s="18"/>
      <c r="U79" s="276"/>
      <c r="W79" s="18"/>
      <c r="X79" s="18"/>
      <c r="Y79" s="231"/>
    </row>
    <row r="80" spans="1:25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 ca="1">'Monthly Data'!F80</f>
        <v>49491490.638636149</v>
      </c>
      <c r="E80" s="269">
        <f>'Monthly Data'!BF80</f>
        <v>0</v>
      </c>
      <c r="F80" s="269">
        <f>'Monthly Data'!BK80</f>
        <v>316.87499999999994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>E80*'Res Predicted Monthly'!$T$10</f>
        <v>0</v>
      </c>
      <c r="L80" s="18">
        <f>F80*'Res Predicted Monthly'!$T$11</f>
        <v>18567224.502486732</v>
      </c>
      <c r="M80" s="18">
        <f>G80*'Res Predicted Monthly'!$T$12</f>
        <v>2904935.1772596654</v>
      </c>
      <c r="N80" s="18">
        <f>H80*'Res Predicted Monthly'!$T$13</f>
        <v>5030234.5008084187</v>
      </c>
      <c r="O80" s="18">
        <f t="shared" si="10"/>
        <v>50760627.508414224</v>
      </c>
      <c r="P80" s="18">
        <f t="shared" ca="1" si="11"/>
        <v>1269136.8697780743</v>
      </c>
      <c r="Q80" s="270">
        <f t="shared" ca="1" si="12"/>
        <v>2.5643536967692518E-2</v>
      </c>
      <c r="T80" s="18"/>
      <c r="U80" s="276"/>
      <c r="W80" s="18"/>
      <c r="X80" s="18"/>
      <c r="Y80" s="231"/>
    </row>
    <row r="81" spans="1:25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 ca="1">'Monthly Data'!F81</f>
        <v>55296547.535997845</v>
      </c>
      <c r="E81" s="269">
        <f>'Monthly Data'!BF81</f>
        <v>0</v>
      </c>
      <c r="F81" s="269">
        <f>'Monthly Data'!BK81</f>
        <v>390.06249999999989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>E81*'Res Predicted Monthly'!$T$10</f>
        <v>0</v>
      </c>
      <c r="L81" s="18">
        <f>F81*'Res Predicted Monthly'!$T$11</f>
        <v>22855630.792903289</v>
      </c>
      <c r="M81" s="18">
        <f>G81*'Res Predicted Monthly'!$T$12</f>
        <v>3739088.9517989168</v>
      </c>
      <c r="N81" s="18">
        <f>H81*'Res Predicted Monthly'!$T$13</f>
        <v>5093908.3552490324</v>
      </c>
      <c r="O81" s="18">
        <f t="shared" si="10"/>
        <v>55946861.427810639</v>
      </c>
      <c r="P81" s="18">
        <f t="shared" ca="1" si="11"/>
        <v>650313.89181279391</v>
      </c>
      <c r="Q81" s="270">
        <f t="shared" ca="1" si="12"/>
        <v>1.1760479103861628E-2</v>
      </c>
      <c r="T81" s="18"/>
      <c r="U81" s="276"/>
      <c r="W81" s="18"/>
      <c r="X81" s="18"/>
      <c r="Y81" s="231"/>
    </row>
    <row r="82" spans="1:25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 ca="1">'Monthly Data'!F82</f>
        <v>47844473.759628989</v>
      </c>
      <c r="E82" s="269">
        <f>'Monthly Data'!BF82</f>
        <v>5.9833333333333432</v>
      </c>
      <c r="F82" s="269">
        <f>'Monthly Data'!BK82</f>
        <v>209.27500000000001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>E82*'Res Predicted Monthly'!$T$10</f>
        <v>214350.43045842598</v>
      </c>
      <c r="L82" s="18">
        <f>F82*'Res Predicted Monthly'!$T$11</f>
        <v>12262424.955449032</v>
      </c>
      <c r="M82" s="18">
        <f>G82*'Res Predicted Monthly'!$T$12</f>
        <v>1704589.557831591</v>
      </c>
      <c r="N82" s="18">
        <f>H82*'Res Predicted Monthly'!$T$13</f>
        <v>5157582.2096896451</v>
      </c>
      <c r="O82" s="18">
        <f t="shared" si="10"/>
        <v>43597180.481288098</v>
      </c>
      <c r="P82" s="18">
        <f t="shared" ca="1" si="11"/>
        <v>-4247293.278340891</v>
      </c>
      <c r="Q82" s="270">
        <f t="shared" ca="1" si="12"/>
        <v>8.8772912409473367E-2</v>
      </c>
      <c r="T82" s="18"/>
      <c r="U82" s="276"/>
      <c r="W82" s="18"/>
      <c r="X82" s="18"/>
      <c r="Y82" s="231"/>
    </row>
    <row r="83" spans="1:25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 ca="1">'Monthly Data'!F83</f>
        <v>36826483.568265937</v>
      </c>
      <c r="E83" s="269">
        <f>'Monthly Data'!BF83</f>
        <v>72.749999999999986</v>
      </c>
      <c r="F83" s="269">
        <f>'Monthly Data'!BK83</f>
        <v>118.07916666666668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>E83*'Res Predicted Monthly'!$T$10</f>
        <v>2606238.520754952</v>
      </c>
      <c r="L83" s="18">
        <f>F83*'Res Predicted Monthly'!$T$11</f>
        <v>6918824.1311764847</v>
      </c>
      <c r="M83" s="18">
        <f>G83*'Res Predicted Monthly'!$T$12</f>
        <v>888766.74582989479</v>
      </c>
      <c r="N83" s="18">
        <f>H83*'Res Predicted Monthly'!$T$13</f>
        <v>5221256.0641302578</v>
      </c>
      <c r="O83" s="18">
        <f t="shared" si="10"/>
        <v>39893318.789750993</v>
      </c>
      <c r="P83" s="18">
        <f t="shared" ca="1" si="11"/>
        <v>3066835.221485056</v>
      </c>
      <c r="Q83" s="270">
        <f t="shared" ca="1" si="12"/>
        <v>8.327798161342248E-2</v>
      </c>
      <c r="T83" s="18"/>
      <c r="U83" s="276"/>
      <c r="W83" s="18"/>
      <c r="X83" s="18"/>
      <c r="Y83" s="231"/>
    </row>
    <row r="84" spans="1:25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 ca="1">'Monthly Data'!F84</f>
        <v>39499510.438780338</v>
      </c>
      <c r="E84" s="269">
        <f>'Monthly Data'!BF84</f>
        <v>326.31260351966864</v>
      </c>
      <c r="F84" s="269">
        <f>'Monthly Data'!BK84</f>
        <v>0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>E84*'Res Predicted Monthly'!$T$10</f>
        <v>11690013.43093881</v>
      </c>
      <c r="L84" s="18">
        <f>F84*'Res Predicted Monthly'!$T$11</f>
        <v>0</v>
      </c>
      <c r="M84" s="18">
        <f>G84*'Res Predicted Monthly'!$T$12</f>
        <v>0</v>
      </c>
      <c r="N84" s="18">
        <f>H84*'Res Predicted Monthly'!$T$13</f>
        <v>5284929.9185708705</v>
      </c>
      <c r="O84" s="18">
        <f t="shared" si="10"/>
        <v>41233176.67736908</v>
      </c>
      <c r="P84" s="18">
        <f t="shared" ca="1" si="11"/>
        <v>1733666.2385887429</v>
      </c>
      <c r="Q84" s="270">
        <f t="shared" ca="1" si="12"/>
        <v>4.3890828502184211E-2</v>
      </c>
      <c r="T84" s="18"/>
      <c r="U84" s="276"/>
      <c r="W84" s="18"/>
      <c r="X84" s="18"/>
      <c r="Y84" s="231"/>
    </row>
    <row r="85" spans="1:25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 ca="1">'Monthly Data'!F85</f>
        <v>45672744.360261507</v>
      </c>
      <c r="E85" s="269">
        <f>'Monthly Data'!BF85</f>
        <v>409.04583333333335</v>
      </c>
      <c r="F85" s="269">
        <f>'Monthly Data'!BK85</f>
        <v>0.41249999999999964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>E85*'Res Predicted Monthly'!$T$10</f>
        <v>14653897.011513999</v>
      </c>
      <c r="L85" s="18">
        <f>F85*'Res Predicted Monthly'!$T$11</f>
        <v>24170.351423355492</v>
      </c>
      <c r="M85" s="18">
        <f>G85*'Res Predicted Monthly'!$T$12</f>
        <v>0</v>
      </c>
      <c r="N85" s="18">
        <f>H85*'Res Predicted Monthly'!$T$13</f>
        <v>5348603.7730114833</v>
      </c>
      <c r="O85" s="18">
        <f t="shared" si="10"/>
        <v>44284904.463808239</v>
      </c>
      <c r="P85" s="18">
        <f t="shared" ca="1" si="11"/>
        <v>-1387839.8964532688</v>
      </c>
      <c r="Q85" s="270">
        <f t="shared" ca="1" si="12"/>
        <v>3.0386610568135401E-2</v>
      </c>
      <c r="T85" s="18"/>
      <c r="U85" s="276"/>
      <c r="W85" s="18"/>
      <c r="X85" s="18"/>
      <c r="Y85" s="231"/>
    </row>
    <row r="86" spans="1:25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 ca="1">'Monthly Data'!F86</f>
        <v>51393450.856421806</v>
      </c>
      <c r="E86" s="269">
        <f>'Monthly Data'!BF86</f>
        <v>701.49166666666656</v>
      </c>
      <c r="F86" s="269">
        <f>'Monthly Data'!BK86</f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>E86*'Res Predicted Monthly'!$T$10</f>
        <v>25130647.472924523</v>
      </c>
      <c r="L86" s="18">
        <f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18">
        <f t="shared" si="10"/>
        <v>54801158.428236023</v>
      </c>
      <c r="P86" s="18">
        <f t="shared" ca="1" si="11"/>
        <v>3407707.5718142167</v>
      </c>
      <c r="Q86" s="270">
        <f t="shared" ca="1" si="12"/>
        <v>6.6306261109695661E-2</v>
      </c>
      <c r="T86" s="18"/>
      <c r="U86" s="276"/>
      <c r="W86" s="18"/>
      <c r="X86" s="18"/>
      <c r="Y86" s="231"/>
    </row>
    <row r="87" spans="1:25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 ca="1">'Monthly Data'!F87</f>
        <v>45926797.99056749</v>
      </c>
      <c r="E87" s="269">
        <f>'Monthly Data'!BF87</f>
        <v>524.84999999999991</v>
      </c>
      <c r="F87" s="269">
        <f>'Monthly Data'!BK87</f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>E87*'Res Predicted Monthly'!$T$10</f>
        <v>18802533.163137272</v>
      </c>
      <c r="L87" s="18">
        <f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18">
        <f t="shared" si="10"/>
        <v>48536717.972889386</v>
      </c>
      <c r="P87" s="18">
        <f t="shared" ca="1" si="11"/>
        <v>2609919.9823218957</v>
      </c>
      <c r="Q87" s="270">
        <f t="shared" ca="1" si="12"/>
        <v>5.68278237655045E-2</v>
      </c>
      <c r="T87" s="18"/>
      <c r="U87" s="276"/>
      <c r="W87" s="18"/>
      <c r="X87" s="18"/>
      <c r="Y87" s="231"/>
    </row>
    <row r="88" spans="1:25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 ca="1">'Monthly Data'!F88</f>
        <v>48810308.762926959</v>
      </c>
      <c r="E88" s="269">
        <f>'Monthly Data'!BF88</f>
        <v>420.72083333333353</v>
      </c>
      <c r="F88" s="269">
        <f>'Monthly Data'!BK88</f>
        <v>0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>E88*'Res Predicted Monthly'!$T$10</f>
        <v>15072149.035291519</v>
      </c>
      <c r="L88" s="18">
        <f>F88*'Res Predicted Monthly'!$T$11</f>
        <v>0</v>
      </c>
      <c r="M88" s="18">
        <f>G88*'Res Predicted Monthly'!$T$12</f>
        <v>0</v>
      </c>
      <c r="N88" s="18">
        <f>H88*'Res Predicted Monthly'!$T$13</f>
        <v>5539625.3363333223</v>
      </c>
      <c r="O88" s="18">
        <f t="shared" si="10"/>
        <v>44870007.699484244</v>
      </c>
      <c r="P88" s="18">
        <f t="shared" ca="1" si="11"/>
        <v>-3940301.0634427145</v>
      </c>
      <c r="Q88" s="270">
        <f t="shared" ca="1" si="12"/>
        <v>8.0726821102092741E-2</v>
      </c>
      <c r="T88" s="18"/>
    </row>
    <row r="89" spans="1:25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 ca="1">'Monthly Data'!F89</f>
        <v>41007387.697194375</v>
      </c>
      <c r="E89" s="269">
        <f>'Monthly Data'!BF89</f>
        <v>234.33333333333331</v>
      </c>
      <c r="F89" s="269">
        <f>'Monthly Data'!BK89</f>
        <v>8.7083333333333286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>E89*'Res Predicted Monthly'!$T$10</f>
        <v>8394894.2959483676</v>
      </c>
      <c r="L89" s="18">
        <f>F89*'Res Predicted Monthly'!$T$11</f>
        <v>510262.97449306055</v>
      </c>
      <c r="M89" s="18">
        <f>G89*'Res Predicted Monthly'!$T$12</f>
        <v>17127.894184485605</v>
      </c>
      <c r="N89" s="18">
        <f>H89*'Res Predicted Monthly'!$T$13</f>
        <v>5603299.1907739351</v>
      </c>
      <c r="O89" s="18">
        <f t="shared" si="10"/>
        <v>38783817.683259249</v>
      </c>
      <c r="P89" s="18">
        <f t="shared" ca="1" si="11"/>
        <v>-2223570.0139351264</v>
      </c>
      <c r="Q89" s="270">
        <f t="shared" ca="1" si="12"/>
        <v>5.4223644538256156E-2</v>
      </c>
      <c r="Y89" s="277"/>
    </row>
    <row r="90" spans="1:25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 ca="1">'Monthly Data'!F90</f>
        <v>37087491.951189153</v>
      </c>
      <c r="E90" s="269">
        <f>'Monthly Data'!BF90</f>
        <v>39.324999999999996</v>
      </c>
      <c r="F90" s="269">
        <f>'Monthly Data'!BK90</f>
        <v>157.97083333333333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>E90*'Res Predicted Monthly'!$T$10</f>
        <v>1408801.7845867833</v>
      </c>
      <c r="L90" s="18">
        <f>F90*'Res Predicted Monthly'!$T$11</f>
        <v>9256268.0152896717</v>
      </c>
      <c r="M90" s="18">
        <f>G90*'Res Predicted Monthly'!$T$12</f>
        <v>831541.84982535138</v>
      </c>
      <c r="N90" s="18">
        <f>H90*'Res Predicted Monthly'!$T$13</f>
        <v>5666973.0452145478</v>
      </c>
      <c r="O90" s="18">
        <f t="shared" si="10"/>
        <v>41421818.022775754</v>
      </c>
      <c r="P90" s="18">
        <f t="shared" ca="1" si="11"/>
        <v>4334326.0715866014</v>
      </c>
      <c r="Q90" s="270">
        <f t="shared" ca="1" si="12"/>
        <v>0.11686759722903366</v>
      </c>
    </row>
    <row r="91" spans="1:25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 ca="1">'Monthly Data'!F91</f>
        <v>41601516.495561585</v>
      </c>
      <c r="E91" s="269">
        <f>'Monthly Data'!BF91</f>
        <v>0</v>
      </c>
      <c r="F91" s="269">
        <f>'Monthly Data'!BK91</f>
        <v>240.92250416250408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>E91*'Res Predicted Monthly'!$T$10</f>
        <v>0</v>
      </c>
      <c r="L91" s="18">
        <f>F91*'Res Predicted Monthly'!$T$11</f>
        <v>14116803.857945587</v>
      </c>
      <c r="M91" s="18">
        <f>G91*'Res Predicted Monthly'!$T$12</f>
        <v>1374708.2470480732</v>
      </c>
      <c r="N91" s="18">
        <f>H91*'Res Predicted Monthly'!$T$13</f>
        <v>5730646.8996551614</v>
      </c>
      <c r="O91" s="18">
        <f t="shared" si="10"/>
        <v>45480392.332508229</v>
      </c>
      <c r="P91" s="18">
        <f t="shared" ca="1" si="11"/>
        <v>3878875.8369466439</v>
      </c>
      <c r="Q91" s="270">
        <f t="shared" ca="1" si="12"/>
        <v>9.32388086708444E-2</v>
      </c>
    </row>
    <row r="92" spans="1:25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 ca="1">'Monthly Data'!F92</f>
        <v>50131950.701144941</v>
      </c>
      <c r="E92" s="269">
        <f>'Monthly Data'!BF92</f>
        <v>0</v>
      </c>
      <c r="F92" s="269">
        <f>'Monthly Data'!BK92</f>
        <v>345.85433829138066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>E92*'Res Predicted Monthly'!$T$10</f>
        <v>0</v>
      </c>
      <c r="L92" s="18">
        <f>F92*'Res Predicted Monthly'!$T$11</f>
        <v>20265262.782532733</v>
      </c>
      <c r="M92" s="18">
        <f>G92*'Res Predicted Monthly'!$T$12</f>
        <v>2156817.9238722171</v>
      </c>
      <c r="N92" s="18">
        <f>H92*'Res Predicted Monthly'!$T$13</f>
        <v>5794320.7540957741</v>
      </c>
      <c r="O92" s="18">
        <f t="shared" si="10"/>
        <v>52474634.788360134</v>
      </c>
      <c r="P92" s="18">
        <f t="shared" ca="1" si="11"/>
        <v>2342684.0872151926</v>
      </c>
      <c r="Q92" s="270">
        <f t="shared" ca="1" si="12"/>
        <v>4.6730359669840037E-2</v>
      </c>
    </row>
    <row r="93" spans="1:25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 ca="1">'Monthly Data'!F93</f>
        <v>54577182.915429443</v>
      </c>
      <c r="E93" s="269">
        <f>'Monthly Data'!BF93</f>
        <v>0</v>
      </c>
      <c r="F93" s="269">
        <f>'Monthly Data'!BK93</f>
        <v>352.28333333333342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>E93*'Res Predicted Monthly'!$T$10</f>
        <v>0</v>
      </c>
      <c r="L93" s="18">
        <f>F93*'Res Predicted Monthly'!$T$11</f>
        <v>20641968.405473359</v>
      </c>
      <c r="M93" s="18">
        <f>G93*'Res Predicted Monthly'!$T$12</f>
        <v>2205667.5268849265</v>
      </c>
      <c r="N93" s="18">
        <f>H93*'Res Predicted Monthly'!$T$13</f>
        <v>5857994.6085363869</v>
      </c>
      <c r="O93" s="18">
        <f t="shared" si="10"/>
        <v>52963863.868754074</v>
      </c>
      <c r="P93" s="18">
        <f t="shared" ca="1" si="11"/>
        <v>-1613319.0466753691</v>
      </c>
      <c r="Q93" s="270">
        <f t="shared" ca="1" si="12"/>
        <v>2.9560321007687441E-2</v>
      </c>
    </row>
    <row r="94" spans="1:25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 ca="1">'Monthly Data'!F94</f>
        <v>45526290.729115523</v>
      </c>
      <c r="E94" s="269">
        <f>'Monthly Data'!BF94</f>
        <v>22.833333333333329</v>
      </c>
      <c r="F94" s="269">
        <f>'Monthly Data'!BK94</f>
        <v>193.32083333333327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>E94*'Res Predicted Monthly'!$T$10</f>
        <v>817994.67890819791</v>
      </c>
      <c r="L94" s="18">
        <f>F94*'Res Predicted Monthly'!$T$11</f>
        <v>11327593.888782075</v>
      </c>
      <c r="M94" s="18">
        <f>G94*'Res Predicted Monthly'!$T$12</f>
        <v>1062182.7169861237</v>
      </c>
      <c r="N94" s="18">
        <f>H94*'Res Predicted Monthly'!$T$13</f>
        <v>5921668.4629769996</v>
      </c>
      <c r="O94" s="18">
        <f t="shared" si="10"/>
        <v>43387673.075512804</v>
      </c>
      <c r="P94" s="18">
        <f t="shared" ca="1" si="11"/>
        <v>-2138617.6536027193</v>
      </c>
      <c r="Q94" s="270">
        <f t="shared" ca="1" si="12"/>
        <v>4.6975442526772881E-2</v>
      </c>
    </row>
    <row r="95" spans="1:25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 ca="1">'Monthly Data'!F95</f>
        <v>35851514.868957214</v>
      </c>
      <c r="E95" s="269">
        <f>'Monthly Data'!BF95</f>
        <v>147.2764492753623</v>
      </c>
      <c r="F95" s="269">
        <f>'Monthly Data'!BK95</f>
        <v>32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>E95*'Res Predicted Monthly'!$T$10</f>
        <v>5276117.598645526</v>
      </c>
      <c r="L95" s="18">
        <f>F95*'Res Predicted Monthly'!$T$11</f>
        <v>1875033.3225390944</v>
      </c>
      <c r="M95" s="18">
        <f>G95*'Res Predicted Monthly'!$T$12</f>
        <v>88172.246402573932</v>
      </c>
      <c r="N95" s="18">
        <f>H95*'Res Predicted Monthly'!$T$13</f>
        <v>5985342.3174176123</v>
      </c>
      <c r="O95" s="18">
        <f t="shared" si="10"/>
        <v>37482898.812864207</v>
      </c>
      <c r="P95" s="18">
        <f t="shared" ca="1" si="11"/>
        <v>1631383.9439069927</v>
      </c>
      <c r="Q95" s="270">
        <f t="shared" ca="1" si="12"/>
        <v>4.5503905479864694E-2</v>
      </c>
    </row>
    <row r="96" spans="1:25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 ca="1">'Monthly Data'!F96</f>
        <v>39277344.220478997</v>
      </c>
      <c r="E96" s="269">
        <f>'Monthly Data'!BF96</f>
        <v>294.14166666666671</v>
      </c>
      <c r="F96" s="269">
        <f>'Monthly Data'!BK96</f>
        <v>13.824999999999999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>E96*'Res Predicted Monthly'!$T$10</f>
        <v>10537502.985920683</v>
      </c>
      <c r="L96" s="18">
        <f>F96*'Res Predicted Monthly'!$T$11</f>
        <v>810072.99012821808</v>
      </c>
      <c r="M96" s="18">
        <f>G96*'Res Predicted Monthly'!$T$12</f>
        <v>49990.65603937675</v>
      </c>
      <c r="N96" s="18">
        <f>H96*'Res Predicted Monthly'!$T$13</f>
        <v>6049016.1718582259</v>
      </c>
      <c r="O96" s="18">
        <f t="shared" si="10"/>
        <v>41704816.131805912</v>
      </c>
      <c r="P96" s="18">
        <f t="shared" ca="1" si="11"/>
        <v>2427471.911326915</v>
      </c>
      <c r="Q96" s="270">
        <f t="shared" ca="1" si="12"/>
        <v>6.1803361696263673E-2</v>
      </c>
    </row>
    <row r="97" spans="1:17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 ca="1">'Monthly Data'!F97</f>
        <v>45943881.762200601</v>
      </c>
      <c r="E97" s="269">
        <f>'Monthly Data'!BF97</f>
        <v>461.12083333333328</v>
      </c>
      <c r="F97" s="269">
        <f>'Monthly Data'!BK97</f>
        <v>0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>E97*'Res Predicted Monthly'!$T$10</f>
        <v>16519462.248191854</v>
      </c>
      <c r="L97" s="18">
        <f>F97*'Res Predicted Monthly'!$T$11</f>
        <v>0</v>
      </c>
      <c r="M97" s="18">
        <f>G97*'Res Predicted Monthly'!$T$12</f>
        <v>0</v>
      </c>
      <c r="N97" s="18">
        <f>H97*'Res Predicted Monthly'!$T$13</f>
        <v>6112690.0262988387</v>
      </c>
      <c r="O97" s="18">
        <f t="shared" si="10"/>
        <v>46890385.602350093</v>
      </c>
      <c r="P97" s="18">
        <f t="shared" ca="1" si="11"/>
        <v>946503.84014949203</v>
      </c>
      <c r="Q97" s="270">
        <f t="shared" ca="1" si="12"/>
        <v>2.0601303238774415E-2</v>
      </c>
    </row>
    <row r="98" spans="1:17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 ca="1">'Monthly Data'!F98</f>
        <v>49786995.901728272</v>
      </c>
      <c r="E98" s="269">
        <f>'Monthly Data'!BF98</f>
        <v>480.07083333333327</v>
      </c>
      <c r="F98" s="269">
        <f>'Monthly Data'!BK98</f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>E98*'Res Predicted Monthly'!$T$10</f>
        <v>17198338.124044862</v>
      </c>
      <c r="L98" s="18">
        <f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18">
        <f t="shared" ref="O98:O121" si="13">SUM(J98:N98)</f>
        <v>47632935.332643718</v>
      </c>
      <c r="P98" s="18">
        <f t="shared" ref="P98:P121" ca="1" si="14">O98-D98</f>
        <v>-2154060.5690845549</v>
      </c>
      <c r="Q98" s="270">
        <f t="shared" ref="Q98:Q121" ca="1" si="15">ABS(P98/D98)</f>
        <v>4.3265526069022779E-2</v>
      </c>
    </row>
    <row r="99" spans="1:17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 ca="1">'Monthly Data'!F99</f>
        <v>48115533.851268791</v>
      </c>
      <c r="E99" s="269">
        <f>'Monthly Data'!BF99</f>
        <v>461.43333333333328</v>
      </c>
      <c r="F99" s="269">
        <f>'Monthly Data'!BK99</f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>E99*'Res Predicted Monthly'!$T$10</f>
        <v>16530657.430841146</v>
      </c>
      <c r="L99" s="18">
        <f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18">
        <f t="shared" si="13"/>
        <v>47028928.493880615</v>
      </c>
      <c r="P99" s="18">
        <f t="shared" ca="1" si="14"/>
        <v>-1086605.357388176</v>
      </c>
      <c r="Q99" s="270">
        <f t="shared" ca="1" si="15"/>
        <v>2.2583254729065479E-2</v>
      </c>
    </row>
    <row r="100" spans="1:17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 ca="1">'Monthly Data'!F100</f>
        <v>44054035.717063427</v>
      </c>
      <c r="E100" s="269">
        <f>'Monthly Data'!BF100</f>
        <v>427.0333333333333</v>
      </c>
      <c r="F100" s="269">
        <f>'Monthly Data'!BK100</f>
        <v>0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>E100*'Res Predicted Monthly'!$T$10</f>
        <v>15298291.72480719</v>
      </c>
      <c r="L100" s="18">
        <f>F100*'Res Predicted Monthly'!$T$11</f>
        <v>0</v>
      </c>
      <c r="M100" s="18">
        <f>G100*'Res Predicted Monthly'!$T$12</f>
        <v>0</v>
      </c>
      <c r="N100" s="18">
        <f>H100*'Res Predicted Monthly'!$T$13</f>
        <v>6303711.5896206768</v>
      </c>
      <c r="O100" s="18">
        <f t="shared" si="13"/>
        <v>45860236.642287269</v>
      </c>
      <c r="P100" s="18">
        <f t="shared" ca="1" si="14"/>
        <v>1806200.9252238423</v>
      </c>
      <c r="Q100" s="270">
        <f t="shared" ca="1" si="15"/>
        <v>4.0999669969492655E-2</v>
      </c>
    </row>
    <row r="101" spans="1:17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 ca="1">'Monthly Data'!F101</f>
        <v>41477781.625128642</v>
      </c>
      <c r="E101" s="269">
        <f>'Monthly Data'!BF101</f>
        <v>193.11666666666667</v>
      </c>
      <c r="F101" s="269">
        <f>'Monthly Data'!BK101</f>
        <v>37.175000000000004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>E101*'Res Predicted Monthly'!$T$10</f>
        <v>6918324.3390578767</v>
      </c>
      <c r="L101" s="18">
        <f>F101*'Res Predicted Monthly'!$T$11</f>
        <v>2178261.3676684638</v>
      </c>
      <c r="M101" s="18">
        <f>G101*'Res Predicted Monthly'!$T$12</f>
        <v>86304.32448596647</v>
      </c>
      <c r="N101" s="18">
        <f>H101*'Res Predicted Monthly'!$T$13</f>
        <v>6367385.4440612905</v>
      </c>
      <c r="O101" s="18">
        <f t="shared" si="13"/>
        <v>39808508.803132996</v>
      </c>
      <c r="P101" s="18">
        <f t="shared" ca="1" si="14"/>
        <v>-1669272.8219956458</v>
      </c>
      <c r="Q101" s="270">
        <f t="shared" ca="1" si="15"/>
        <v>4.0244987957223435E-2</v>
      </c>
    </row>
    <row r="102" spans="1:17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 ca="1">'Monthly Data'!F102</f>
        <v>37681102.394657172</v>
      </c>
      <c r="E102" s="269">
        <f>'Monthly Data'!BF102</f>
        <v>68.776666666666671</v>
      </c>
      <c r="F102" s="269">
        <f>'Monthly Data'!BK102</f>
        <v>112.85416666666666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>E102*'Res Predicted Monthly'!$T$10</f>
        <v>2463895.5050967666</v>
      </c>
      <c r="L102" s="18">
        <f>F102*'Res Predicted Monthly'!$T$11</f>
        <v>6612666.3464806471</v>
      </c>
      <c r="M102" s="18">
        <f>G102*'Res Predicted Monthly'!$T$12</f>
        <v>258533.05713587737</v>
      </c>
      <c r="N102" s="18">
        <f>H102*'Res Predicted Monthly'!$T$13</f>
        <v>6431059.2985019032</v>
      </c>
      <c r="O102" s="18">
        <f t="shared" si="13"/>
        <v>40024387.535074599</v>
      </c>
      <c r="P102" s="18">
        <f t="shared" ca="1" si="14"/>
        <v>2343285.1404174268</v>
      </c>
      <c r="Q102" s="270">
        <f t="shared" ca="1" si="15"/>
        <v>6.2187276685134421E-2</v>
      </c>
    </row>
    <row r="103" spans="1:17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 ca="1">'Monthly Data'!F103</f>
        <v>44205525.740265645</v>
      </c>
      <c r="E103" s="269">
        <f>'Monthly Data'!BF103</f>
        <v>0</v>
      </c>
      <c r="F103" s="269">
        <f>'Monthly Data'!BK103</f>
        <v>265.54166666666669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>E103*'Res Predicted Monthly'!$T$10</f>
        <v>0</v>
      </c>
      <c r="L103" s="18">
        <f>F103*'Res Predicted Monthly'!$T$11</f>
        <v>15559358.547580272</v>
      </c>
      <c r="M103" s="18">
        <f>G103*'Res Predicted Monthly'!$T$12</f>
        <v>780886.3402224367</v>
      </c>
      <c r="N103" s="18">
        <f>H103*'Res Predicted Monthly'!$T$13</f>
        <v>6494733.1529425159</v>
      </c>
      <c r="O103" s="18">
        <f t="shared" si="13"/>
        <v>47093211.368604623</v>
      </c>
      <c r="P103" s="18">
        <f t="shared" ca="1" si="14"/>
        <v>2887685.6283389777</v>
      </c>
      <c r="Q103" s="270">
        <f t="shared" ca="1" si="15"/>
        <v>6.5324087429835975E-2</v>
      </c>
    </row>
    <row r="104" spans="1:17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 ca="1">'Monthly Data'!F104</f>
        <v>53148053.94264774</v>
      </c>
      <c r="E104" s="269">
        <f>'Monthly Data'!BF104</f>
        <v>0</v>
      </c>
      <c r="F104" s="269">
        <f>'Monthly Data'!BK104</f>
        <v>347.78333333333342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>E104*'Res Predicted Monthly'!$T$10</f>
        <v>0</v>
      </c>
      <c r="L104" s="18">
        <f>F104*'Res Predicted Monthly'!$T$11</f>
        <v>20378291.844491299</v>
      </c>
      <c r="M104" s="18">
        <f>G104*'Res Predicted Monthly'!$T$12</f>
        <v>1085737.5289514798</v>
      </c>
      <c r="N104" s="18">
        <f>H104*'Res Predicted Monthly'!$T$13</f>
        <v>6558407.0073831286</v>
      </c>
      <c r="O104" s="18">
        <f t="shared" si="13"/>
        <v>52280669.708685316</v>
      </c>
      <c r="P104" s="18">
        <f t="shared" ca="1" si="14"/>
        <v>-867384.2339624241</v>
      </c>
      <c r="Q104" s="270">
        <f t="shared" ca="1" si="15"/>
        <v>1.6320150402843001E-2</v>
      </c>
    </row>
    <row r="105" spans="1:17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 ca="1">'Monthly Data'!F105</f>
        <v>52355701.773249552</v>
      </c>
      <c r="E105" s="269">
        <f>'Monthly Data'!BF105</f>
        <v>0</v>
      </c>
      <c r="F105" s="269">
        <f>'Monthly Data'!BK105</f>
        <v>289.8048913043479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>E105*'Res Predicted Monthly'!$T$10</f>
        <v>0</v>
      </c>
      <c r="L105" s="18">
        <f>F105*'Res Predicted Monthly'!$T$11</f>
        <v>16981057.132202268</v>
      </c>
      <c r="M105" s="18">
        <f>G105*'Res Predicted Monthly'!$T$12</f>
        <v>865467.96442938014</v>
      </c>
      <c r="N105" s="18">
        <f>H105*'Res Predicted Monthly'!$T$13</f>
        <v>6622080.8618237413</v>
      </c>
      <c r="O105" s="18">
        <f t="shared" si="13"/>
        <v>48726839.286314785</v>
      </c>
      <c r="P105" s="18">
        <f t="shared" ca="1" si="14"/>
        <v>-3628862.4869347662</v>
      </c>
      <c r="Q105" s="270">
        <f t="shared" ca="1" si="15"/>
        <v>6.9311696033628287E-2</v>
      </c>
    </row>
    <row r="106" spans="1:17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 ca="1">'Monthly Data'!F106</f>
        <v>46566233.731656738</v>
      </c>
      <c r="E106" s="269">
        <f>'Monthly Data'!BF106</f>
        <v>2.3583333333333378</v>
      </c>
      <c r="F106" s="269">
        <f>'Monthly Data'!BK106</f>
        <v>222.99166666666656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>E106*'Res Predicted Monthly'!$T$10</f>
        <v>84486.311726649816</v>
      </c>
      <c r="L106" s="18">
        <f>F106*'Res Predicted Monthly'!$T$11</f>
        <v>13066150.176516563</v>
      </c>
      <c r="M106" s="18">
        <f>G106*'Res Predicted Monthly'!$T$12</f>
        <v>619231.94520213385</v>
      </c>
      <c r="N106" s="18">
        <f>H106*'Res Predicted Monthly'!$T$13</f>
        <v>6685754.716264355</v>
      </c>
      <c r="O106" s="18">
        <f t="shared" si="13"/>
        <v>44713856.477569096</v>
      </c>
      <c r="P106" s="18">
        <f t="shared" ca="1" si="14"/>
        <v>-1852377.2540876418</v>
      </c>
      <c r="Q106" s="270">
        <f t="shared" ca="1" si="15"/>
        <v>3.9779408933137653E-2</v>
      </c>
    </row>
    <row r="107" spans="1:17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 ca="1">'Monthly Data'!F107</f>
        <v>39171671.5658613</v>
      </c>
      <c r="E107" s="269">
        <f>'Monthly Data'!BF107</f>
        <v>111.18333333333332</v>
      </c>
      <c r="F107" s="269">
        <f>'Monthly Data'!BK107</f>
        <v>85.929166666666674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>E107*'Res Predicted Monthly'!$T$10</f>
        <v>3983096.7175157582</v>
      </c>
      <c r="L107" s="18">
        <f>F107*'Res Predicted Monthly'!$T$11</f>
        <v>5035001.5899379877</v>
      </c>
      <c r="M107" s="18">
        <f>G107*'Res Predicted Monthly'!$T$12</f>
        <v>207529.2909044424</v>
      </c>
      <c r="N107" s="18">
        <f>H107*'Res Predicted Monthly'!$T$13</f>
        <v>6749428.5707049677</v>
      </c>
      <c r="O107" s="18">
        <f t="shared" si="13"/>
        <v>40233289.49692256</v>
      </c>
      <c r="P107" s="18">
        <f t="shared" ca="1" si="14"/>
        <v>1061617.9310612604</v>
      </c>
      <c r="Q107" s="270">
        <f t="shared" ca="1" si="15"/>
        <v>2.7101675486998527E-2</v>
      </c>
    </row>
    <row r="108" spans="1:17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 ca="1">'Monthly Data'!F108</f>
        <v>41789523.983142883</v>
      </c>
      <c r="E108" s="269">
        <f>'Monthly Data'!BF108</f>
        <v>330.59311594202904</v>
      </c>
      <c r="F108" s="269">
        <f>'Monthly Data'!BK108</f>
        <v>0.36249999999999893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>E108*'Res Predicted Monthly'!$T$10</f>
        <v>11843361.009821638</v>
      </c>
      <c r="L108" s="18">
        <f>F108*'Res Predicted Monthly'!$T$11</f>
        <v>21240.611856888117</v>
      </c>
      <c r="M108" s="18">
        <f>G108*'Res Predicted Monthly'!$T$12</f>
        <v>0</v>
      </c>
      <c r="N108" s="18">
        <f>H108*'Res Predicted Monthly'!$T$13</f>
        <v>6813102.4251455804</v>
      </c>
      <c r="O108" s="18">
        <f t="shared" si="13"/>
        <v>42935937.374683507</v>
      </c>
      <c r="P108" s="18">
        <f t="shared" ca="1" si="14"/>
        <v>1146413.3915406242</v>
      </c>
      <c r="Q108" s="270">
        <f t="shared" ca="1" si="15"/>
        <v>2.7433033025288014E-2</v>
      </c>
    </row>
    <row r="109" spans="1:17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 ca="1">'Monthly Data'!F109</f>
        <v>46337671.865408465</v>
      </c>
      <c r="E109" s="269">
        <f>'Monthly Data'!BF109</f>
        <v>365.67916666666667</v>
      </c>
      <c r="F109" s="269">
        <f>'Monthly Data'!BK109</f>
        <v>0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>E109*'Res Predicted Monthly'!$T$10</f>
        <v>13100304.197996385</v>
      </c>
      <c r="L109" s="18">
        <f>F109*'Res Predicted Monthly'!$T$11</f>
        <v>0</v>
      </c>
      <c r="M109" s="18">
        <f>G109*'Res Predicted Monthly'!$T$12</f>
        <v>0</v>
      </c>
      <c r="N109" s="18">
        <f>H109*'Res Predicted Monthly'!$T$13</f>
        <v>6876776.2795861932</v>
      </c>
      <c r="O109" s="18">
        <f t="shared" si="13"/>
        <v>44235313.805441983</v>
      </c>
      <c r="P109" s="18">
        <f t="shared" ca="1" si="14"/>
        <v>-2102358.0599664822</v>
      </c>
      <c r="Q109" s="270">
        <f t="shared" ca="1" si="15"/>
        <v>4.5370386023556648E-2</v>
      </c>
    </row>
    <row r="110" spans="1:17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 ca="1">'Monthly Data'!F110</f>
        <v>49476659.038921513</v>
      </c>
      <c r="E110" s="269">
        <f>'Monthly Data'!BF110</f>
        <v>512.99583333333328</v>
      </c>
      <c r="F110" s="269">
        <f>'Monthly Data'!BK110</f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>E110*'Res Predicted Monthly'!$T$10</f>
        <v>18377862.567974165</v>
      </c>
      <c r="L110" s="18">
        <f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18">
        <f t="shared" si="13"/>
        <v>49576546.02986037</v>
      </c>
      <c r="P110" s="18">
        <f t="shared" ca="1" si="14"/>
        <v>99886.990938857198</v>
      </c>
      <c r="Q110" s="270">
        <f t="shared" ca="1" si="15"/>
        <v>2.0188709763179378E-3</v>
      </c>
    </row>
    <row r="111" spans="1:17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 ca="1">'Monthly Data'!F111</f>
        <v>43226633.74598562</v>
      </c>
      <c r="E111" s="269">
        <f>'Monthly Data'!BF111</f>
        <v>426.96666666666664</v>
      </c>
      <c r="F111" s="269">
        <f>'Monthly Data'!BK111</f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>E111*'Res Predicted Monthly'!$T$10</f>
        <v>15295903.419175342</v>
      </c>
      <c r="L111" s="18">
        <f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18">
        <f t="shared" si="13"/>
        <v>46558260.735502161</v>
      </c>
      <c r="P111" s="18">
        <f t="shared" ca="1" si="14"/>
        <v>3331626.9895165414</v>
      </c>
      <c r="Q111" s="270">
        <f t="shared" ca="1" si="15"/>
        <v>7.7073477640991275E-2</v>
      </c>
    </row>
    <row r="112" spans="1:17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 ca="1">'Monthly Data'!F112</f>
        <v>44980060.036208034</v>
      </c>
      <c r="E112" s="269">
        <f>'Monthly Data'!BF112</f>
        <v>336.11249999999995</v>
      </c>
      <c r="F112" s="269">
        <f>'Monthly Data'!BK112</f>
        <v>0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>E112*'Res Predicted Monthly'!$T$10</f>
        <v>12041090.65027146</v>
      </c>
      <c r="L112" s="18">
        <f>F112*'Res Predicted Monthly'!$T$11</f>
        <v>0</v>
      </c>
      <c r="M112" s="18">
        <f>G112*'Res Predicted Monthly'!$T$12</f>
        <v>0</v>
      </c>
      <c r="N112" s="18">
        <f>H112*'Res Predicted Monthly'!$T$13</f>
        <v>7067797.8429080322</v>
      </c>
      <c r="O112" s="18">
        <f t="shared" si="13"/>
        <v>43367121.821038894</v>
      </c>
      <c r="P112" s="18">
        <f t="shared" ca="1" si="14"/>
        <v>-1612938.2151691392</v>
      </c>
      <c r="Q112" s="270">
        <f t="shared" ca="1" si="15"/>
        <v>3.5858960923368197E-2</v>
      </c>
    </row>
    <row r="113" spans="1:17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 ca="1">'Monthly Data'!F113</f>
        <v>40976628.503210261</v>
      </c>
      <c r="E113" s="269">
        <f>'Monthly Data'!BF113</f>
        <v>188.29791666666671</v>
      </c>
      <c r="F113" s="269">
        <f>'Monthly Data'!BK113</f>
        <v>10.625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>E113*'Res Predicted Monthly'!$T$10</f>
        <v>6745694.6226058109</v>
      </c>
      <c r="L113" s="18">
        <f>F113*'Res Predicted Monthly'!$T$11</f>
        <v>622569.65787430864</v>
      </c>
      <c r="M113" s="18">
        <f>G113*'Res Predicted Monthly'!$T$12</f>
        <v>9054.6723415210618</v>
      </c>
      <c r="N113" s="18">
        <f>H113*'Res Predicted Monthly'!$T$13</f>
        <v>7131471.697348645</v>
      </c>
      <c r="O113" s="18">
        <f t="shared" si="13"/>
        <v>38767023.978029691</v>
      </c>
      <c r="P113" s="18">
        <f t="shared" ca="1" si="14"/>
        <v>-2209604.5251805708</v>
      </c>
      <c r="Q113" s="270">
        <f t="shared" ca="1" si="15"/>
        <v>5.3923531678733941E-2</v>
      </c>
    </row>
    <row r="114" spans="1:17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 ca="1">'Monthly Data'!F114</f>
        <v>40992624.283915721</v>
      </c>
      <c r="E114" s="269">
        <f>'Monthly Data'!BF114</f>
        <v>15.562499999999984</v>
      </c>
      <c r="F114" s="269">
        <f>'Monthly Data'!BK114</f>
        <v>169.12916666666669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>E114*'Res Predicted Monthly'!$T$10</f>
        <v>557520.09593469289</v>
      </c>
      <c r="L114" s="18">
        <f>F114*'Res Predicted Monthly'!$T$11</f>
        <v>9910088.2285396345</v>
      </c>
      <c r="M114" s="18">
        <f>G114*'Res Predicted Monthly'!$T$12</f>
        <v>418097.91238505975</v>
      </c>
      <c r="N114" s="18">
        <f>H114*'Res Predicted Monthly'!$T$13</f>
        <v>7195145.5517892577</v>
      </c>
      <c r="O114" s="18">
        <f t="shared" si="13"/>
        <v>42339085.116508052</v>
      </c>
      <c r="P114" s="18">
        <f t="shared" ca="1" si="14"/>
        <v>1346460.8325923309</v>
      </c>
      <c r="Q114" s="270">
        <f t="shared" ca="1" si="15"/>
        <v>3.284641703509189E-2</v>
      </c>
    </row>
    <row r="115" spans="1:17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 ca="1">'Monthly Data'!F115</f>
        <v>45944836.893358529</v>
      </c>
      <c r="E115" s="269">
        <f>'Monthly Data'!BF115</f>
        <v>2.4583333333333321</v>
      </c>
      <c r="F115" s="269">
        <f>'Monthly Data'!BK115</f>
        <v>264.15416666666664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>E115*'Res Predicted Monthly'!$T$10</f>
        <v>88068.770174422738</v>
      </c>
      <c r="L115" s="18">
        <f>F115*'Res Predicted Monthly'!$T$11</f>
        <v>15478058.274610801</v>
      </c>
      <c r="M115" s="18">
        <f>G115*'Res Predicted Monthly'!$T$12</f>
        <v>775615.00125438324</v>
      </c>
      <c r="N115" s="18">
        <f>H115*'Res Predicted Monthly'!$T$13</f>
        <v>7258819.4062298704</v>
      </c>
      <c r="O115" s="18">
        <f t="shared" si="13"/>
        <v>47858794.780128874</v>
      </c>
      <c r="P115" s="18">
        <f t="shared" ca="1" si="14"/>
        <v>1913957.8867703453</v>
      </c>
      <c r="Q115" s="270">
        <f t="shared" ca="1" si="15"/>
        <v>4.1657736019670447E-2</v>
      </c>
    </row>
    <row r="116" spans="1:17" x14ac:dyDescent="0.25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 ca="1">'Monthly Data'!F116</f>
        <v>55643634.584272623</v>
      </c>
      <c r="E116" s="269">
        <f>'Monthly Data'!BF116</f>
        <v>0</v>
      </c>
      <c r="F116" s="269">
        <f>'Monthly Data'!BK116</f>
        <v>365.14166666666671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>E116*'Res Predicted Monthly'!$T$10</f>
        <v>0</v>
      </c>
      <c r="L116" s="18">
        <f>F116*'Res Predicted Monthly'!$T$11</f>
        <v>21395399.763983205</v>
      </c>
      <c r="M116" s="18">
        <f>G116*'Res Predicted Monthly'!$T$12</f>
        <v>1151684.6705157743</v>
      </c>
      <c r="N116" s="18">
        <f>H116*'Res Predicted Monthly'!$T$13</f>
        <v>7322493.2606704831</v>
      </c>
      <c r="O116" s="18">
        <f t="shared" si="13"/>
        <v>54127811.023028865</v>
      </c>
      <c r="P116" s="18">
        <f t="shared" ca="1" si="14"/>
        <v>-1515823.5612437576</v>
      </c>
      <c r="Q116" s="270">
        <f t="shared" ca="1" si="15"/>
        <v>2.7241634601493071E-2</v>
      </c>
    </row>
    <row r="117" spans="1:17" x14ac:dyDescent="0.25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 ca="1">'Monthly Data'!F117</f>
        <v>55415275.521450698</v>
      </c>
      <c r="E117" s="269">
        <f>'Monthly Data'!BF117</f>
        <v>0</v>
      </c>
      <c r="F117" s="269">
        <f>'Monthly Data'!BK117</f>
        <v>324.86666666666667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>E117*'Res Predicted Monthly'!$T$10</f>
        <v>0</v>
      </c>
      <c r="L117" s="18">
        <f>F117*'Res Predicted Monthly'!$T$11</f>
        <v>19035494.543193765</v>
      </c>
      <c r="M117" s="18">
        <f>G117*'Res Predicted Monthly'!$T$12</f>
        <v>998673.37182146928</v>
      </c>
      <c r="N117" s="18">
        <f>H117*'Res Predicted Monthly'!$T$13</f>
        <v>7386167.1151110968</v>
      </c>
      <c r="O117" s="18">
        <f t="shared" si="13"/>
        <v>51678568.357985735</v>
      </c>
      <c r="P117" s="18">
        <f t="shared" ca="1" si="14"/>
        <v>-3736707.1634649634</v>
      </c>
      <c r="Q117" s="270">
        <f t="shared" ca="1" si="15"/>
        <v>6.7430994943235845E-2</v>
      </c>
    </row>
    <row r="118" spans="1:17" x14ac:dyDescent="0.25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 ca="1">'Monthly Data'!F118</f>
        <v>47318717.783092171</v>
      </c>
      <c r="E118" s="269">
        <f>'Monthly Data'!BF118</f>
        <v>2.5625000000000036</v>
      </c>
      <c r="F118" s="269">
        <f>'Monthly Data'!BK118</f>
        <v>231.3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>E118*'Res Predicted Monthly'!$T$10</f>
        <v>91800.497724186585</v>
      </c>
      <c r="L118" s="18">
        <f>F118*'Res Predicted Monthly'!$T$11</f>
        <v>13552975.234477893</v>
      </c>
      <c r="M118" s="18">
        <f>G118*'Res Predicted Monthly'!$T$12</f>
        <v>650796.65962345037</v>
      </c>
      <c r="N118" s="18">
        <f>H118*'Res Predicted Monthly'!$T$13</f>
        <v>7449840.9695517095</v>
      </c>
      <c r="O118" s="18">
        <f t="shared" si="13"/>
        <v>46003646.689236648</v>
      </c>
      <c r="P118" s="18">
        <f t="shared" ca="1" si="14"/>
        <v>-1315071.0938555226</v>
      </c>
      <c r="Q118" s="270">
        <f t="shared" ca="1" si="15"/>
        <v>2.7791773646187453E-2</v>
      </c>
    </row>
    <row r="119" spans="1:17" x14ac:dyDescent="0.25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 ca="1">'Monthly Data'!F119</f>
        <v>39877494.335995674</v>
      </c>
      <c r="E119" s="269">
        <f>'Monthly Data'!BF119</f>
        <v>122.06250000000001</v>
      </c>
      <c r="F119" s="269">
        <f>'Monthly Data'!BK119</f>
        <v>60.087500000000006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>E119*'Res Predicted Monthly'!$T$10</f>
        <v>4372838.3428130774</v>
      </c>
      <c r="L119" s="18">
        <f>F119*'Res Predicted Monthly'!$T$11</f>
        <v>3520814.5240021199</v>
      </c>
      <c r="M119" s="18">
        <f>G119*'Res Predicted Monthly'!$T$12</f>
        <v>118169.8059955502</v>
      </c>
      <c r="N119" s="18">
        <f>H119*'Res Predicted Monthly'!$T$13</f>
        <v>7513514.8239923222</v>
      </c>
      <c r="O119" s="18">
        <f t="shared" si="13"/>
        <v>39783570.824662469</v>
      </c>
      <c r="P119" s="18">
        <f t="shared" ca="1" si="14"/>
        <v>-93923.511333204806</v>
      </c>
      <c r="Q119" s="270">
        <f t="shared" ca="1" si="15"/>
        <v>2.3553012268482513E-3</v>
      </c>
    </row>
    <row r="120" spans="1:17" x14ac:dyDescent="0.25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 ca="1">'Monthly Data'!F120</f>
        <v>40926997.432523698</v>
      </c>
      <c r="E120" s="269">
        <f>'Monthly Data'!BF120</f>
        <v>251.79583333333335</v>
      </c>
      <c r="F120" s="269">
        <f>'Monthly Data'!BK120</f>
        <v>15.029166666666661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>E120*'Res Predicted Monthly'!$T$10</f>
        <v>9020481.1023907512</v>
      </c>
      <c r="L120" s="18">
        <f>F120*'Res Predicted Monthly'!$T$11</f>
        <v>880630.88468730613</v>
      </c>
      <c r="M120" s="18">
        <f>G120*'Res Predicted Monthly'!$T$12</f>
        <v>36107.880438827837</v>
      </c>
      <c r="N120" s="18">
        <f>H120*'Res Predicted Monthly'!$T$13</f>
        <v>7577188.6784329349</v>
      </c>
      <c r="O120" s="18">
        <f t="shared" si="13"/>
        <v>41772641.873809218</v>
      </c>
      <c r="P120" s="18">
        <f t="shared" ca="1" si="14"/>
        <v>845644.44128552079</v>
      </c>
      <c r="Q120" s="270">
        <f t="shared" ca="1" si="15"/>
        <v>2.0662264381347155E-2</v>
      </c>
    </row>
    <row r="121" spans="1:17" x14ac:dyDescent="0.25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 ca="1">'Monthly Data'!F121</f>
        <v>47973236.875220634</v>
      </c>
      <c r="E121" s="269">
        <f>'Monthly Data'!BF121</f>
        <v>474.57499999999999</v>
      </c>
      <c r="F121" s="269">
        <f>'Monthly Data'!BK121</f>
        <v>0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>E121*'Res Predicted Monthly'!$T$10</f>
        <v>17001452.178519335</v>
      </c>
      <c r="L121" s="18">
        <f>F121*'Res Predicted Monthly'!$T$11</f>
        <v>0</v>
      </c>
      <c r="M121" s="18">
        <f>G121*'Res Predicted Monthly'!$T$12</f>
        <v>0</v>
      </c>
      <c r="N121" s="18">
        <f>H121*'Res Predicted Monthly'!$T$13</f>
        <v>7640862.5328735476</v>
      </c>
      <c r="O121" s="18">
        <f t="shared" si="13"/>
        <v>48900548.039252289</v>
      </c>
      <c r="P121" s="18">
        <f t="shared" ca="1" si="14"/>
        <v>927311.1640316546</v>
      </c>
      <c r="Q121" s="270">
        <f t="shared" ca="1" si="15"/>
        <v>1.932976018365427E-2</v>
      </c>
    </row>
    <row r="122" spans="1:17" x14ac:dyDescent="0.25">
      <c r="A122" s="3"/>
      <c r="G122" s="18"/>
      <c r="M122" s="18"/>
      <c r="Q122" s="270">
        <f ca="1">AVERAGE(Q2:Q121)</f>
        <v>4.5404411757131433E-2</v>
      </c>
    </row>
    <row r="123" spans="1:17" x14ac:dyDescent="0.25">
      <c r="A123" s="3"/>
      <c r="G123" s="18"/>
      <c r="M123" s="18"/>
    </row>
    <row r="124" spans="1:17" x14ac:dyDescent="0.25">
      <c r="A124" s="3"/>
      <c r="G124" s="18"/>
      <c r="M124" s="18"/>
    </row>
    <row r="125" spans="1:17" x14ac:dyDescent="0.25">
      <c r="A125" s="3"/>
      <c r="G125" s="18"/>
      <c r="M125" s="18"/>
    </row>
    <row r="126" spans="1:17" x14ac:dyDescent="0.25">
      <c r="A126" s="3"/>
    </row>
    <row r="127" spans="1:17" x14ac:dyDescent="0.25">
      <c r="A127" s="3"/>
    </row>
    <row r="128" spans="1:17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Z141"/>
  <sheetViews>
    <sheetView topLeftCell="H1" workbookViewId="0">
      <selection activeCell="V8" sqref="V8:Y13"/>
    </sheetView>
  </sheetViews>
  <sheetFormatPr defaultColWidth="9.33203125" defaultRowHeight="13.2" x14ac:dyDescent="0.25"/>
  <cols>
    <col min="1" max="1" width="10.33203125" style="1" bestFit="1" customWidth="1"/>
    <col min="2" max="3" width="9.44140625" style="1" bestFit="1" customWidth="1"/>
    <col min="4" max="4" width="14.77734375" style="1" bestFit="1" customWidth="1"/>
    <col min="5" max="6" width="9.44140625" style="1" bestFit="1" customWidth="1"/>
    <col min="7" max="7" width="12.77734375" style="18" customWidth="1"/>
    <col min="8" max="8" width="17.77734375" style="1" customWidth="1"/>
    <col min="9" max="9" width="11.44140625" style="1" customWidth="1"/>
    <col min="10" max="10" width="9.33203125" style="1"/>
    <col min="11" max="11" width="14.77734375" style="1" bestFit="1" customWidth="1"/>
    <col min="12" max="13" width="12.88671875" style="1" bestFit="1" customWidth="1"/>
    <col min="14" max="14" width="14.44140625" style="1" bestFit="1" customWidth="1"/>
    <col min="15" max="16" width="12.44140625" style="1" customWidth="1"/>
    <col min="17" max="17" width="14.88671875" style="1" bestFit="1" customWidth="1"/>
    <col min="18" max="18" width="13.88671875" style="1" bestFit="1" customWidth="1"/>
    <col min="19" max="19" width="9.44140625" style="1" bestFit="1" customWidth="1"/>
    <col min="20" max="20" width="9.33203125" style="1"/>
    <col min="21" max="21" width="13.77734375" style="1" bestFit="1" customWidth="1"/>
    <col min="22" max="22" width="14.6640625" style="1" customWidth="1"/>
    <col min="23" max="23" width="11.109375" style="1" bestFit="1" customWidth="1"/>
    <col min="24" max="26" width="12.77734375" style="1" customWidth="1"/>
    <col min="27" max="16384" width="9.33203125" style="1"/>
  </cols>
  <sheetData>
    <row r="1" spans="1:25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152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196</v>
      </c>
      <c r="R1" s="265" t="s">
        <v>197</v>
      </c>
    </row>
    <row r="2" spans="1:25" x14ac:dyDescent="0.25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4">
        <f>'Monthly Data'!J2</f>
        <v>13822388.796796555</v>
      </c>
      <c r="E2" s="269">
        <f>'Monthly Data'!BD2</f>
        <v>735.89184782608675</v>
      </c>
      <c r="F2" s="269">
        <f>'Monthly Data'!BG2</f>
        <v>0</v>
      </c>
      <c r="G2" s="4">
        <f>'Monthly Data'!CG2</f>
        <v>0</v>
      </c>
      <c r="H2" s="4">
        <f>'Monthly Data'!CD2</f>
        <v>31</v>
      </c>
      <c r="I2" s="18">
        <f>'Monthly Data'!K2</f>
        <v>3993</v>
      </c>
      <c r="K2" s="18">
        <f>'GS&lt;50 Predicted Monthly'!$V$8</f>
        <v>-5601916.4558281703</v>
      </c>
      <c r="L2" s="18">
        <f>E2*'GS&lt;50 Predicted Monthly'!$V$9</f>
        <v>3975752.2453610254</v>
      </c>
      <c r="M2" s="18">
        <f>F2*'GS&lt;50 Predicted Monthly'!$V$10</f>
        <v>0</v>
      </c>
      <c r="N2" s="18">
        <f>G2*'GS&lt;50 Predicted Monthly'!$V$11</f>
        <v>0</v>
      </c>
      <c r="O2" s="18">
        <f>H2*'GS&lt;50 Predicted Monthly'!$V$12</f>
        <v>8344206.7499953387</v>
      </c>
      <c r="P2" s="18">
        <f>I2*'GS&lt;50 Predicted Monthly'!$V$13</f>
        <v>6073414.4667839156</v>
      </c>
      <c r="Q2" s="18">
        <f t="shared" ref="Q2:Q33" si="2">SUM(K2:P2)</f>
        <v>12791457.00631211</v>
      </c>
      <c r="R2" s="18">
        <f t="shared" ref="R2:R33" si="3">Q2-D2</f>
        <v>-1030931.7904844452</v>
      </c>
      <c r="S2" s="270">
        <f t="shared" ref="S2:S33" si="4">ABS(R2/D2)</f>
        <v>7.4584198552089032E-2</v>
      </c>
    </row>
    <row r="3" spans="1:2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Data'!J3</f>
        <v>12768909.645815352</v>
      </c>
      <c r="E3" s="269">
        <f>'Monthly Data'!BD3</f>
        <v>809.85434782608706</v>
      </c>
      <c r="F3" s="269">
        <f>'Monthly Data'!BG3</f>
        <v>0</v>
      </c>
      <c r="G3" s="4">
        <f>'Monthly Data'!CG3</f>
        <v>0</v>
      </c>
      <c r="H3" s="4">
        <f>'Monthly Data'!CD3</f>
        <v>28</v>
      </c>
      <c r="I3" s="18">
        <f>'Monthly Data'!K3</f>
        <v>3993</v>
      </c>
      <c r="K3" s="18">
        <f>'GS&lt;50 Predicted Monthly'!$V$8</f>
        <v>-5601916.4558281703</v>
      </c>
      <c r="L3" s="18">
        <f>E3*'GS&lt;50 Predicted Monthly'!$V$9</f>
        <v>4375344.3543321937</v>
      </c>
      <c r="M3" s="18">
        <f>F3*'GS&lt;50 Predicted Monthly'!$V$10</f>
        <v>0</v>
      </c>
      <c r="N3" s="18">
        <f>G3*'GS&lt;50 Predicted Monthly'!$V$11</f>
        <v>0</v>
      </c>
      <c r="O3" s="18">
        <f>H3*'GS&lt;50 Predicted Monthly'!$V$12</f>
        <v>7536702.8709635315</v>
      </c>
      <c r="P3" s="18">
        <f>I3*'GS&lt;50 Predicted Monthly'!$V$13</f>
        <v>6073414.4667839156</v>
      </c>
      <c r="Q3" s="18">
        <f t="shared" si="2"/>
        <v>12383545.23625147</v>
      </c>
      <c r="R3" s="18">
        <f t="shared" si="3"/>
        <v>-385364.40956388228</v>
      </c>
      <c r="S3" s="270">
        <f t="shared" si="4"/>
        <v>3.0179899478744807E-2</v>
      </c>
      <c r="U3" s="1" t="s">
        <v>198</v>
      </c>
    </row>
    <row r="4" spans="1:2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Data'!J4</f>
        <v>12329126.124219459</v>
      </c>
      <c r="E4" s="269">
        <f>'Monthly Data'!BD4</f>
        <v>575.79999999999995</v>
      </c>
      <c r="F4" s="269">
        <f>'Monthly Data'!BG4</f>
        <v>0</v>
      </c>
      <c r="G4" s="4">
        <f>'Monthly Data'!CG4</f>
        <v>0</v>
      </c>
      <c r="H4" s="4">
        <f>'Monthly Data'!CD4</f>
        <v>31</v>
      </c>
      <c r="I4" s="18">
        <f>'Monthly Data'!K4</f>
        <v>3986</v>
      </c>
      <c r="K4" s="18">
        <f>'GS&lt;50 Predicted Monthly'!$V$8</f>
        <v>-5601916.4558281703</v>
      </c>
      <c r="L4" s="18">
        <f>E4*'GS&lt;50 Predicted Monthly'!$V$9</f>
        <v>3110835.0359384515</v>
      </c>
      <c r="M4" s="18">
        <f>F4*'GS&lt;50 Predicted Monthly'!$V$10</f>
        <v>0</v>
      </c>
      <c r="N4" s="18">
        <f>G4*'GS&lt;50 Predicted Monthly'!$V$11</f>
        <v>0</v>
      </c>
      <c r="O4" s="18">
        <f>H4*'GS&lt;50 Predicted Monthly'!$V$12</f>
        <v>8344206.7499953387</v>
      </c>
      <c r="P4" s="18">
        <f>I4*'GS&lt;50 Predicted Monthly'!$V$13</f>
        <v>6062767.3590284716</v>
      </c>
      <c r="Q4" s="18">
        <f t="shared" si="2"/>
        <v>11915892.689134091</v>
      </c>
      <c r="R4" s="18">
        <f t="shared" si="3"/>
        <v>-413233.43508536741</v>
      </c>
      <c r="S4" s="270">
        <f t="shared" si="4"/>
        <v>3.3516847092155827E-2</v>
      </c>
      <c r="U4" s="1" t="s">
        <v>167</v>
      </c>
    </row>
    <row r="5" spans="1:2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Data'!J5</f>
        <v>10623916.171153571</v>
      </c>
      <c r="E5" s="269">
        <f>'Monthly Data'!BD5</f>
        <v>286.75037878787873</v>
      </c>
      <c r="F5" s="269">
        <f>'Monthly Data'!BG5</f>
        <v>0</v>
      </c>
      <c r="G5" s="4">
        <f>'Monthly Data'!CG5</f>
        <v>0</v>
      </c>
      <c r="H5" s="4">
        <f>'Monthly Data'!CD5</f>
        <v>30</v>
      </c>
      <c r="I5" s="18">
        <f>'Monthly Data'!K5</f>
        <v>3993</v>
      </c>
      <c r="K5" s="18">
        <f>'GS&lt;50 Predicted Monthly'!$V$8</f>
        <v>-5601916.4558281703</v>
      </c>
      <c r="L5" s="18">
        <f>E5*'GS&lt;50 Predicted Monthly'!$V$9</f>
        <v>1549206.5385584498</v>
      </c>
      <c r="M5" s="18">
        <f>F5*'GS&lt;50 Predicted Monthly'!$V$10</f>
        <v>0</v>
      </c>
      <c r="N5" s="18">
        <f>G5*'GS&lt;50 Predicted Monthly'!$V$11</f>
        <v>0</v>
      </c>
      <c r="O5" s="18">
        <f>H5*'GS&lt;50 Predicted Monthly'!$V$12</f>
        <v>8075038.79031807</v>
      </c>
      <c r="P5" s="18">
        <f>I5*'GS&lt;50 Predicted Monthly'!$V$13</f>
        <v>6073414.4667839156</v>
      </c>
      <c r="Q5" s="18">
        <f t="shared" si="2"/>
        <v>10095743.339832265</v>
      </c>
      <c r="R5" s="18">
        <f t="shared" si="3"/>
        <v>-528172.83132130653</v>
      </c>
      <c r="S5" s="270">
        <f t="shared" si="4"/>
        <v>4.9715455469746636E-2</v>
      </c>
      <c r="U5" s="1" t="s">
        <v>576</v>
      </c>
    </row>
    <row r="6" spans="1:2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Data'!J6</f>
        <v>10188832.832931003</v>
      </c>
      <c r="E6" s="269">
        <f>'Monthly Data'!BD6</f>
        <v>67.211775362318832</v>
      </c>
      <c r="F6" s="269">
        <f>'Monthly Data'!BG6</f>
        <v>62.881547619047637</v>
      </c>
      <c r="G6" s="4">
        <f>'Monthly Data'!CG6</f>
        <v>0</v>
      </c>
      <c r="H6" s="4">
        <f>'Monthly Data'!CD6</f>
        <v>31</v>
      </c>
      <c r="I6" s="18">
        <f>'Monthly Data'!K6</f>
        <v>3998</v>
      </c>
      <c r="K6" s="18">
        <f>'GS&lt;50 Predicted Monthly'!$V$8</f>
        <v>-5601916.4558281703</v>
      </c>
      <c r="L6" s="18">
        <f>E6*'GS&lt;50 Predicted Monthly'!$V$9</f>
        <v>363120.43352679099</v>
      </c>
      <c r="M6" s="18">
        <f>F6*'GS&lt;50 Predicted Monthly'!$V$10</f>
        <v>793755.86165079544</v>
      </c>
      <c r="N6" s="18">
        <f>G6*'GS&lt;50 Predicted Monthly'!$V$11</f>
        <v>0</v>
      </c>
      <c r="O6" s="18">
        <f>H6*'GS&lt;50 Predicted Monthly'!$V$12</f>
        <v>8344206.7499953387</v>
      </c>
      <c r="P6" s="18">
        <f>I6*'GS&lt;50 Predicted Monthly'!$V$13</f>
        <v>6081019.5437520901</v>
      </c>
      <c r="Q6" s="18">
        <f t="shared" si="2"/>
        <v>9980186.133096844</v>
      </c>
      <c r="R6" s="18">
        <f t="shared" si="3"/>
        <v>-208646.69983415864</v>
      </c>
      <c r="S6" s="270">
        <f t="shared" si="4"/>
        <v>2.0477978513868466E-2</v>
      </c>
    </row>
    <row r="7" spans="1:2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Data'!J7</f>
        <v>10184617.708334386</v>
      </c>
      <c r="E7" s="269">
        <f>'Monthly Data'!BD7</f>
        <v>17.725000000000009</v>
      </c>
      <c r="F7" s="269">
        <f>'Monthly Data'!BG7</f>
        <v>95.599999999999966</v>
      </c>
      <c r="G7" s="4">
        <f>'Monthly Data'!CG7</f>
        <v>0</v>
      </c>
      <c r="H7" s="4">
        <f>'Monthly Data'!CD7</f>
        <v>30</v>
      </c>
      <c r="I7" s="18">
        <f>'Monthly Data'!K7</f>
        <v>4011</v>
      </c>
      <c r="K7" s="18">
        <f>'GS&lt;50 Predicted Monthly'!$V$8</f>
        <v>-5601916.4558281703</v>
      </c>
      <c r="L7" s="18">
        <f>E7*'GS&lt;50 Predicted Monthly'!$V$9</f>
        <v>95761.637742287407</v>
      </c>
      <c r="M7" s="18">
        <f>F7*'GS&lt;50 Predicted Monthly'!$V$10</f>
        <v>1206761.9714695134</v>
      </c>
      <c r="N7" s="18">
        <f>G7*'GS&lt;50 Predicted Monthly'!$V$11</f>
        <v>0</v>
      </c>
      <c r="O7" s="18">
        <f>H7*'GS&lt;50 Predicted Monthly'!$V$12</f>
        <v>8075038.79031807</v>
      </c>
      <c r="P7" s="18">
        <f>I7*'GS&lt;50 Predicted Monthly'!$V$13</f>
        <v>6100792.7438693428</v>
      </c>
      <c r="Q7" s="18">
        <f t="shared" si="2"/>
        <v>9876438.6875710431</v>
      </c>
      <c r="R7" s="18">
        <f t="shared" si="3"/>
        <v>-308179.0207633432</v>
      </c>
      <c r="S7" s="270">
        <f t="shared" si="4"/>
        <v>3.0259262506353166E-2</v>
      </c>
      <c r="V7" s="1" t="s">
        <v>148</v>
      </c>
      <c r="W7" s="1" t="s">
        <v>149</v>
      </c>
      <c r="X7" s="1" t="s">
        <v>150</v>
      </c>
      <c r="Y7" s="1" t="s">
        <v>151</v>
      </c>
    </row>
    <row r="8" spans="1:2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Data'!J8</f>
        <v>11315953.589151742</v>
      </c>
      <c r="E8" s="269">
        <f>'Monthly Data'!BD8</f>
        <v>0</v>
      </c>
      <c r="F8" s="269">
        <f>'Monthly Data'!BG8</f>
        <v>205.53749999999997</v>
      </c>
      <c r="G8" s="4">
        <f>'Monthly Data'!CG8</f>
        <v>0</v>
      </c>
      <c r="H8" s="4">
        <f>'Monthly Data'!CD8</f>
        <v>31</v>
      </c>
      <c r="I8" s="18">
        <f>'Monthly Data'!K8</f>
        <v>4021</v>
      </c>
      <c r="K8" s="18">
        <f>'GS&lt;50 Predicted Monthly'!$V$8</f>
        <v>-5601916.4558281703</v>
      </c>
      <c r="L8" s="18">
        <f>E8*'GS&lt;50 Predicted Monthly'!$V$9</f>
        <v>0</v>
      </c>
      <c r="M8" s="18">
        <f>F8*'GS&lt;50 Predicted Monthly'!$V$10</f>
        <v>2594506.6810765183</v>
      </c>
      <c r="N8" s="18">
        <f>G8*'GS&lt;50 Predicted Monthly'!$V$11</f>
        <v>0</v>
      </c>
      <c r="O8" s="18">
        <f>H8*'GS&lt;50 Predicted Monthly'!$V$12</f>
        <v>8344206.7499953387</v>
      </c>
      <c r="P8" s="18">
        <f>I8*'GS&lt;50 Predicted Monthly'!$V$13</f>
        <v>6116002.8978056917</v>
      </c>
      <c r="Q8" s="18">
        <f t="shared" si="2"/>
        <v>11452799.873049378</v>
      </c>
      <c r="R8" s="18">
        <f t="shared" si="3"/>
        <v>136846.28389763646</v>
      </c>
      <c r="S8" s="270">
        <f t="shared" si="4"/>
        <v>1.2093217139811072E-2</v>
      </c>
      <c r="U8" s="1" t="s">
        <v>152</v>
      </c>
      <c r="V8" s="18">
        <v>-5601916.4558281703</v>
      </c>
      <c r="W8" s="18">
        <v>3210182.96048406</v>
      </c>
      <c r="X8" s="588">
        <v>-1.7450458509017399</v>
      </c>
      <c r="Y8" s="588">
        <v>8.3671567034510397E-2</v>
      </c>
    </row>
    <row r="9" spans="1:2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Data'!J9</f>
        <v>11031577.87167096</v>
      </c>
      <c r="E9" s="269">
        <f>'Monthly Data'!BD9</f>
        <v>0.49166666666666714</v>
      </c>
      <c r="F9" s="269">
        <f>'Monthly Data'!BG9</f>
        <v>167.94166666666666</v>
      </c>
      <c r="G9" s="4">
        <f>'Monthly Data'!CG9</f>
        <v>0</v>
      </c>
      <c r="H9" s="4">
        <f>'Monthly Data'!CD9</f>
        <v>31</v>
      </c>
      <c r="I9" s="18">
        <f>'Monthly Data'!K9</f>
        <v>4021</v>
      </c>
      <c r="K9" s="18">
        <f>'GS&lt;50 Predicted Monthly'!$V$8</f>
        <v>-5601916.4558281703</v>
      </c>
      <c r="L9" s="18">
        <f>E9*'GS&lt;50 Predicted Monthly'!$V$9</f>
        <v>2656.2936656299762</v>
      </c>
      <c r="M9" s="18">
        <f>F9*'GS&lt;50 Predicted Monthly'!$V$10</f>
        <v>2119933.2296918682</v>
      </c>
      <c r="N9" s="18">
        <f>G9*'GS&lt;50 Predicted Monthly'!$V$11</f>
        <v>0</v>
      </c>
      <c r="O9" s="18">
        <f>H9*'GS&lt;50 Predicted Monthly'!$V$12</f>
        <v>8344206.7499953387</v>
      </c>
      <c r="P9" s="18">
        <f>I9*'GS&lt;50 Predicted Monthly'!$V$13</f>
        <v>6116002.8978056917</v>
      </c>
      <c r="Q9" s="18">
        <f t="shared" si="2"/>
        <v>10980882.715330359</v>
      </c>
      <c r="R9" s="18">
        <f t="shared" si="3"/>
        <v>-50695.156340600923</v>
      </c>
      <c r="S9" s="270">
        <f t="shared" si="4"/>
        <v>4.5954583224930906E-3</v>
      </c>
      <c r="U9" s="1" t="s">
        <v>55</v>
      </c>
      <c r="V9" s="18">
        <v>5402.63118433215</v>
      </c>
      <c r="W9" s="18">
        <v>286.71947917896102</v>
      </c>
      <c r="X9" s="588">
        <v>18.842916427593</v>
      </c>
      <c r="Y9" s="588">
        <v>8.2338033131209305E-37</v>
      </c>
    </row>
    <row r="10" spans="1:2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Data'!J10</f>
        <v>10798348.741574915</v>
      </c>
      <c r="E10" s="269">
        <f>'Monthly Data'!BD10</f>
        <v>18.695833333333333</v>
      </c>
      <c r="F10" s="269">
        <f>'Monthly Data'!BG10</f>
        <v>134.9267857142857</v>
      </c>
      <c r="G10" s="4">
        <f>'Monthly Data'!CG10</f>
        <v>0</v>
      </c>
      <c r="H10" s="4">
        <f>'Monthly Data'!CD10</f>
        <v>30</v>
      </c>
      <c r="I10" s="18">
        <f>'Monthly Data'!K10</f>
        <v>4033</v>
      </c>
      <c r="K10" s="18">
        <f>'GS&lt;50 Predicted Monthly'!$V$8</f>
        <v>-5601916.4558281703</v>
      </c>
      <c r="L10" s="18">
        <f>E10*'GS&lt;50 Predicted Monthly'!$V$9</f>
        <v>101006.69218374316</v>
      </c>
      <c r="M10" s="18">
        <f>F10*'GS&lt;50 Predicted Monthly'!$V$10</f>
        <v>1703185.2921821761</v>
      </c>
      <c r="N10" s="18">
        <f>G10*'GS&lt;50 Predicted Monthly'!$V$11</f>
        <v>0</v>
      </c>
      <c r="O10" s="18">
        <f>H10*'GS&lt;50 Predicted Monthly'!$V$12</f>
        <v>8075038.79031807</v>
      </c>
      <c r="P10" s="18">
        <f>I10*'GS&lt;50 Predicted Monthly'!$V$13</f>
        <v>6134255.0825293092</v>
      </c>
      <c r="Q10" s="18">
        <f t="shared" si="2"/>
        <v>10411569.401385128</v>
      </c>
      <c r="R10" s="18">
        <f t="shared" si="3"/>
        <v>-386779.34018978663</v>
      </c>
      <c r="S10" s="270">
        <f t="shared" si="4"/>
        <v>3.5818378295251807E-2</v>
      </c>
      <c r="U10" s="1" t="s">
        <v>58</v>
      </c>
      <c r="V10" s="18">
        <v>12623.0331743673</v>
      </c>
      <c r="W10" s="18">
        <v>695.04267088271195</v>
      </c>
      <c r="X10" s="588">
        <v>18.1615225988009</v>
      </c>
      <c r="Y10" s="588">
        <v>1.93789882258798E-35</v>
      </c>
    </row>
    <row r="11" spans="1:2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Data'!J11</f>
        <v>10006451.417295149</v>
      </c>
      <c r="E11" s="269">
        <f>'Monthly Data'!BD11</f>
        <v>215.98749999999998</v>
      </c>
      <c r="F11" s="269">
        <f>'Monthly Data'!BG11</f>
        <v>4.3583333333333325</v>
      </c>
      <c r="G11" s="4">
        <f>'Monthly Data'!CG11</f>
        <v>0</v>
      </c>
      <c r="H11" s="4">
        <f>'Monthly Data'!CD11</f>
        <v>31</v>
      </c>
      <c r="I11" s="18">
        <f>'Monthly Data'!K11</f>
        <v>4052</v>
      </c>
      <c r="K11" s="18">
        <f>'GS&lt;50 Predicted Monthly'!$V$8</f>
        <v>-5601916.4558281703</v>
      </c>
      <c r="L11" s="18">
        <f>E11*'GS&lt;50 Predicted Monthly'!$V$9</f>
        <v>1166900.8029259401</v>
      </c>
      <c r="M11" s="18">
        <f>F11*'GS&lt;50 Predicted Monthly'!$V$10</f>
        <v>55015.38625161747</v>
      </c>
      <c r="N11" s="18">
        <f>G11*'GS&lt;50 Predicted Monthly'!$V$11</f>
        <v>0</v>
      </c>
      <c r="O11" s="18">
        <f>H11*'GS&lt;50 Predicted Monthly'!$V$12</f>
        <v>8344206.7499953387</v>
      </c>
      <c r="P11" s="18">
        <f>I11*'GS&lt;50 Predicted Monthly'!$V$13</f>
        <v>6163154.3750083717</v>
      </c>
      <c r="Q11" s="18">
        <f t="shared" si="2"/>
        <v>10127360.858353097</v>
      </c>
      <c r="R11" s="18">
        <f t="shared" si="3"/>
        <v>120909.4410579484</v>
      </c>
      <c r="S11" s="270">
        <f t="shared" si="4"/>
        <v>1.2083148762304341E-2</v>
      </c>
      <c r="U11" s="1" t="s">
        <v>84</v>
      </c>
      <c r="V11" s="18">
        <v>-1563779.52416671</v>
      </c>
      <c r="W11" s="18">
        <v>323752.65117193002</v>
      </c>
      <c r="X11" s="588">
        <v>-4.83016747046267</v>
      </c>
      <c r="Y11" s="588">
        <v>4.2816059421658003E-6</v>
      </c>
    </row>
    <row r="12" spans="1:2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Data'!J12</f>
        <v>10647674.270384375</v>
      </c>
      <c r="E12" s="269">
        <f>'Monthly Data'!BD12</f>
        <v>311.77083333333331</v>
      </c>
      <c r="F12" s="269">
        <f>'Monthly Data'!BG12</f>
        <v>0.27083333333333393</v>
      </c>
      <c r="G12" s="4">
        <f>'Monthly Data'!CG12</f>
        <v>0</v>
      </c>
      <c r="H12" s="4">
        <f>'Monthly Data'!CD12</f>
        <v>30</v>
      </c>
      <c r="I12" s="18">
        <f>'Monthly Data'!K12</f>
        <v>4065</v>
      </c>
      <c r="K12" s="18">
        <f>'GS&lt;50 Predicted Monthly'!$V$8</f>
        <v>-5601916.4558281703</v>
      </c>
      <c r="L12" s="18">
        <f>E12*'GS&lt;50 Predicted Monthly'!$V$9</f>
        <v>1684382.826531888</v>
      </c>
      <c r="M12" s="18">
        <f>F12*'GS&lt;50 Predicted Monthly'!$V$10</f>
        <v>3418.738151391151</v>
      </c>
      <c r="N12" s="18">
        <f>G12*'GS&lt;50 Predicted Monthly'!$V$11</f>
        <v>0</v>
      </c>
      <c r="O12" s="18">
        <f>H12*'GS&lt;50 Predicted Monthly'!$V$12</f>
        <v>8075038.79031807</v>
      </c>
      <c r="P12" s="18">
        <f>I12*'GS&lt;50 Predicted Monthly'!$V$13</f>
        <v>6182927.5751256244</v>
      </c>
      <c r="Q12" s="18">
        <f t="shared" si="2"/>
        <v>10343851.474298803</v>
      </c>
      <c r="R12" s="18">
        <f t="shared" si="3"/>
        <v>-303822.79608557187</v>
      </c>
      <c r="S12" s="270">
        <f t="shared" si="4"/>
        <v>2.8534193324323401E-2</v>
      </c>
      <c r="U12" s="1" t="s">
        <v>201</v>
      </c>
      <c r="V12" s="18">
        <v>269167.95967726898</v>
      </c>
      <c r="W12" s="18">
        <v>30449.718714328799</v>
      </c>
      <c r="X12" s="588">
        <v>8.8397519268579092</v>
      </c>
      <c r="Y12" s="588">
        <v>1.3797763139819E-14</v>
      </c>
    </row>
    <row r="13" spans="1:2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Data'!J13</f>
        <v>11180504.450672537</v>
      </c>
      <c r="E13" s="269">
        <f>'Monthly Data'!BD13</f>
        <v>375.6259057971015</v>
      </c>
      <c r="F13" s="269">
        <f>'Monthly Data'!BG13</f>
        <v>0</v>
      </c>
      <c r="G13" s="4">
        <f>'Monthly Data'!CG13</f>
        <v>0</v>
      </c>
      <c r="H13" s="4">
        <f>'Monthly Data'!CD13</f>
        <v>31</v>
      </c>
      <c r="I13" s="18">
        <f>'Monthly Data'!K13</f>
        <v>4074</v>
      </c>
      <c r="K13" s="18">
        <f>'GS&lt;50 Predicted Monthly'!$V$8</f>
        <v>-5601916.4558281703</v>
      </c>
      <c r="L13" s="18">
        <f>E13*'GS&lt;50 Predicted Monthly'!$V$9</f>
        <v>2029368.232302431</v>
      </c>
      <c r="M13" s="18">
        <f>F13*'GS&lt;50 Predicted Monthly'!$V$10</f>
        <v>0</v>
      </c>
      <c r="N13" s="18">
        <f>G13*'GS&lt;50 Predicted Monthly'!$V$11</f>
        <v>0</v>
      </c>
      <c r="O13" s="18">
        <f>H13*'GS&lt;50 Predicted Monthly'!$V$12</f>
        <v>8344206.7499953387</v>
      </c>
      <c r="P13" s="18">
        <f>I13*'GS&lt;50 Predicted Monthly'!$V$13</f>
        <v>6196616.713668338</v>
      </c>
      <c r="Q13" s="18">
        <f t="shared" si="2"/>
        <v>10968275.240137938</v>
      </c>
      <c r="R13" s="18">
        <f t="shared" si="3"/>
        <v>-212229.21053459868</v>
      </c>
      <c r="S13" s="270">
        <f t="shared" si="4"/>
        <v>1.8982078265872209E-2</v>
      </c>
      <c r="U13" s="1" t="s">
        <v>10</v>
      </c>
      <c r="V13" s="18">
        <v>1521.0153936348399</v>
      </c>
      <c r="W13" s="18">
        <v>714.71519102440004</v>
      </c>
      <c r="X13" s="588">
        <v>2.12814196862778</v>
      </c>
      <c r="Y13" s="588">
        <v>3.5479156840751903E-2</v>
      </c>
    </row>
    <row r="14" spans="1:2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Data'!J14</f>
        <v>12581251.383190688</v>
      </c>
      <c r="E14" s="269">
        <f>'Monthly Data'!BD14</f>
        <v>613.87916666666683</v>
      </c>
      <c r="F14" s="269">
        <f>'Monthly Data'!BG14</f>
        <v>0</v>
      </c>
      <c r="G14" s="4">
        <f>'Monthly Data'!CG14</f>
        <v>0</v>
      </c>
      <c r="H14" s="4">
        <f>'Monthly Data'!CD14</f>
        <v>31</v>
      </c>
      <c r="I14" s="18">
        <f>'Monthly Data'!K14</f>
        <v>4082</v>
      </c>
      <c r="K14" s="18">
        <f>'GS&lt;50 Predicted Monthly'!$V$8</f>
        <v>-5601916.4558281703</v>
      </c>
      <c r="L14" s="18">
        <f>E14*'GS&lt;50 Predicted Monthly'!$V$9</f>
        <v>3316562.7292451677</v>
      </c>
      <c r="M14" s="18">
        <f>F14*'GS&lt;50 Predicted Monthly'!$V$10</f>
        <v>0</v>
      </c>
      <c r="N14" s="18">
        <f>G14*'GS&lt;50 Predicted Monthly'!$V$11</f>
        <v>0</v>
      </c>
      <c r="O14" s="18">
        <f>H14*'GS&lt;50 Predicted Monthly'!$V$12</f>
        <v>8344206.7499953387</v>
      </c>
      <c r="P14" s="18">
        <f>I14*'GS&lt;50 Predicted Monthly'!$V$13</f>
        <v>6208784.8368174164</v>
      </c>
      <c r="Q14" s="18">
        <f t="shared" si="2"/>
        <v>12267637.860229753</v>
      </c>
      <c r="R14" s="18">
        <f t="shared" si="3"/>
        <v>-313613.52296093479</v>
      </c>
      <c r="S14" s="270">
        <f t="shared" si="4"/>
        <v>2.4927053232553752E-2</v>
      </c>
    </row>
    <row r="15" spans="1:2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Data'!J15</f>
        <v>11589929.271759877</v>
      </c>
      <c r="E15" s="269">
        <f>'Monthly Data'!BD15</f>
        <v>545.70833333333337</v>
      </c>
      <c r="F15" s="269">
        <f>'Monthly Data'!BG15</f>
        <v>0</v>
      </c>
      <c r="G15" s="4">
        <f>'Monthly Data'!CG15</f>
        <v>0</v>
      </c>
      <c r="H15" s="4">
        <f>'Monthly Data'!CD15</f>
        <v>29</v>
      </c>
      <c r="I15" s="18">
        <f>'Monthly Data'!K15</f>
        <v>4129</v>
      </c>
      <c r="K15" s="18">
        <f>'GS&lt;50 Predicted Monthly'!$V$8</f>
        <v>-5601916.4558281703</v>
      </c>
      <c r="L15" s="18">
        <f>E15*'GS&lt;50 Predicted Monthly'!$V$9</f>
        <v>2948260.8592165904</v>
      </c>
      <c r="M15" s="18">
        <f>F15*'GS&lt;50 Predicted Monthly'!$V$10</f>
        <v>0</v>
      </c>
      <c r="N15" s="18">
        <f>G15*'GS&lt;50 Predicted Monthly'!$V$11</f>
        <v>0</v>
      </c>
      <c r="O15" s="18">
        <f>H15*'GS&lt;50 Predicted Monthly'!$V$12</f>
        <v>7805870.8306408003</v>
      </c>
      <c r="P15" s="18">
        <f>I15*'GS&lt;50 Predicted Monthly'!$V$13</f>
        <v>6280272.5603182539</v>
      </c>
      <c r="Q15" s="18">
        <f t="shared" si="2"/>
        <v>11432487.794347474</v>
      </c>
      <c r="R15" s="18">
        <f t="shared" si="3"/>
        <v>-157441.47741240263</v>
      </c>
      <c r="S15" s="270">
        <f t="shared" si="4"/>
        <v>1.3584334616780269E-2</v>
      </c>
      <c r="U15" s="1" t="s">
        <v>153</v>
      </c>
      <c r="V15" s="18"/>
      <c r="W15" s="18"/>
      <c r="X15" s="273"/>
    </row>
    <row r="16" spans="1:2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Data'!J16</f>
        <v>11679242.54237907</v>
      </c>
      <c r="E16" s="269">
        <f>'Monthly Data'!BD16</f>
        <v>453.07934782608692</v>
      </c>
      <c r="F16" s="269">
        <f>'Monthly Data'!BG16</f>
        <v>0</v>
      </c>
      <c r="G16" s="4">
        <f>'Monthly Data'!CG16</f>
        <v>0</v>
      </c>
      <c r="H16" s="4">
        <f>'Monthly Data'!CD16</f>
        <v>31</v>
      </c>
      <c r="I16" s="18">
        <f>'Monthly Data'!K16</f>
        <v>4147</v>
      </c>
      <c r="K16" s="18">
        <f>'GS&lt;50 Predicted Monthly'!$V$8</f>
        <v>-5601916.4558281703</v>
      </c>
      <c r="L16" s="18">
        <f>E16*'GS&lt;50 Predicted Monthly'!$V$9</f>
        <v>2447820.6135420902</v>
      </c>
      <c r="M16" s="18">
        <f>F16*'GS&lt;50 Predicted Monthly'!$V$10</f>
        <v>0</v>
      </c>
      <c r="N16" s="18">
        <f>G16*'GS&lt;50 Predicted Monthly'!$V$11</f>
        <v>0</v>
      </c>
      <c r="O16" s="18">
        <f>H16*'GS&lt;50 Predicted Monthly'!$V$12</f>
        <v>8344206.7499953387</v>
      </c>
      <c r="P16" s="18">
        <f>I16*'GS&lt;50 Predicted Monthly'!$V$13</f>
        <v>6307650.8374036811</v>
      </c>
      <c r="Q16" s="18">
        <f t="shared" si="2"/>
        <v>11497761.745112941</v>
      </c>
      <c r="R16" s="18">
        <f t="shared" si="3"/>
        <v>-181480.7972661294</v>
      </c>
      <c r="S16" s="270">
        <f t="shared" si="4"/>
        <v>1.5538747192517986E-2</v>
      </c>
      <c r="U16" s="1" t="s">
        <v>154</v>
      </c>
      <c r="V16" s="1">
        <v>16021585366175.301</v>
      </c>
      <c r="W16" s="1" t="s">
        <v>155</v>
      </c>
      <c r="X16" s="18">
        <v>374886.94630556199</v>
      </c>
    </row>
    <row r="17" spans="1:24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Data'!J17</f>
        <v>10411421.117584607</v>
      </c>
      <c r="E17" s="269">
        <f>'Monthly Data'!BD17</f>
        <v>345.98333333333335</v>
      </c>
      <c r="F17" s="269">
        <f>'Monthly Data'!BG17</f>
        <v>0.83333333333333393</v>
      </c>
      <c r="G17" s="4">
        <f>'Monthly Data'!CG17</f>
        <v>0</v>
      </c>
      <c r="H17" s="4">
        <f>'Monthly Data'!CD17</f>
        <v>30</v>
      </c>
      <c r="I17" s="18">
        <f>'Monthly Data'!K17</f>
        <v>4159</v>
      </c>
      <c r="K17" s="18">
        <f>'GS&lt;50 Predicted Monthly'!$V$8</f>
        <v>-5601916.4558281703</v>
      </c>
      <c r="L17" s="18">
        <f>E17*'GS&lt;50 Predicted Monthly'!$V$9</f>
        <v>1869220.3459258517</v>
      </c>
      <c r="M17" s="18">
        <f>F17*'GS&lt;50 Predicted Monthly'!$V$10</f>
        <v>10519.194311972757</v>
      </c>
      <c r="N17" s="18">
        <f>G17*'GS&lt;50 Predicted Monthly'!$V$11</f>
        <v>0</v>
      </c>
      <c r="O17" s="18">
        <f>H17*'GS&lt;50 Predicted Monthly'!$V$12</f>
        <v>8075038.79031807</v>
      </c>
      <c r="P17" s="18">
        <f>I17*'GS&lt;50 Predicted Monthly'!$V$13</f>
        <v>6325903.0221272996</v>
      </c>
      <c r="Q17" s="18">
        <f t="shared" si="2"/>
        <v>10678764.896855023</v>
      </c>
      <c r="R17" s="18">
        <f t="shared" si="3"/>
        <v>267343.77927041613</v>
      </c>
      <c r="S17" s="270">
        <f t="shared" si="4"/>
        <v>2.5677933516576306E-2</v>
      </c>
      <c r="U17" s="1" t="s">
        <v>156</v>
      </c>
      <c r="V17" s="275">
        <v>0.88965816679021503</v>
      </c>
      <c r="W17" s="1" t="s">
        <v>157</v>
      </c>
      <c r="X17" s="275">
        <v>0.88481861270206696</v>
      </c>
    </row>
    <row r="18" spans="1:24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Data'!J18</f>
        <v>10228476.858936716</v>
      </c>
      <c r="E18" s="269">
        <f>'Monthly Data'!BD18</f>
        <v>111.69444444444443</v>
      </c>
      <c r="F18" s="269">
        <f>'Monthly Data'!BG18</f>
        <v>66.604166666666671</v>
      </c>
      <c r="G18" s="4">
        <f>'Monthly Data'!CG18</f>
        <v>0</v>
      </c>
      <c r="H18" s="4">
        <f>'Monthly Data'!CD18</f>
        <v>31</v>
      </c>
      <c r="I18" s="18">
        <f>'Monthly Data'!K18</f>
        <v>4156</v>
      </c>
      <c r="K18" s="18">
        <f>'GS&lt;50 Predicted Monthly'!$V$8</f>
        <v>-5601916.4558281703</v>
      </c>
      <c r="L18" s="18">
        <f>E18*'GS&lt;50 Predicted Monthly'!$V$9</f>
        <v>603443.88867221039</v>
      </c>
      <c r="M18" s="18">
        <f>F18*'GS&lt;50 Predicted Monthly'!$V$10</f>
        <v>840746.60538442212</v>
      </c>
      <c r="N18" s="18">
        <f>G18*'GS&lt;50 Predicted Monthly'!$V$11</f>
        <v>0</v>
      </c>
      <c r="O18" s="18">
        <f>H18*'GS&lt;50 Predicted Monthly'!$V$12</f>
        <v>8344206.7499953387</v>
      </c>
      <c r="P18" s="18">
        <f>I18*'GS&lt;50 Predicted Monthly'!$V$13</f>
        <v>6321339.9759463947</v>
      </c>
      <c r="Q18" s="18">
        <f t="shared" si="2"/>
        <v>10507820.764170196</v>
      </c>
      <c r="R18" s="18">
        <f t="shared" si="3"/>
        <v>279343.90523348004</v>
      </c>
      <c r="S18" s="270">
        <f t="shared" si="4"/>
        <v>2.731041083496363E-2</v>
      </c>
      <c r="U18" s="1" t="s">
        <v>202</v>
      </c>
      <c r="V18" s="272">
        <v>180.94955169155801</v>
      </c>
      <c r="W18" s="1" t="s">
        <v>159</v>
      </c>
      <c r="X18" s="272">
        <v>1.7067894543506001E-52</v>
      </c>
    </row>
    <row r="19" spans="1:24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Data'!J19</f>
        <v>10465207.773663962</v>
      </c>
      <c r="E19" s="269">
        <f>'Monthly Data'!BD19</f>
        <v>14.133333333333335</v>
      </c>
      <c r="F19" s="269">
        <f>'Monthly Data'!BG19</f>
        <v>147.17916666666667</v>
      </c>
      <c r="G19" s="4">
        <f>'Monthly Data'!CG19</f>
        <v>0</v>
      </c>
      <c r="H19" s="4">
        <f>'Monthly Data'!CD19</f>
        <v>30</v>
      </c>
      <c r="I19" s="18">
        <f>'Monthly Data'!K19</f>
        <v>4153</v>
      </c>
      <c r="K19" s="18">
        <f>'GS&lt;50 Predicted Monthly'!$V$8</f>
        <v>-5601916.4558281703</v>
      </c>
      <c r="L19" s="18">
        <f>E19*'GS&lt;50 Predicted Monthly'!$V$9</f>
        <v>76357.187405227727</v>
      </c>
      <c r="M19" s="18">
        <f>F19*'GS&lt;50 Predicted Monthly'!$V$10</f>
        <v>1857847.5034090672</v>
      </c>
      <c r="N19" s="18">
        <f>G19*'GS&lt;50 Predicted Monthly'!$V$11</f>
        <v>0</v>
      </c>
      <c r="O19" s="18">
        <f>H19*'GS&lt;50 Predicted Monthly'!$V$12</f>
        <v>8075038.79031807</v>
      </c>
      <c r="P19" s="18">
        <f>I19*'GS&lt;50 Predicted Monthly'!$V$13</f>
        <v>6316776.9297654899</v>
      </c>
      <c r="Q19" s="18">
        <f t="shared" si="2"/>
        <v>10724103.955069683</v>
      </c>
      <c r="R19" s="18">
        <f t="shared" si="3"/>
        <v>258896.18140572123</v>
      </c>
      <c r="S19" s="270">
        <f t="shared" si="4"/>
        <v>2.4738752159058127E-2</v>
      </c>
      <c r="U19" s="1" t="s">
        <v>160</v>
      </c>
      <c r="V19" s="2">
        <v>-0.13168229576135801</v>
      </c>
      <c r="W19" s="1" t="s">
        <v>161</v>
      </c>
      <c r="X19" s="272">
        <v>2.18227782454397</v>
      </c>
    </row>
    <row r="20" spans="1:24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Data'!J20</f>
        <v>11859424.861319741</v>
      </c>
      <c r="E20" s="269">
        <f>'Monthly Data'!BD20</f>
        <v>0</v>
      </c>
      <c r="F20" s="269">
        <f>'Monthly Data'!BG20</f>
        <v>251.2291666666666</v>
      </c>
      <c r="G20" s="4">
        <f>'Monthly Data'!CG20</f>
        <v>0</v>
      </c>
      <c r="H20" s="4">
        <f>'Monthly Data'!CD20</f>
        <v>31</v>
      </c>
      <c r="I20" s="18">
        <f>'Monthly Data'!K20</f>
        <v>4177</v>
      </c>
      <c r="K20" s="18">
        <f>'GS&lt;50 Predicted Monthly'!$V$8</f>
        <v>-5601916.4558281703</v>
      </c>
      <c r="L20" s="18">
        <f>E20*'GS&lt;50 Predicted Monthly'!$V$9</f>
        <v>0</v>
      </c>
      <c r="M20" s="18">
        <f>F20*'GS&lt;50 Predicted Monthly'!$V$10</f>
        <v>3171274.1052019838</v>
      </c>
      <c r="N20" s="18">
        <f>G20*'GS&lt;50 Predicted Monthly'!$V$11</f>
        <v>0</v>
      </c>
      <c r="O20" s="18">
        <f>H20*'GS&lt;50 Predicted Monthly'!$V$12</f>
        <v>8344206.7499953387</v>
      </c>
      <c r="P20" s="18">
        <f>I20*'GS&lt;50 Predicted Monthly'!$V$13</f>
        <v>6353281.2992127268</v>
      </c>
      <c r="Q20" s="18">
        <f t="shared" si="2"/>
        <v>12266845.698581878</v>
      </c>
      <c r="R20" s="18">
        <f t="shared" si="3"/>
        <v>407420.83726213686</v>
      </c>
      <c r="S20" s="270">
        <f t="shared" si="4"/>
        <v>3.4354181760615179E-2</v>
      </c>
      <c r="V20" s="272"/>
      <c r="X20" s="272"/>
    </row>
    <row r="21" spans="1:24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Data'!J21</f>
        <v>12306932.672611248</v>
      </c>
      <c r="E21" s="269">
        <f>'Monthly Data'!BD21</f>
        <v>0</v>
      </c>
      <c r="F21" s="269">
        <f>'Monthly Data'!BG21</f>
        <v>266.02500000000003</v>
      </c>
      <c r="G21" s="4">
        <f>'Monthly Data'!CG21</f>
        <v>0</v>
      </c>
      <c r="H21" s="4">
        <f>'Monthly Data'!CD21</f>
        <v>31</v>
      </c>
      <c r="I21" s="18">
        <f>'Monthly Data'!K21</f>
        <v>4165</v>
      </c>
      <c r="K21" s="18">
        <f>'GS&lt;50 Predicted Monthly'!$V$8</f>
        <v>-5601916.4558281703</v>
      </c>
      <c r="L21" s="18">
        <f>E21*'GS&lt;50 Predicted Monthly'!$V$9</f>
        <v>0</v>
      </c>
      <c r="M21" s="18">
        <f>F21*'GS&lt;50 Predicted Monthly'!$V$10</f>
        <v>3358042.4002110614</v>
      </c>
      <c r="N21" s="18">
        <f>G21*'GS&lt;50 Predicted Monthly'!$V$11</f>
        <v>0</v>
      </c>
      <c r="O21" s="18">
        <f>H21*'GS&lt;50 Predicted Monthly'!$V$12</f>
        <v>8344206.7499953387</v>
      </c>
      <c r="P21" s="18">
        <f>I21*'GS&lt;50 Predicted Monthly'!$V$13</f>
        <v>6335029.1144891083</v>
      </c>
      <c r="Q21" s="18">
        <f t="shared" si="2"/>
        <v>12435361.808867339</v>
      </c>
      <c r="R21" s="18">
        <f t="shared" si="3"/>
        <v>128429.1362560913</v>
      </c>
      <c r="S21" s="270">
        <f t="shared" si="4"/>
        <v>1.0435511404227223E-2</v>
      </c>
      <c r="U21" s="1" t="s">
        <v>162</v>
      </c>
    </row>
    <row r="22" spans="1:24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Data'!J22</f>
        <v>10662137.575885922</v>
      </c>
      <c r="E22" s="269">
        <f>'Monthly Data'!BD22</f>
        <v>15.7875</v>
      </c>
      <c r="F22" s="269">
        <f>'Monthly Data'!BG22</f>
        <v>120.65416666666664</v>
      </c>
      <c r="G22" s="4">
        <f>'Monthly Data'!CG22</f>
        <v>0</v>
      </c>
      <c r="H22" s="4">
        <f>'Monthly Data'!CD22</f>
        <v>30</v>
      </c>
      <c r="I22" s="18">
        <f>'Monthly Data'!K22</f>
        <v>4177</v>
      </c>
      <c r="K22" s="18">
        <f>'GS&lt;50 Predicted Monthly'!$V$8</f>
        <v>-5601916.4558281703</v>
      </c>
      <c r="L22" s="18">
        <f>E22*'GS&lt;50 Predicted Monthly'!$V$9</f>
        <v>85294.039822643812</v>
      </c>
      <c r="M22" s="18">
        <f>F22*'GS&lt;50 Predicted Monthly'!$V$10</f>
        <v>1523021.5484589741</v>
      </c>
      <c r="N22" s="18">
        <f>G22*'GS&lt;50 Predicted Monthly'!$V$11</f>
        <v>0</v>
      </c>
      <c r="O22" s="18">
        <f>H22*'GS&lt;50 Predicted Monthly'!$V$12</f>
        <v>8075038.79031807</v>
      </c>
      <c r="P22" s="18">
        <f>I22*'GS&lt;50 Predicted Monthly'!$V$13</f>
        <v>6353281.2992127268</v>
      </c>
      <c r="Q22" s="18">
        <f t="shared" si="2"/>
        <v>10434719.221984245</v>
      </c>
      <c r="R22" s="18">
        <f t="shared" si="3"/>
        <v>-227418.35390167683</v>
      </c>
      <c r="S22" s="270">
        <f t="shared" si="4"/>
        <v>2.132952724376946E-2</v>
      </c>
      <c r="U22" s="1" t="s">
        <v>163</v>
      </c>
      <c r="V22" s="18">
        <v>11048648.6678892</v>
      </c>
      <c r="W22" s="1" t="s">
        <v>164</v>
      </c>
      <c r="X22" s="18">
        <v>1094676.9832999001</v>
      </c>
    </row>
    <row r="23" spans="1:24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Data'!J23</f>
        <v>10050178.546894442</v>
      </c>
      <c r="E23" s="269">
        <f>'Monthly Data'!BD23</f>
        <v>166.45</v>
      </c>
      <c r="F23" s="269">
        <f>'Monthly Data'!BG23</f>
        <v>24.770833333333336</v>
      </c>
      <c r="G23" s="4">
        <f>'Monthly Data'!CG23</f>
        <v>0</v>
      </c>
      <c r="H23" s="4">
        <f>'Monthly Data'!CD23</f>
        <v>31</v>
      </c>
      <c r="I23" s="18">
        <f>'Monthly Data'!K23</f>
        <v>4154</v>
      </c>
      <c r="K23" s="18">
        <f>'GS&lt;50 Predicted Monthly'!$V$8</f>
        <v>-5601916.4558281703</v>
      </c>
      <c r="L23" s="18">
        <f>E23*'GS&lt;50 Predicted Monthly'!$V$9</f>
        <v>899267.96063208627</v>
      </c>
      <c r="M23" s="18">
        <f>F23*'GS&lt;50 Predicted Monthly'!$V$10</f>
        <v>312683.05092339002</v>
      </c>
      <c r="N23" s="18">
        <f>G23*'GS&lt;50 Predicted Monthly'!$V$11</f>
        <v>0</v>
      </c>
      <c r="O23" s="18">
        <f>H23*'GS&lt;50 Predicted Monthly'!$V$12</f>
        <v>8344206.7499953387</v>
      </c>
      <c r="P23" s="18">
        <f>I23*'GS&lt;50 Predicted Monthly'!$V$13</f>
        <v>6318297.9451591251</v>
      </c>
      <c r="Q23" s="18">
        <f t="shared" si="2"/>
        <v>10272539.250881771</v>
      </c>
      <c r="R23" s="18">
        <f t="shared" si="3"/>
        <v>222360.70398732834</v>
      </c>
      <c r="S23" s="270">
        <f t="shared" si="4"/>
        <v>2.2125050112272778E-2</v>
      </c>
      <c r="V23" s="18"/>
      <c r="X23" s="18"/>
    </row>
    <row r="24" spans="1:24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Data'!J24</f>
        <v>10467644.593618168</v>
      </c>
      <c r="E24" s="269">
        <f>'Monthly Data'!BD24</f>
        <v>317.335119047619</v>
      </c>
      <c r="F24" s="269">
        <f>'Monthly Data'!BG24</f>
        <v>0</v>
      </c>
      <c r="G24" s="4">
        <f>'Monthly Data'!CG24</f>
        <v>0</v>
      </c>
      <c r="H24" s="4">
        <f>'Monthly Data'!CD24</f>
        <v>30</v>
      </c>
      <c r="I24" s="18">
        <f>'Monthly Data'!K24</f>
        <v>4148</v>
      </c>
      <c r="K24" s="18">
        <f>'GS&lt;50 Predicted Monthly'!$V$8</f>
        <v>-5601916.4558281703</v>
      </c>
      <c r="L24" s="18">
        <f>E24*'GS&lt;50 Predicted Monthly'!$V$9</f>
        <v>1714444.6100504217</v>
      </c>
      <c r="M24" s="18">
        <f>F24*'GS&lt;50 Predicted Monthly'!$V$10</f>
        <v>0</v>
      </c>
      <c r="N24" s="18">
        <f>G24*'GS&lt;50 Predicted Monthly'!$V$11</f>
        <v>0</v>
      </c>
      <c r="O24" s="18">
        <f>H24*'GS&lt;50 Predicted Monthly'!$V$12</f>
        <v>8075038.79031807</v>
      </c>
      <c r="P24" s="18">
        <f>I24*'GS&lt;50 Predicted Monthly'!$V$13</f>
        <v>6309171.8527973164</v>
      </c>
      <c r="Q24" s="18">
        <f t="shared" si="2"/>
        <v>10496738.797337638</v>
      </c>
      <c r="R24" s="18">
        <f t="shared" si="3"/>
        <v>29094.20371947065</v>
      </c>
      <c r="S24" s="270">
        <f t="shared" si="4"/>
        <v>2.7794413021252728E-3</v>
      </c>
    </row>
    <row r="25" spans="1:24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Data'!J25</f>
        <v>11890572.967155561</v>
      </c>
      <c r="E25" s="269">
        <f>'Monthly Data'!BD25</f>
        <v>554.67083333333346</v>
      </c>
      <c r="F25" s="269">
        <f>'Monthly Data'!BG25</f>
        <v>0</v>
      </c>
      <c r="G25" s="4">
        <f>'Monthly Data'!CG25</f>
        <v>0</v>
      </c>
      <c r="H25" s="4">
        <f>'Monthly Data'!CD25</f>
        <v>31</v>
      </c>
      <c r="I25" s="18">
        <f>'Monthly Data'!K25</f>
        <v>4150</v>
      </c>
      <c r="K25" s="18">
        <f>'GS&lt;50 Predicted Monthly'!$V$8</f>
        <v>-5601916.4558281703</v>
      </c>
      <c r="L25" s="18">
        <f>E25*'GS&lt;50 Predicted Monthly'!$V$9</f>
        <v>2996681.9412061679</v>
      </c>
      <c r="M25" s="18">
        <f>F25*'GS&lt;50 Predicted Monthly'!$V$10</f>
        <v>0</v>
      </c>
      <c r="N25" s="18">
        <f>G25*'GS&lt;50 Predicted Monthly'!$V$11</f>
        <v>0</v>
      </c>
      <c r="O25" s="18">
        <f>H25*'GS&lt;50 Predicted Monthly'!$V$12</f>
        <v>8344206.7499953387</v>
      </c>
      <c r="P25" s="18">
        <f>I25*'GS&lt;50 Predicted Monthly'!$V$13</f>
        <v>6312213.883584586</v>
      </c>
      <c r="Q25" s="18">
        <f t="shared" si="2"/>
        <v>12051186.118957922</v>
      </c>
      <c r="R25" s="18">
        <f t="shared" si="3"/>
        <v>160613.15180236101</v>
      </c>
      <c r="S25" s="270">
        <f t="shared" si="4"/>
        <v>1.3507604069712258E-2</v>
      </c>
    </row>
    <row r="26" spans="1:24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Data'!J26</f>
        <v>12355535.106722897</v>
      </c>
      <c r="E26" s="269">
        <f>'Monthly Data'!BD26</f>
        <v>558.21666666666658</v>
      </c>
      <c r="F26" s="269">
        <f>'Monthly Data'!BG26</f>
        <v>0</v>
      </c>
      <c r="G26" s="4">
        <f>'Monthly Data'!CG26</f>
        <v>0</v>
      </c>
      <c r="H26" s="4">
        <f>'Monthly Data'!CD26</f>
        <v>31</v>
      </c>
      <c r="I26" s="18">
        <f>'Monthly Data'!K26</f>
        <v>4150</v>
      </c>
      <c r="K26" s="18">
        <f>'GS&lt;50 Predicted Monthly'!$V$8</f>
        <v>-5601916.4558281703</v>
      </c>
      <c r="L26" s="18">
        <f>E26*'GS&lt;50 Predicted Monthly'!$V$9</f>
        <v>3015838.770947278</v>
      </c>
      <c r="M26" s="18">
        <f>F26*'GS&lt;50 Predicted Monthly'!$V$10</f>
        <v>0</v>
      </c>
      <c r="N26" s="18">
        <f>G26*'GS&lt;50 Predicted Monthly'!$V$11</f>
        <v>0</v>
      </c>
      <c r="O26" s="18">
        <f>H26*'GS&lt;50 Predicted Monthly'!$V$12</f>
        <v>8344206.7499953387</v>
      </c>
      <c r="P26" s="18">
        <f>I26*'GS&lt;50 Predicted Monthly'!$V$13</f>
        <v>6312213.883584586</v>
      </c>
      <c r="Q26" s="18">
        <f t="shared" si="2"/>
        <v>12070342.948699031</v>
      </c>
      <c r="R26" s="18">
        <f t="shared" si="3"/>
        <v>-285192.15802386589</v>
      </c>
      <c r="S26" s="270">
        <f t="shared" si="4"/>
        <v>2.3082137322299141E-2</v>
      </c>
    </row>
    <row r="27" spans="1:24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Data'!J27</f>
        <v>11059039.500129096</v>
      </c>
      <c r="E27" s="269">
        <f>'Monthly Data'!BD27</f>
        <v>474.08333333333337</v>
      </c>
      <c r="F27" s="269">
        <f>'Monthly Data'!BG27</f>
        <v>0</v>
      </c>
      <c r="G27" s="4">
        <f>'Monthly Data'!CG27</f>
        <v>0</v>
      </c>
      <c r="H27" s="4">
        <f>'Monthly Data'!CD27</f>
        <v>28</v>
      </c>
      <c r="I27" s="18">
        <f>'Monthly Data'!K27</f>
        <v>4144</v>
      </c>
      <c r="K27" s="18">
        <f>'GS&lt;50 Predicted Monthly'!$V$8</f>
        <v>-5601916.4558281703</v>
      </c>
      <c r="L27" s="18">
        <f>E27*'GS&lt;50 Predicted Monthly'!$V$9</f>
        <v>2561297.4006388001</v>
      </c>
      <c r="M27" s="18">
        <f>F27*'GS&lt;50 Predicted Monthly'!$V$10</f>
        <v>0</v>
      </c>
      <c r="N27" s="18">
        <f>G27*'GS&lt;50 Predicted Monthly'!$V$11</f>
        <v>0</v>
      </c>
      <c r="O27" s="18">
        <f>H27*'GS&lt;50 Predicted Monthly'!$V$12</f>
        <v>7536702.8709635315</v>
      </c>
      <c r="P27" s="18">
        <f>I27*'GS&lt;50 Predicted Monthly'!$V$13</f>
        <v>6303087.7912227763</v>
      </c>
      <c r="Q27" s="18">
        <f t="shared" si="2"/>
        <v>10799171.606996939</v>
      </c>
      <c r="R27" s="18">
        <f t="shared" si="3"/>
        <v>-259867.89313215762</v>
      </c>
      <c r="S27" s="270">
        <f t="shared" si="4"/>
        <v>2.3498233560801017E-2</v>
      </c>
    </row>
    <row r="28" spans="1:24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Data'!J28</f>
        <v>12183406.064573791</v>
      </c>
      <c r="E28" s="269">
        <f>'Monthly Data'!BD28</f>
        <v>537.67916666666656</v>
      </c>
      <c r="F28" s="269">
        <f>'Monthly Data'!BG28</f>
        <v>0</v>
      </c>
      <c r="G28" s="4">
        <f>'Monthly Data'!CG28</f>
        <v>0</v>
      </c>
      <c r="H28" s="4">
        <f>'Monthly Data'!CD28</f>
        <v>31</v>
      </c>
      <c r="I28" s="18">
        <f>'Monthly Data'!K28</f>
        <v>4150</v>
      </c>
      <c r="K28" s="18">
        <f>'GS&lt;50 Predicted Monthly'!$V$8</f>
        <v>-5601916.4558281703</v>
      </c>
      <c r="L28" s="18">
        <f>E28*'GS&lt;50 Predicted Monthly'!$V$9</f>
        <v>2904882.2329990561</v>
      </c>
      <c r="M28" s="18">
        <f>F28*'GS&lt;50 Predicted Monthly'!$V$10</f>
        <v>0</v>
      </c>
      <c r="N28" s="18">
        <f>G28*'GS&lt;50 Predicted Monthly'!$V$11</f>
        <v>0</v>
      </c>
      <c r="O28" s="18">
        <f>H28*'GS&lt;50 Predicted Monthly'!$V$12</f>
        <v>8344206.7499953387</v>
      </c>
      <c r="P28" s="18">
        <f>I28*'GS&lt;50 Predicted Monthly'!$V$13</f>
        <v>6312213.883584586</v>
      </c>
      <c r="Q28" s="18">
        <f t="shared" si="2"/>
        <v>11959386.41075081</v>
      </c>
      <c r="R28" s="18">
        <f t="shared" si="3"/>
        <v>-224019.65382298082</v>
      </c>
      <c r="S28" s="270">
        <f t="shared" si="4"/>
        <v>1.8387276319581296E-2</v>
      </c>
    </row>
    <row r="29" spans="1:24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Data'!J29</f>
        <v>10307837.783077231</v>
      </c>
      <c r="E29" s="269">
        <f>'Monthly Data'!BD29</f>
        <v>230.73333333333338</v>
      </c>
      <c r="F29" s="269">
        <f>'Monthly Data'!BG29</f>
        <v>5.6500000000000057</v>
      </c>
      <c r="G29" s="4">
        <f>'Monthly Data'!CG29</f>
        <v>0</v>
      </c>
      <c r="H29" s="4">
        <f>'Monthly Data'!CD29</f>
        <v>30</v>
      </c>
      <c r="I29" s="18">
        <f>'Monthly Data'!K29</f>
        <v>4151</v>
      </c>
      <c r="K29" s="18">
        <f>'GS&lt;50 Predicted Monthly'!$V$8</f>
        <v>-5601916.4558281703</v>
      </c>
      <c r="L29" s="18">
        <f>E29*'GS&lt;50 Predicted Monthly'!$V$9</f>
        <v>1246567.1019315717</v>
      </c>
      <c r="M29" s="18">
        <f>F29*'GS&lt;50 Predicted Monthly'!$V$10</f>
        <v>71320.137435175318</v>
      </c>
      <c r="N29" s="18">
        <f>G29*'GS&lt;50 Predicted Monthly'!$V$11</f>
        <v>0</v>
      </c>
      <c r="O29" s="18">
        <f>H29*'GS&lt;50 Predicted Monthly'!$V$12</f>
        <v>8075038.79031807</v>
      </c>
      <c r="P29" s="18">
        <f>I29*'GS&lt;50 Predicted Monthly'!$V$13</f>
        <v>6313734.8989782203</v>
      </c>
      <c r="Q29" s="18">
        <f t="shared" si="2"/>
        <v>10104744.472834866</v>
      </c>
      <c r="R29" s="18">
        <f t="shared" si="3"/>
        <v>-203093.31024236418</v>
      </c>
      <c r="S29" s="270">
        <f t="shared" si="4"/>
        <v>1.9702804265681228E-2</v>
      </c>
    </row>
    <row r="30" spans="1:24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Data'!J30</f>
        <v>10255191.139574682</v>
      </c>
      <c r="E30" s="269">
        <f>'Monthly Data'!BD30</f>
        <v>134.83333333333331</v>
      </c>
      <c r="F30" s="269">
        <f>'Monthly Data'!BG30</f>
        <v>28.370833333333344</v>
      </c>
      <c r="G30" s="4">
        <f>'Monthly Data'!CG30</f>
        <v>0</v>
      </c>
      <c r="H30" s="4">
        <f>'Monthly Data'!CD30</f>
        <v>31</v>
      </c>
      <c r="I30" s="18">
        <f>'Monthly Data'!K30</f>
        <v>4160</v>
      </c>
      <c r="K30" s="18">
        <f>'GS&lt;50 Predicted Monthly'!$V$8</f>
        <v>-5601916.4558281703</v>
      </c>
      <c r="L30" s="18">
        <f>E30*'GS&lt;50 Predicted Monthly'!$V$9</f>
        <v>728454.77135411813</v>
      </c>
      <c r="M30" s="18">
        <f>F30*'GS&lt;50 Predicted Monthly'!$V$10</f>
        <v>358125.97035111242</v>
      </c>
      <c r="N30" s="18">
        <f>G30*'GS&lt;50 Predicted Monthly'!$V$11</f>
        <v>0</v>
      </c>
      <c r="O30" s="18">
        <f>H30*'GS&lt;50 Predicted Monthly'!$V$12</f>
        <v>8344206.7499953387</v>
      </c>
      <c r="P30" s="18">
        <f>I30*'GS&lt;50 Predicted Monthly'!$V$13</f>
        <v>6327424.0375209339</v>
      </c>
      <c r="Q30" s="18">
        <f t="shared" si="2"/>
        <v>10156295.073393334</v>
      </c>
      <c r="R30" s="18">
        <f t="shared" si="3"/>
        <v>-98896.066181348637</v>
      </c>
      <c r="S30" s="270">
        <f t="shared" si="4"/>
        <v>9.6435127181305948E-3</v>
      </c>
    </row>
    <row r="31" spans="1:24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Data'!J31</f>
        <v>10271714.846599523</v>
      </c>
      <c r="E31" s="269">
        <f>'Monthly Data'!BD31</f>
        <v>20.287499999999987</v>
      </c>
      <c r="F31" s="269">
        <f>'Monthly Data'!BG31</f>
        <v>112.71333333333334</v>
      </c>
      <c r="G31" s="4">
        <f>'Monthly Data'!CG31</f>
        <v>0</v>
      </c>
      <c r="H31" s="4">
        <f>'Monthly Data'!CD31</f>
        <v>30</v>
      </c>
      <c r="I31" s="18">
        <f>'Monthly Data'!K31</f>
        <v>4154</v>
      </c>
      <c r="K31" s="18">
        <f>'GS&lt;50 Predicted Monthly'!$V$8</f>
        <v>-5601916.4558281703</v>
      </c>
      <c r="L31" s="18">
        <f>E31*'GS&lt;50 Predicted Monthly'!$V$9</f>
        <v>109605.88015213843</v>
      </c>
      <c r="M31" s="18">
        <f>F31*'GS&lt;50 Predicted Monthly'!$V$10</f>
        <v>1422784.1458601863</v>
      </c>
      <c r="N31" s="18">
        <f>G31*'GS&lt;50 Predicted Monthly'!$V$11</f>
        <v>0</v>
      </c>
      <c r="O31" s="18">
        <f>H31*'GS&lt;50 Predicted Monthly'!$V$12</f>
        <v>8075038.79031807</v>
      </c>
      <c r="P31" s="18">
        <f>I31*'GS&lt;50 Predicted Monthly'!$V$13</f>
        <v>6318297.9451591251</v>
      </c>
      <c r="Q31" s="18">
        <f t="shared" si="2"/>
        <v>10323810.30566135</v>
      </c>
      <c r="R31" s="18">
        <f t="shared" si="3"/>
        <v>52095.459061827511</v>
      </c>
      <c r="S31" s="270">
        <f t="shared" si="4"/>
        <v>5.071739221720494E-3</v>
      </c>
    </row>
    <row r="32" spans="1:24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Data'!J32</f>
        <v>11368071.321868924</v>
      </c>
      <c r="E32" s="269">
        <f>'Monthly Data'!BD32</f>
        <v>0</v>
      </c>
      <c r="F32" s="269">
        <f>'Monthly Data'!BG32</f>
        <v>198.16666666666666</v>
      </c>
      <c r="G32" s="4">
        <f>'Monthly Data'!CG32</f>
        <v>0</v>
      </c>
      <c r="H32" s="4">
        <f>'Monthly Data'!CD32</f>
        <v>31</v>
      </c>
      <c r="I32" s="18">
        <f>'Monthly Data'!K32</f>
        <v>4158</v>
      </c>
      <c r="K32" s="18">
        <f>'GS&lt;50 Predicted Monthly'!$V$8</f>
        <v>-5601916.4558281703</v>
      </c>
      <c r="L32" s="18">
        <f>E32*'GS&lt;50 Predicted Monthly'!$V$9</f>
        <v>0</v>
      </c>
      <c r="M32" s="18">
        <f>F32*'GS&lt;50 Predicted Monthly'!$V$10</f>
        <v>2501464.4073871197</v>
      </c>
      <c r="N32" s="18">
        <f>G32*'GS&lt;50 Predicted Monthly'!$V$11</f>
        <v>0</v>
      </c>
      <c r="O32" s="18">
        <f>H32*'GS&lt;50 Predicted Monthly'!$V$12</f>
        <v>8344206.7499953387</v>
      </c>
      <c r="P32" s="18">
        <f>I32*'GS&lt;50 Predicted Monthly'!$V$13</f>
        <v>6324382.0067336643</v>
      </c>
      <c r="Q32" s="18">
        <f t="shared" si="2"/>
        <v>11568136.708287952</v>
      </c>
      <c r="R32" s="18">
        <f t="shared" si="3"/>
        <v>200065.38641902804</v>
      </c>
      <c r="S32" s="270">
        <f t="shared" si="4"/>
        <v>1.7598885576496987E-2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Data'!J33</f>
        <v>11009225.659270091</v>
      </c>
      <c r="E33" s="269">
        <f>'Monthly Data'!BD33</f>
        <v>3.6416666666666693</v>
      </c>
      <c r="F33" s="269">
        <f>'Monthly Data'!BG33</f>
        <v>155.42409420289857</v>
      </c>
      <c r="G33" s="4">
        <f>'Monthly Data'!CG33</f>
        <v>0</v>
      </c>
      <c r="H33" s="4">
        <f>'Monthly Data'!CD33</f>
        <v>31</v>
      </c>
      <c r="I33" s="18">
        <f>'Monthly Data'!K33</f>
        <v>4157</v>
      </c>
      <c r="K33" s="18">
        <f>'GS&lt;50 Predicted Monthly'!$V$8</f>
        <v>-5601916.4558281703</v>
      </c>
      <c r="L33" s="18">
        <f>E33*'GS&lt;50 Predicted Monthly'!$V$9</f>
        <v>19674.581896276261</v>
      </c>
      <c r="M33" s="18">
        <f>F33*'GS&lt;50 Predicted Monthly'!$V$10</f>
        <v>1961923.497219177</v>
      </c>
      <c r="N33" s="18">
        <f>G33*'GS&lt;50 Predicted Monthly'!$V$11</f>
        <v>0</v>
      </c>
      <c r="O33" s="18">
        <f>H33*'GS&lt;50 Predicted Monthly'!$V$12</f>
        <v>8344206.7499953387</v>
      </c>
      <c r="P33" s="18">
        <f>I33*'GS&lt;50 Predicted Monthly'!$V$13</f>
        <v>6322860.99134003</v>
      </c>
      <c r="Q33" s="18">
        <f t="shared" si="2"/>
        <v>11046749.364622653</v>
      </c>
      <c r="R33" s="18">
        <f t="shared" si="3"/>
        <v>37523.705352561548</v>
      </c>
      <c r="S33" s="270">
        <f t="shared" si="4"/>
        <v>3.4083873393007881E-3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Data'!J34</f>
        <v>10614412.668142477</v>
      </c>
      <c r="E34" s="269">
        <f>'Monthly Data'!BD34</f>
        <v>37.391666666666666</v>
      </c>
      <c r="F34" s="269">
        <f>'Monthly Data'!BG34</f>
        <v>112.67916666666666</v>
      </c>
      <c r="G34" s="4">
        <f>'Monthly Data'!CG34</f>
        <v>0</v>
      </c>
      <c r="H34" s="4">
        <f>'Monthly Data'!CD34</f>
        <v>30</v>
      </c>
      <c r="I34" s="18">
        <f>'Monthly Data'!K34</f>
        <v>4169</v>
      </c>
      <c r="K34" s="18">
        <f>'GS&lt;50 Predicted Monthly'!$V$8</f>
        <v>-5601916.4558281703</v>
      </c>
      <c r="L34" s="18">
        <f>E34*'GS&lt;50 Predicted Monthly'!$V$9</f>
        <v>202013.38436748632</v>
      </c>
      <c r="M34" s="18">
        <f>F34*'GS&lt;50 Predicted Monthly'!$V$10</f>
        <v>1422352.8588933952</v>
      </c>
      <c r="N34" s="18">
        <f>G34*'GS&lt;50 Predicted Monthly'!$V$11</f>
        <v>0</v>
      </c>
      <c r="O34" s="18">
        <f>H34*'GS&lt;50 Predicted Monthly'!$V$12</f>
        <v>8075038.79031807</v>
      </c>
      <c r="P34" s="18">
        <f>I34*'GS&lt;50 Predicted Monthly'!$V$13</f>
        <v>6341113.1760636475</v>
      </c>
      <c r="Q34" s="18">
        <f t="shared" ref="Q34:Q65" si="5">SUM(K34:P34)</f>
        <v>10438601.753814429</v>
      </c>
      <c r="R34" s="18">
        <f t="shared" ref="R34:R65" si="6">Q34-D34</f>
        <v>-175810.91432804801</v>
      </c>
      <c r="S34" s="270">
        <f t="shared" ref="S34:S65" si="7">ABS(R34/D34)</f>
        <v>1.6563414276865019E-2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Data'!J35</f>
        <v>10086644.014943147</v>
      </c>
      <c r="E35" s="269">
        <f>'Monthly Data'!BD35</f>
        <v>124.7625</v>
      </c>
      <c r="F35" s="269">
        <f>'Monthly Data'!BG35</f>
        <v>29.654166666666669</v>
      </c>
      <c r="G35" s="4">
        <f>'Monthly Data'!CG35</f>
        <v>0</v>
      </c>
      <c r="H35" s="4">
        <f>'Monthly Data'!CD35</f>
        <v>31</v>
      </c>
      <c r="I35" s="18">
        <f>'Monthly Data'!K35</f>
        <v>4175</v>
      </c>
      <c r="K35" s="18">
        <f>'GS&lt;50 Predicted Monthly'!$V$8</f>
        <v>-5601916.4558281703</v>
      </c>
      <c r="L35" s="18">
        <f>E35*'GS&lt;50 Predicted Monthly'!$V$9</f>
        <v>674045.77313523984</v>
      </c>
      <c r="M35" s="18">
        <f>F35*'GS&lt;50 Predicted Monthly'!$V$10</f>
        <v>374325.52959155029</v>
      </c>
      <c r="N35" s="18">
        <f>G35*'GS&lt;50 Predicted Monthly'!$V$11</f>
        <v>0</v>
      </c>
      <c r="O35" s="18">
        <f>H35*'GS&lt;50 Predicted Monthly'!$V$12</f>
        <v>8344206.7499953387</v>
      </c>
      <c r="P35" s="18">
        <f>I35*'GS&lt;50 Predicted Monthly'!$V$13</f>
        <v>6350239.2684254572</v>
      </c>
      <c r="Q35" s="18">
        <f t="shared" si="5"/>
        <v>10140900.865319416</v>
      </c>
      <c r="R35" s="18">
        <f t="shared" si="6"/>
        <v>54256.850376268849</v>
      </c>
      <c r="S35" s="270">
        <f t="shared" si="7"/>
        <v>5.3790785414741006E-3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Data'!J36</f>
        <v>11102990.29685051</v>
      </c>
      <c r="E36" s="269">
        <f>'Monthly Data'!BD36</f>
        <v>382.61174242424244</v>
      </c>
      <c r="F36" s="269">
        <f>'Monthly Data'!BG36</f>
        <v>0</v>
      </c>
      <c r="G36" s="4">
        <f>'Monthly Data'!CG36</f>
        <v>0</v>
      </c>
      <c r="H36" s="4">
        <f>'Monthly Data'!CD36</f>
        <v>30</v>
      </c>
      <c r="I36" s="18">
        <f>'Monthly Data'!K36</f>
        <v>4189</v>
      </c>
      <c r="K36" s="18">
        <f>'GS&lt;50 Predicted Monthly'!$V$8</f>
        <v>-5601916.4558281703</v>
      </c>
      <c r="L36" s="18">
        <f>E36*'GS&lt;50 Predicted Monthly'!$V$9</f>
        <v>2067110.1311128724</v>
      </c>
      <c r="M36" s="18">
        <f>F36*'GS&lt;50 Predicted Monthly'!$V$10</f>
        <v>0</v>
      </c>
      <c r="N36" s="18">
        <f>G36*'GS&lt;50 Predicted Monthly'!$V$11</f>
        <v>0</v>
      </c>
      <c r="O36" s="18">
        <f>H36*'GS&lt;50 Predicted Monthly'!$V$12</f>
        <v>8075038.79031807</v>
      </c>
      <c r="P36" s="18">
        <f>I36*'GS&lt;50 Predicted Monthly'!$V$13</f>
        <v>6371533.4839363443</v>
      </c>
      <c r="Q36" s="18">
        <f t="shared" si="5"/>
        <v>10911765.949539118</v>
      </c>
      <c r="R36" s="18">
        <f t="shared" si="6"/>
        <v>-191224.34731139243</v>
      </c>
      <c r="S36" s="270">
        <f t="shared" si="7"/>
        <v>1.7222778927009907E-2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Data'!J37</f>
        <v>12738018.510544082</v>
      </c>
      <c r="E37" s="269">
        <f>'Monthly Data'!BD37</f>
        <v>674.31250000000011</v>
      </c>
      <c r="F37" s="269">
        <f>'Monthly Data'!BG37</f>
        <v>0</v>
      </c>
      <c r="G37" s="4">
        <f>'Monthly Data'!CG37</f>
        <v>0</v>
      </c>
      <c r="H37" s="4">
        <f>'Monthly Data'!CD37</f>
        <v>31</v>
      </c>
      <c r="I37" s="18">
        <f>'Monthly Data'!K37</f>
        <v>4186</v>
      </c>
      <c r="K37" s="18">
        <f>'GS&lt;50 Predicted Monthly'!$V$8</f>
        <v>-5601916.4558281703</v>
      </c>
      <c r="L37" s="18">
        <f>E37*'GS&lt;50 Predicted Monthly'!$V$9</f>
        <v>3643061.7404849734</v>
      </c>
      <c r="M37" s="18">
        <f>F37*'GS&lt;50 Predicted Monthly'!$V$10</f>
        <v>0</v>
      </c>
      <c r="N37" s="18">
        <f>G37*'GS&lt;50 Predicted Monthly'!$V$11</f>
        <v>0</v>
      </c>
      <c r="O37" s="18">
        <f>H37*'GS&lt;50 Predicted Monthly'!$V$12</f>
        <v>8344206.7499953387</v>
      </c>
      <c r="P37" s="18">
        <f>I37*'GS&lt;50 Predicted Monthly'!$V$13</f>
        <v>6366970.4377554404</v>
      </c>
      <c r="Q37" s="18">
        <f t="shared" si="5"/>
        <v>12752322.472407583</v>
      </c>
      <c r="R37" s="18">
        <f t="shared" si="6"/>
        <v>14303.961863500997</v>
      </c>
      <c r="S37" s="270">
        <f t="shared" si="7"/>
        <v>1.1229346111925245E-3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Data'!J38</f>
        <v>13743847.236236988</v>
      </c>
      <c r="E38" s="269">
        <f>'Monthly Data'!BD38</f>
        <v>688.53749999999991</v>
      </c>
      <c r="F38" s="269">
        <f>'Monthly Data'!BG38</f>
        <v>0</v>
      </c>
      <c r="G38" s="4">
        <f>'Monthly Data'!CG38</f>
        <v>0</v>
      </c>
      <c r="H38" s="4">
        <f>'Monthly Data'!CD38</f>
        <v>31</v>
      </c>
      <c r="I38" s="18">
        <f>'Monthly Data'!K38</f>
        <v>4200</v>
      </c>
      <c r="K38" s="18">
        <f>'GS&lt;50 Predicted Monthly'!$V$8</f>
        <v>-5601916.4558281703</v>
      </c>
      <c r="L38" s="18">
        <f>E38*'GS&lt;50 Predicted Monthly'!$V$9</f>
        <v>3719914.1690820972</v>
      </c>
      <c r="M38" s="18">
        <f>F38*'GS&lt;50 Predicted Monthly'!$V$10</f>
        <v>0</v>
      </c>
      <c r="N38" s="18">
        <f>G38*'GS&lt;50 Predicted Monthly'!$V$11</f>
        <v>0</v>
      </c>
      <c r="O38" s="18">
        <f>H38*'GS&lt;50 Predicted Monthly'!$V$12</f>
        <v>8344206.7499953387</v>
      </c>
      <c r="P38" s="18">
        <f>I38*'GS&lt;50 Predicted Monthly'!$V$13</f>
        <v>6388264.6532663275</v>
      </c>
      <c r="Q38" s="18">
        <f t="shared" si="5"/>
        <v>12850469.116515594</v>
      </c>
      <c r="R38" s="18">
        <f t="shared" si="6"/>
        <v>-893378.11972139403</v>
      </c>
      <c r="S38" s="270">
        <f t="shared" si="7"/>
        <v>6.5002040867124591E-2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Data'!J39</f>
        <v>11791318.027232353</v>
      </c>
      <c r="E39" s="269">
        <f>'Monthly Data'!BD39</f>
        <v>520.49583333333328</v>
      </c>
      <c r="F39" s="269">
        <f>'Monthly Data'!BG39</f>
        <v>0</v>
      </c>
      <c r="G39" s="4">
        <f>'Monthly Data'!CG39</f>
        <v>0</v>
      </c>
      <c r="H39" s="4">
        <f>'Monthly Data'!CD39</f>
        <v>28</v>
      </c>
      <c r="I39" s="18">
        <f>'Monthly Data'!K39</f>
        <v>4210</v>
      </c>
      <c r="K39" s="18">
        <f>'GS&lt;50 Predicted Monthly'!$V$8</f>
        <v>-5601916.4558281703</v>
      </c>
      <c r="L39" s="18">
        <f>E39*'GS&lt;50 Predicted Monthly'!$V$9</f>
        <v>2812047.0204816158</v>
      </c>
      <c r="M39" s="18">
        <f>F39*'GS&lt;50 Predicted Monthly'!$V$10</f>
        <v>0</v>
      </c>
      <c r="N39" s="18">
        <f>G39*'GS&lt;50 Predicted Monthly'!$V$11</f>
        <v>0</v>
      </c>
      <c r="O39" s="18">
        <f>H39*'GS&lt;50 Predicted Monthly'!$V$12</f>
        <v>7536702.8709635315</v>
      </c>
      <c r="P39" s="18">
        <f>I39*'GS&lt;50 Predicted Monthly'!$V$13</f>
        <v>6403474.8072026763</v>
      </c>
      <c r="Q39" s="18">
        <f t="shared" si="5"/>
        <v>11150308.242819654</v>
      </c>
      <c r="R39" s="18">
        <f t="shared" si="6"/>
        <v>-641009.78441269882</v>
      </c>
      <c r="S39" s="270">
        <f t="shared" si="7"/>
        <v>5.4362861126489019E-2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Data'!J40</f>
        <v>12122391.504287651</v>
      </c>
      <c r="E40" s="269">
        <f>'Monthly Data'!BD40</f>
        <v>505.2791666666667</v>
      </c>
      <c r="F40" s="269">
        <f>'Monthly Data'!BG40</f>
        <v>0</v>
      </c>
      <c r="G40" s="4">
        <f>'Monthly Data'!CG40</f>
        <v>0</v>
      </c>
      <c r="H40" s="4">
        <f>'Monthly Data'!CD40</f>
        <v>31</v>
      </c>
      <c r="I40" s="18">
        <f>'Monthly Data'!K40</f>
        <v>4215</v>
      </c>
      <c r="K40" s="18">
        <f>'GS&lt;50 Predicted Monthly'!$V$8</f>
        <v>-5601916.4558281703</v>
      </c>
      <c r="L40" s="18">
        <f>E40*'GS&lt;50 Predicted Monthly'!$V$9</f>
        <v>2729836.9826266952</v>
      </c>
      <c r="M40" s="18">
        <f>F40*'GS&lt;50 Predicted Monthly'!$V$10</f>
        <v>0</v>
      </c>
      <c r="N40" s="18">
        <f>G40*'GS&lt;50 Predicted Monthly'!$V$11</f>
        <v>0</v>
      </c>
      <c r="O40" s="18">
        <f>H40*'GS&lt;50 Predicted Monthly'!$V$12</f>
        <v>8344206.7499953387</v>
      </c>
      <c r="P40" s="18">
        <f>I40*'GS&lt;50 Predicted Monthly'!$V$13</f>
        <v>6411079.8841708507</v>
      </c>
      <c r="Q40" s="18">
        <f t="shared" si="5"/>
        <v>11883207.160964714</v>
      </c>
      <c r="R40" s="18">
        <f t="shared" si="6"/>
        <v>-239184.34332293645</v>
      </c>
      <c r="S40" s="270">
        <f t="shared" si="7"/>
        <v>1.9730788536101784E-2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Data'!J41</f>
        <v>11217887.058367977</v>
      </c>
      <c r="E41" s="269">
        <f>'Monthly Data'!BD41</f>
        <v>392.51666666666677</v>
      </c>
      <c r="F41" s="269">
        <f>'Monthly Data'!BG41</f>
        <v>0</v>
      </c>
      <c r="G41" s="4">
        <f>'Monthly Data'!CG41</f>
        <v>0</v>
      </c>
      <c r="H41" s="4">
        <f>'Monthly Data'!CD41</f>
        <v>30</v>
      </c>
      <c r="I41" s="18">
        <f>'Monthly Data'!K41</f>
        <v>4218</v>
      </c>
      <c r="K41" s="18">
        <f>'GS&lt;50 Predicted Monthly'!$V$8</f>
        <v>-5601916.4558281703</v>
      </c>
      <c r="L41" s="18">
        <f>E41*'GS&lt;50 Predicted Monthly'!$V$9</f>
        <v>2120622.7837034417</v>
      </c>
      <c r="M41" s="18">
        <f>F41*'GS&lt;50 Predicted Monthly'!$V$10</f>
        <v>0</v>
      </c>
      <c r="N41" s="18">
        <f>G41*'GS&lt;50 Predicted Monthly'!$V$11</f>
        <v>0</v>
      </c>
      <c r="O41" s="18">
        <f>H41*'GS&lt;50 Predicted Monthly'!$V$12</f>
        <v>8075038.79031807</v>
      </c>
      <c r="P41" s="18">
        <f>I41*'GS&lt;50 Predicted Monthly'!$V$13</f>
        <v>6415642.9303517547</v>
      </c>
      <c r="Q41" s="18">
        <f t="shared" si="5"/>
        <v>11009388.048545096</v>
      </c>
      <c r="R41" s="18">
        <f t="shared" si="6"/>
        <v>-208499.00982288085</v>
      </c>
      <c r="S41" s="270">
        <f t="shared" si="7"/>
        <v>1.8586299606872143E-2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Data'!J42</f>
        <v>10536315.185701128</v>
      </c>
      <c r="E42" s="269">
        <f>'Monthly Data'!BD42</f>
        <v>53.462500000000013</v>
      </c>
      <c r="F42" s="269">
        <f>'Monthly Data'!BG42</f>
        <v>80.600541125541127</v>
      </c>
      <c r="G42" s="4">
        <f>'Monthly Data'!CG42</f>
        <v>0</v>
      </c>
      <c r="H42" s="4">
        <f>'Monthly Data'!CD42</f>
        <v>31</v>
      </c>
      <c r="I42" s="18">
        <f>'Monthly Data'!K42</f>
        <v>4162</v>
      </c>
      <c r="K42" s="18">
        <f>'GS&lt;50 Predicted Monthly'!$V$8</f>
        <v>-5601916.4558281703</v>
      </c>
      <c r="L42" s="18">
        <f>E42*'GS&lt;50 Predicted Monthly'!$V$9</f>
        <v>288838.16969235765</v>
      </c>
      <c r="M42" s="18">
        <f>F42*'GS&lt;50 Predicted Monthly'!$V$10</f>
        <v>1017423.3044996615</v>
      </c>
      <c r="N42" s="18">
        <f>G42*'GS&lt;50 Predicted Monthly'!$V$11</f>
        <v>0</v>
      </c>
      <c r="O42" s="18">
        <f>H42*'GS&lt;50 Predicted Monthly'!$V$12</f>
        <v>8344206.7499953387</v>
      </c>
      <c r="P42" s="18">
        <f>I42*'GS&lt;50 Predicted Monthly'!$V$13</f>
        <v>6330466.0683082035</v>
      </c>
      <c r="Q42" s="18">
        <f t="shared" si="5"/>
        <v>10379017.836667392</v>
      </c>
      <c r="R42" s="18">
        <f t="shared" si="6"/>
        <v>-157297.34903373569</v>
      </c>
      <c r="S42" s="270">
        <f t="shared" si="7"/>
        <v>1.4929066401430787E-2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Data'!J43</f>
        <v>10734643.372216791</v>
      </c>
      <c r="E43" s="269">
        <f>'Monthly Data'!BD43</f>
        <v>7.645833333333325</v>
      </c>
      <c r="F43" s="269">
        <f>'Monthly Data'!BG43</f>
        <v>141.51477272727271</v>
      </c>
      <c r="G43" s="4">
        <f>'Monthly Data'!CG43</f>
        <v>0</v>
      </c>
      <c r="H43" s="4">
        <f>'Monthly Data'!CD43</f>
        <v>30</v>
      </c>
      <c r="I43" s="18">
        <f>'Monthly Data'!K43</f>
        <v>4160</v>
      </c>
      <c r="K43" s="18">
        <f>'GS&lt;50 Predicted Monthly'!$V$8</f>
        <v>-5601916.4558281703</v>
      </c>
      <c r="L43" s="18">
        <f>E43*'GS&lt;50 Predicted Monthly'!$V$9</f>
        <v>41307.617596872849</v>
      </c>
      <c r="M43" s="18">
        <f>F43*'GS&lt;50 Predicted Monthly'!$V$10</f>
        <v>1786345.6707994123</v>
      </c>
      <c r="N43" s="18">
        <f>G43*'GS&lt;50 Predicted Monthly'!$V$11</f>
        <v>0</v>
      </c>
      <c r="O43" s="18">
        <f>H43*'GS&lt;50 Predicted Monthly'!$V$12</f>
        <v>8075038.79031807</v>
      </c>
      <c r="P43" s="18">
        <f>I43*'GS&lt;50 Predicted Monthly'!$V$13</f>
        <v>6327424.0375209339</v>
      </c>
      <c r="Q43" s="18">
        <f t="shared" si="5"/>
        <v>10628199.660407118</v>
      </c>
      <c r="R43" s="18">
        <f t="shared" si="6"/>
        <v>-106443.71180967242</v>
      </c>
      <c r="S43" s="270">
        <f t="shared" si="7"/>
        <v>9.9159057379743145E-3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Data'!J44</f>
        <v>12267261.026286196</v>
      </c>
      <c r="E44" s="269">
        <f>'Monthly Data'!BD44</f>
        <v>0</v>
      </c>
      <c r="F44" s="269">
        <f>'Monthly Data'!BG44</f>
        <v>256.39861424807077</v>
      </c>
      <c r="G44" s="4">
        <f>'Monthly Data'!CG44</f>
        <v>0</v>
      </c>
      <c r="H44" s="4">
        <f>'Monthly Data'!CD44</f>
        <v>31</v>
      </c>
      <c r="I44" s="18">
        <f>'Monthly Data'!K44</f>
        <v>4168</v>
      </c>
      <c r="K44" s="18">
        <f>'GS&lt;50 Predicted Monthly'!$V$8</f>
        <v>-5601916.4558281703</v>
      </c>
      <c r="L44" s="18">
        <f>E44*'GS&lt;50 Predicted Monthly'!$V$9</f>
        <v>0</v>
      </c>
      <c r="M44" s="18">
        <f>F44*'GS&lt;50 Predicted Monthly'!$V$10</f>
        <v>3236528.2135152016</v>
      </c>
      <c r="N44" s="18">
        <f>G44*'GS&lt;50 Predicted Monthly'!$V$11</f>
        <v>0</v>
      </c>
      <c r="O44" s="18">
        <f>H44*'GS&lt;50 Predicted Monthly'!$V$12</f>
        <v>8344206.7499953387</v>
      </c>
      <c r="P44" s="18">
        <f>I44*'GS&lt;50 Predicted Monthly'!$V$13</f>
        <v>6339592.1606700132</v>
      </c>
      <c r="Q44" s="18">
        <f t="shared" si="5"/>
        <v>12318410.668352384</v>
      </c>
      <c r="R44" s="18">
        <f t="shared" si="6"/>
        <v>51149.642066188157</v>
      </c>
      <c r="S44" s="270">
        <f t="shared" si="7"/>
        <v>4.1696057462692841E-3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Data'!J45</f>
        <v>12704659.584958429</v>
      </c>
      <c r="E45" s="269">
        <f>'Monthly Data'!BD45</f>
        <v>0</v>
      </c>
      <c r="F45" s="269">
        <f>'Monthly Data'!BG45</f>
        <v>252.24583333333339</v>
      </c>
      <c r="G45" s="4">
        <f>'Monthly Data'!CG45</f>
        <v>0</v>
      </c>
      <c r="H45" s="4">
        <f>'Monthly Data'!CD45</f>
        <v>31</v>
      </c>
      <c r="I45" s="18">
        <f>'Monthly Data'!K45</f>
        <v>4184</v>
      </c>
      <c r="K45" s="18">
        <f>'GS&lt;50 Predicted Monthly'!$V$8</f>
        <v>-5601916.4558281703</v>
      </c>
      <c r="L45" s="18">
        <f>E45*'GS&lt;50 Predicted Monthly'!$V$9</f>
        <v>0</v>
      </c>
      <c r="M45" s="18">
        <f>F45*'GS&lt;50 Predicted Monthly'!$V$10</f>
        <v>3184107.5222625923</v>
      </c>
      <c r="N45" s="18">
        <f>G45*'GS&lt;50 Predicted Monthly'!$V$11</f>
        <v>0</v>
      </c>
      <c r="O45" s="18">
        <f>H45*'GS&lt;50 Predicted Monthly'!$V$12</f>
        <v>8344206.7499953387</v>
      </c>
      <c r="P45" s="18">
        <f>I45*'GS&lt;50 Predicted Monthly'!$V$13</f>
        <v>6363928.4069681698</v>
      </c>
      <c r="Q45" s="18">
        <f t="shared" si="5"/>
        <v>12290326.223397929</v>
      </c>
      <c r="R45" s="18">
        <f t="shared" si="6"/>
        <v>-414333.3615604993</v>
      </c>
      <c r="S45" s="270">
        <f t="shared" si="7"/>
        <v>3.2612708651481359E-2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Data'!J46</f>
        <v>11179301.159690389</v>
      </c>
      <c r="E46" s="269">
        <f>'Monthly Data'!BD46</f>
        <v>33.279166666666669</v>
      </c>
      <c r="F46" s="269">
        <f>'Monthly Data'!BG46</f>
        <v>135.06250000000003</v>
      </c>
      <c r="G46" s="4">
        <f>'Monthly Data'!CG46</f>
        <v>0</v>
      </c>
      <c r="H46" s="4">
        <f>'Monthly Data'!CD46</f>
        <v>30</v>
      </c>
      <c r="I46" s="18">
        <f>'Monthly Data'!K46</f>
        <v>4221</v>
      </c>
      <c r="K46" s="18">
        <f>'GS&lt;50 Predicted Monthly'!$V$8</f>
        <v>-5601916.4558281703</v>
      </c>
      <c r="L46" s="18">
        <f>E46*'GS&lt;50 Predicted Monthly'!$V$9</f>
        <v>179795.06362192036</v>
      </c>
      <c r="M46" s="18">
        <f>F46*'GS&lt;50 Predicted Monthly'!$V$10</f>
        <v>1704898.4181129837</v>
      </c>
      <c r="N46" s="18">
        <f>G46*'GS&lt;50 Predicted Monthly'!$V$11</f>
        <v>0</v>
      </c>
      <c r="O46" s="18">
        <f>H46*'GS&lt;50 Predicted Monthly'!$V$12</f>
        <v>8075038.79031807</v>
      </c>
      <c r="P46" s="18">
        <f>I46*'GS&lt;50 Predicted Monthly'!$V$13</f>
        <v>6420205.9765326595</v>
      </c>
      <c r="Q46" s="18">
        <f t="shared" si="5"/>
        <v>10778021.792757463</v>
      </c>
      <c r="R46" s="18">
        <f t="shared" si="6"/>
        <v>-401279.3669329267</v>
      </c>
      <c r="S46" s="270">
        <f t="shared" si="7"/>
        <v>3.5894852567335267E-2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Data'!J47</f>
        <v>11018001.264524272</v>
      </c>
      <c r="E47" s="269">
        <f>'Monthly Data'!BD47</f>
        <v>248.88749999999993</v>
      </c>
      <c r="F47" s="269">
        <f>'Monthly Data'!BG47</f>
        <v>15.387500000000001</v>
      </c>
      <c r="G47" s="4">
        <f>'Monthly Data'!CG47</f>
        <v>0</v>
      </c>
      <c r="H47" s="4">
        <f>'Monthly Data'!CD47</f>
        <v>31</v>
      </c>
      <c r="I47" s="18">
        <f>'Monthly Data'!K47</f>
        <v>4238</v>
      </c>
      <c r="K47" s="18">
        <f>'GS&lt;50 Predicted Monthly'!$V$8</f>
        <v>-5601916.4558281703</v>
      </c>
      <c r="L47" s="18">
        <f>E47*'GS&lt;50 Predicted Monthly'!$V$9</f>
        <v>1344647.3688904676</v>
      </c>
      <c r="M47" s="18">
        <f>F47*'GS&lt;50 Predicted Monthly'!$V$10</f>
        <v>194236.92297057682</v>
      </c>
      <c r="N47" s="18">
        <f>G47*'GS&lt;50 Predicted Monthly'!$V$11</f>
        <v>0</v>
      </c>
      <c r="O47" s="18">
        <f>H47*'GS&lt;50 Predicted Monthly'!$V$12</f>
        <v>8344206.7499953387</v>
      </c>
      <c r="P47" s="18">
        <f>I47*'GS&lt;50 Predicted Monthly'!$V$13</f>
        <v>6446063.2382244514</v>
      </c>
      <c r="Q47" s="18">
        <f t="shared" si="5"/>
        <v>10727237.824252665</v>
      </c>
      <c r="R47" s="18">
        <f t="shared" si="6"/>
        <v>-290763.44027160667</v>
      </c>
      <c r="S47" s="270">
        <f t="shared" si="7"/>
        <v>2.6389853594209138E-2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Data'!J48</f>
        <v>11411106.129039779</v>
      </c>
      <c r="E48" s="269">
        <f>'Monthly Data'!BD48</f>
        <v>443.52500000000003</v>
      </c>
      <c r="F48" s="269">
        <f>'Monthly Data'!BG48</f>
        <v>0</v>
      </c>
      <c r="G48" s="4">
        <f>'Monthly Data'!CG48</f>
        <v>0</v>
      </c>
      <c r="H48" s="4">
        <f>'Monthly Data'!CD48</f>
        <v>30</v>
      </c>
      <c r="I48" s="18">
        <f>'Monthly Data'!K48</f>
        <v>4206</v>
      </c>
      <c r="K48" s="18">
        <f>'GS&lt;50 Predicted Monthly'!$V$8</f>
        <v>-5601916.4558281703</v>
      </c>
      <c r="L48" s="18">
        <f>E48*'GS&lt;50 Predicted Monthly'!$V$9</f>
        <v>2396201.9960309169</v>
      </c>
      <c r="M48" s="18">
        <f>F48*'GS&lt;50 Predicted Monthly'!$V$10</f>
        <v>0</v>
      </c>
      <c r="N48" s="18">
        <f>G48*'GS&lt;50 Predicted Monthly'!$V$11</f>
        <v>0</v>
      </c>
      <c r="O48" s="18">
        <f>H48*'GS&lt;50 Predicted Monthly'!$V$12</f>
        <v>8075038.79031807</v>
      </c>
      <c r="P48" s="18">
        <f>I48*'GS&lt;50 Predicted Monthly'!$V$13</f>
        <v>6397390.7456281371</v>
      </c>
      <c r="Q48" s="18">
        <f t="shared" si="5"/>
        <v>11266715.076148953</v>
      </c>
      <c r="R48" s="18">
        <f t="shared" si="6"/>
        <v>-144391.05289082602</v>
      </c>
      <c r="S48" s="270">
        <f t="shared" si="7"/>
        <v>1.2653554463345984E-2</v>
      </c>
    </row>
    <row r="49" spans="1:22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Data'!J49</f>
        <v>11879583.682943571</v>
      </c>
      <c r="E49" s="269">
        <f>'Monthly Data'!BD49</f>
        <v>522.91666666666663</v>
      </c>
      <c r="F49" s="269">
        <f>'Monthly Data'!BG49</f>
        <v>0</v>
      </c>
      <c r="G49" s="4">
        <f>'Monthly Data'!CG49</f>
        <v>0</v>
      </c>
      <c r="H49" s="4">
        <f>'Monthly Data'!CD49</f>
        <v>31</v>
      </c>
      <c r="I49" s="18">
        <f>'Monthly Data'!K49</f>
        <v>4210</v>
      </c>
      <c r="K49" s="18">
        <f>'GS&lt;50 Predicted Monthly'!$V$8</f>
        <v>-5601916.4558281703</v>
      </c>
      <c r="L49" s="18">
        <f>E49*'GS&lt;50 Predicted Monthly'!$V$9</f>
        <v>2825125.8901403532</v>
      </c>
      <c r="M49" s="18">
        <f>F49*'GS&lt;50 Predicted Monthly'!$V$10</f>
        <v>0</v>
      </c>
      <c r="N49" s="18">
        <f>G49*'GS&lt;50 Predicted Monthly'!$V$11</f>
        <v>0</v>
      </c>
      <c r="O49" s="18">
        <f>H49*'GS&lt;50 Predicted Monthly'!$V$12</f>
        <v>8344206.7499953387</v>
      </c>
      <c r="P49" s="18">
        <f>I49*'GS&lt;50 Predicted Monthly'!$V$13</f>
        <v>6403474.8072026763</v>
      </c>
      <c r="Q49" s="18">
        <f t="shared" si="5"/>
        <v>11970890.991510198</v>
      </c>
      <c r="R49" s="18">
        <f t="shared" si="6"/>
        <v>91307.308566626161</v>
      </c>
      <c r="S49" s="270">
        <f t="shared" si="7"/>
        <v>7.6860697313596146E-3</v>
      </c>
    </row>
    <row r="50" spans="1:22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Data'!J50</f>
        <v>12427019.357755447</v>
      </c>
      <c r="E50" s="269">
        <f>'Monthly Data'!BD50</f>
        <v>717.93333333333339</v>
      </c>
      <c r="F50" s="269">
        <f>'Monthly Data'!BG50</f>
        <v>0</v>
      </c>
      <c r="G50" s="4">
        <f>'Monthly Data'!CG50</f>
        <v>0</v>
      </c>
      <c r="H50" s="4">
        <f>'Monthly Data'!CD50</f>
        <v>31</v>
      </c>
      <c r="I50" s="18">
        <f>'Monthly Data'!K50</f>
        <v>4216</v>
      </c>
      <c r="K50" s="18">
        <f>'GS&lt;50 Predicted Monthly'!$V$8</f>
        <v>-5601916.4558281703</v>
      </c>
      <c r="L50" s="18">
        <f>E50*'GS&lt;50 Predicted Monthly'!$V$9</f>
        <v>3878729.0149381952</v>
      </c>
      <c r="M50" s="18">
        <f>F50*'GS&lt;50 Predicted Monthly'!$V$10</f>
        <v>0</v>
      </c>
      <c r="N50" s="18">
        <f>G50*'GS&lt;50 Predicted Monthly'!$V$11</f>
        <v>0</v>
      </c>
      <c r="O50" s="18">
        <f>H50*'GS&lt;50 Predicted Monthly'!$V$12</f>
        <v>8344206.7499953387</v>
      </c>
      <c r="P50" s="18">
        <f>I50*'GS&lt;50 Predicted Monthly'!$V$13</f>
        <v>6412600.8995644851</v>
      </c>
      <c r="Q50" s="18">
        <f t="shared" si="5"/>
        <v>13033620.208669849</v>
      </c>
      <c r="R50" s="18">
        <f t="shared" si="6"/>
        <v>606600.85091440193</v>
      </c>
      <c r="S50" s="270">
        <f t="shared" si="7"/>
        <v>4.8813060755058278E-2</v>
      </c>
    </row>
    <row r="51" spans="1:22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Data'!J51</f>
        <v>10817934.01399897</v>
      </c>
      <c r="E51" s="269">
        <f>'Monthly Data'!BD51</f>
        <v>583.30416666666656</v>
      </c>
      <c r="F51" s="269">
        <f>'Monthly Data'!BG51</f>
        <v>0</v>
      </c>
      <c r="G51" s="4">
        <f>'Monthly Data'!CG51</f>
        <v>0</v>
      </c>
      <c r="H51" s="4">
        <f>'Monthly Data'!CD51</f>
        <v>28</v>
      </c>
      <c r="I51" s="18">
        <f>'Monthly Data'!K51</f>
        <v>4209</v>
      </c>
      <c r="K51" s="18">
        <f>'GS&lt;50 Predicted Monthly'!$V$8</f>
        <v>-5601916.4558281703</v>
      </c>
      <c r="L51" s="18">
        <f>E51*'GS&lt;50 Predicted Monthly'!$V$9</f>
        <v>3151377.2807842107</v>
      </c>
      <c r="M51" s="18">
        <f>F51*'GS&lt;50 Predicted Monthly'!$V$10</f>
        <v>0</v>
      </c>
      <c r="N51" s="18">
        <f>G51*'GS&lt;50 Predicted Monthly'!$V$11</f>
        <v>0</v>
      </c>
      <c r="O51" s="18">
        <f>H51*'GS&lt;50 Predicted Monthly'!$V$12</f>
        <v>7536702.8709635315</v>
      </c>
      <c r="P51" s="18">
        <f>I51*'GS&lt;50 Predicted Monthly'!$V$13</f>
        <v>6401953.7918090411</v>
      </c>
      <c r="Q51" s="18">
        <f t="shared" si="5"/>
        <v>11488117.487728612</v>
      </c>
      <c r="R51" s="18">
        <f t="shared" si="6"/>
        <v>670183.47372964211</v>
      </c>
      <c r="S51" s="270">
        <f t="shared" si="7"/>
        <v>6.1951151935516501E-2</v>
      </c>
    </row>
    <row r="52" spans="1:22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Data'!J52</f>
        <v>11178126.224762458</v>
      </c>
      <c r="E52" s="269">
        <f>'Monthly Data'!BD52</f>
        <v>549.45833333333326</v>
      </c>
      <c r="F52" s="269">
        <f>'Monthly Data'!BG52</f>
        <v>0</v>
      </c>
      <c r="G52" s="4">
        <f>'Monthly Data'!CG52</f>
        <v>0</v>
      </c>
      <c r="H52" s="4">
        <f>'Monthly Data'!CD52</f>
        <v>31</v>
      </c>
      <c r="I52" s="18">
        <f>'Monthly Data'!K52</f>
        <v>4202</v>
      </c>
      <c r="K52" s="18">
        <f>'GS&lt;50 Predicted Monthly'!$V$8</f>
        <v>-5601916.4558281703</v>
      </c>
      <c r="L52" s="18">
        <f>E52*'GS&lt;50 Predicted Monthly'!$V$9</f>
        <v>2968520.7261578357</v>
      </c>
      <c r="M52" s="18">
        <f>F52*'GS&lt;50 Predicted Monthly'!$V$10</f>
        <v>0</v>
      </c>
      <c r="N52" s="18">
        <f>G52*'GS&lt;50 Predicted Monthly'!$V$11</f>
        <v>0</v>
      </c>
      <c r="O52" s="18">
        <f>H52*'GS&lt;50 Predicted Monthly'!$V$12</f>
        <v>8344206.7499953387</v>
      </c>
      <c r="P52" s="18">
        <f>I52*'GS&lt;50 Predicted Monthly'!$V$13</f>
        <v>6391306.684053597</v>
      </c>
      <c r="Q52" s="18">
        <f t="shared" si="5"/>
        <v>12102117.704378601</v>
      </c>
      <c r="R52" s="18">
        <f t="shared" si="6"/>
        <v>923991.47961614281</v>
      </c>
      <c r="S52" s="270">
        <f t="shared" si="7"/>
        <v>8.2660676846649059E-2</v>
      </c>
    </row>
    <row r="53" spans="1:22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Data'!J53</f>
        <v>9605223.0161340497</v>
      </c>
      <c r="E53" s="269">
        <f>'Monthly Data'!BD53</f>
        <v>306.65416666666664</v>
      </c>
      <c r="F53" s="269">
        <f>'Monthly Data'!BG53</f>
        <v>0</v>
      </c>
      <c r="G53" s="4">
        <f>'Monthly Data'!CG53</f>
        <v>0</v>
      </c>
      <c r="H53" s="4">
        <f>'Monthly Data'!CD53</f>
        <v>30</v>
      </c>
      <c r="I53" s="18">
        <f>'Monthly Data'!K53</f>
        <v>4202</v>
      </c>
      <c r="K53" s="18">
        <f>'GS&lt;50 Predicted Monthly'!$V$8</f>
        <v>-5601916.4558281703</v>
      </c>
      <c r="L53" s="18">
        <f>E53*'GS&lt;50 Predicted Monthly'!$V$9</f>
        <v>1656739.3636387216</v>
      </c>
      <c r="M53" s="18">
        <f>F53*'GS&lt;50 Predicted Monthly'!$V$10</f>
        <v>0</v>
      </c>
      <c r="N53" s="18">
        <f>G53*'GS&lt;50 Predicted Monthly'!$V$11</f>
        <v>0</v>
      </c>
      <c r="O53" s="18">
        <f>H53*'GS&lt;50 Predicted Monthly'!$V$12</f>
        <v>8075038.79031807</v>
      </c>
      <c r="P53" s="18">
        <f>I53*'GS&lt;50 Predicted Monthly'!$V$13</f>
        <v>6391306.684053597</v>
      </c>
      <c r="Q53" s="18">
        <f t="shared" si="5"/>
        <v>10521168.382182218</v>
      </c>
      <c r="R53" s="18">
        <f t="shared" si="6"/>
        <v>915945.36604816839</v>
      </c>
      <c r="S53" s="270">
        <f t="shared" si="7"/>
        <v>9.5359094162586339E-2</v>
      </c>
    </row>
    <row r="54" spans="1:22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Data'!J54</f>
        <v>9221277.1523471624</v>
      </c>
      <c r="E54" s="269">
        <f>'Monthly Data'!BD54</f>
        <v>145.93881578947367</v>
      </c>
      <c r="F54" s="269">
        <f>'Monthly Data'!BG54</f>
        <v>11.208333333333332</v>
      </c>
      <c r="G54" s="4">
        <f>'Monthly Data'!CG54</f>
        <v>0</v>
      </c>
      <c r="H54" s="4">
        <f>'Monthly Data'!CD54</f>
        <v>31</v>
      </c>
      <c r="I54" s="18">
        <f>'Monthly Data'!K54</f>
        <v>4196</v>
      </c>
      <c r="K54" s="18">
        <f>'GS&lt;50 Predicted Monthly'!$V$8</f>
        <v>-5601916.4558281703</v>
      </c>
      <c r="L54" s="18">
        <f>E54*'GS&lt;50 Predicted Monthly'!$V$9</f>
        <v>788453.59718871559</v>
      </c>
      <c r="M54" s="18">
        <f>F54*'GS&lt;50 Predicted Monthly'!$V$10</f>
        <v>141483.16349603346</v>
      </c>
      <c r="N54" s="18">
        <f>G54*'GS&lt;50 Predicted Monthly'!$V$11</f>
        <v>0</v>
      </c>
      <c r="O54" s="18">
        <f>H54*'GS&lt;50 Predicted Monthly'!$V$12</f>
        <v>8344206.7499953387</v>
      </c>
      <c r="P54" s="18">
        <f>I54*'GS&lt;50 Predicted Monthly'!$V$13</f>
        <v>6382180.5916917883</v>
      </c>
      <c r="Q54" s="18">
        <f t="shared" si="5"/>
        <v>10054407.646543706</v>
      </c>
      <c r="R54" s="18">
        <f t="shared" si="6"/>
        <v>833130.49419654347</v>
      </c>
      <c r="S54" s="270">
        <f t="shared" si="7"/>
        <v>9.0348709883910208E-2</v>
      </c>
    </row>
    <row r="55" spans="1:22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Data'!J55</f>
        <v>9417230.9671708588</v>
      </c>
      <c r="E55" s="269">
        <f>'Monthly Data'!BD55</f>
        <v>21.925000000000018</v>
      </c>
      <c r="F55" s="269">
        <f>'Monthly Data'!BG55</f>
        <v>118.81666666666663</v>
      </c>
      <c r="G55" s="4">
        <f>'Monthly Data'!CG55</f>
        <v>0</v>
      </c>
      <c r="H55" s="4">
        <f>'Monthly Data'!CD55</f>
        <v>30</v>
      </c>
      <c r="I55" s="18">
        <f>'Monthly Data'!K55</f>
        <v>4194</v>
      </c>
      <c r="K55" s="18">
        <f>'GS&lt;50 Predicted Monthly'!$V$8</f>
        <v>-5601916.4558281703</v>
      </c>
      <c r="L55" s="18">
        <f>E55*'GS&lt;50 Predicted Monthly'!$V$9</f>
        <v>118452.68871648249</v>
      </c>
      <c r="M55" s="18">
        <f>F55*'GS&lt;50 Predicted Monthly'!$V$10</f>
        <v>1499826.7250010741</v>
      </c>
      <c r="N55" s="18">
        <f>G55*'GS&lt;50 Predicted Monthly'!$V$11</f>
        <v>0</v>
      </c>
      <c r="O55" s="18">
        <f>H55*'GS&lt;50 Predicted Monthly'!$V$12</f>
        <v>8075038.79031807</v>
      </c>
      <c r="P55" s="18">
        <f>I55*'GS&lt;50 Predicted Monthly'!$V$13</f>
        <v>6379138.5609045187</v>
      </c>
      <c r="Q55" s="18">
        <f t="shared" si="5"/>
        <v>10470540.309111975</v>
      </c>
      <c r="R55" s="18">
        <f t="shared" si="6"/>
        <v>1053309.3419411164</v>
      </c>
      <c r="S55" s="270">
        <f t="shared" si="7"/>
        <v>0.11184915668024159</v>
      </c>
    </row>
    <row r="56" spans="1:22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Data'!J56</f>
        <v>11222943.646553386</v>
      </c>
      <c r="E56" s="269">
        <f>'Monthly Data'!BD56</f>
        <v>0</v>
      </c>
      <c r="F56" s="269">
        <f>'Monthly Data'!BG56</f>
        <v>259.60000000000008</v>
      </c>
      <c r="G56" s="4">
        <f>'Monthly Data'!CG56</f>
        <v>0</v>
      </c>
      <c r="H56" s="4">
        <f>'Monthly Data'!CD56</f>
        <v>31</v>
      </c>
      <c r="I56" s="18">
        <f>'Monthly Data'!K56</f>
        <v>4188</v>
      </c>
      <c r="K56" s="18">
        <f>'GS&lt;50 Predicted Monthly'!$V$8</f>
        <v>-5601916.4558281703</v>
      </c>
      <c r="L56" s="18">
        <f>E56*'GS&lt;50 Predicted Monthly'!$V$9</f>
        <v>0</v>
      </c>
      <c r="M56" s="18">
        <f>F56*'GS&lt;50 Predicted Monthly'!$V$10</f>
        <v>3276939.4120657519</v>
      </c>
      <c r="N56" s="18">
        <f>G56*'GS&lt;50 Predicted Monthly'!$V$11</f>
        <v>0</v>
      </c>
      <c r="O56" s="18">
        <f>H56*'GS&lt;50 Predicted Monthly'!$V$12</f>
        <v>8344206.7499953387</v>
      </c>
      <c r="P56" s="18">
        <f>I56*'GS&lt;50 Predicted Monthly'!$V$13</f>
        <v>6370012.4685427099</v>
      </c>
      <c r="Q56" s="18">
        <f t="shared" si="5"/>
        <v>12389242.17477563</v>
      </c>
      <c r="R56" s="18">
        <f t="shared" si="6"/>
        <v>1166298.5282222442</v>
      </c>
      <c r="S56" s="270">
        <f t="shared" si="7"/>
        <v>0.1039209110330354</v>
      </c>
    </row>
    <row r="57" spans="1:22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Data'!J57</f>
        <v>10444170.994703799</v>
      </c>
      <c r="E57" s="269">
        <f>'Monthly Data'!BD57</f>
        <v>0</v>
      </c>
      <c r="F57" s="269">
        <f>'Monthly Data'!BG57</f>
        <v>190.07083333333335</v>
      </c>
      <c r="G57" s="4">
        <f>'Monthly Data'!CG57</f>
        <v>0</v>
      </c>
      <c r="H57" s="4">
        <f>'Monthly Data'!CD57</f>
        <v>31</v>
      </c>
      <c r="I57" s="18">
        <f>'Monthly Data'!K57</f>
        <v>4187</v>
      </c>
      <c r="K57" s="18">
        <f>'GS&lt;50 Predicted Monthly'!$V$8</f>
        <v>-5601916.4558281703</v>
      </c>
      <c r="L57" s="18">
        <f>E57*'GS&lt;50 Predicted Monthly'!$V$9</f>
        <v>0</v>
      </c>
      <c r="M57" s="18">
        <f>F57*'GS&lt;50 Predicted Monthly'!$V$10</f>
        <v>2399270.4346463047</v>
      </c>
      <c r="N57" s="18">
        <f>G57*'GS&lt;50 Predicted Monthly'!$V$11</f>
        <v>0</v>
      </c>
      <c r="O57" s="18">
        <f>H57*'GS&lt;50 Predicted Monthly'!$V$12</f>
        <v>8344206.7499953387</v>
      </c>
      <c r="P57" s="18">
        <f>I57*'GS&lt;50 Predicted Monthly'!$V$13</f>
        <v>6368491.4531490747</v>
      </c>
      <c r="Q57" s="18">
        <f t="shared" si="5"/>
        <v>11510052.181962548</v>
      </c>
      <c r="R57" s="18">
        <f t="shared" si="6"/>
        <v>1065881.1872587483</v>
      </c>
      <c r="S57" s="270">
        <f t="shared" si="7"/>
        <v>0.10205512604104747</v>
      </c>
    </row>
    <row r="58" spans="1:22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Data'!J58</f>
        <v>9115439.8190174215</v>
      </c>
      <c r="E58" s="269">
        <f>'Monthly Data'!BD58</f>
        <v>21.004166666666656</v>
      </c>
      <c r="F58" s="269">
        <f>'Monthly Data'!BG58</f>
        <v>76.5</v>
      </c>
      <c r="G58" s="4">
        <f>'Monthly Data'!CG58</f>
        <v>0</v>
      </c>
      <c r="H58" s="4">
        <f>'Monthly Data'!CD58</f>
        <v>30</v>
      </c>
      <c r="I58" s="18">
        <f>'Monthly Data'!K58</f>
        <v>4186</v>
      </c>
      <c r="K58" s="18">
        <f>'GS&lt;50 Predicted Monthly'!$V$8</f>
        <v>-5601916.4558281703</v>
      </c>
      <c r="L58" s="18">
        <f>E58*'GS&lt;50 Predicted Monthly'!$V$9</f>
        <v>113477.76583424314</v>
      </c>
      <c r="M58" s="18">
        <f>F58*'GS&lt;50 Predicted Monthly'!$V$10</f>
        <v>965662.03783909837</v>
      </c>
      <c r="N58" s="18">
        <f>G58*'GS&lt;50 Predicted Monthly'!$V$11</f>
        <v>0</v>
      </c>
      <c r="O58" s="18">
        <f>H58*'GS&lt;50 Predicted Monthly'!$V$12</f>
        <v>8075038.79031807</v>
      </c>
      <c r="P58" s="18">
        <f>I58*'GS&lt;50 Predicted Monthly'!$V$13</f>
        <v>6366970.4377554404</v>
      </c>
      <c r="Q58" s="18">
        <f t="shared" si="5"/>
        <v>9919232.5759186819</v>
      </c>
      <c r="R58" s="18">
        <f t="shared" si="6"/>
        <v>803792.75690126047</v>
      </c>
      <c r="S58" s="270">
        <f t="shared" si="7"/>
        <v>8.8179262093784905E-2</v>
      </c>
    </row>
    <row r="59" spans="1:22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Data'!J59</f>
        <v>9056576.7105109673</v>
      </c>
      <c r="E59" s="269">
        <f>'Monthly Data'!BD59</f>
        <v>183.7791666666667</v>
      </c>
      <c r="F59" s="269">
        <f>'Monthly Data'!BG59</f>
        <v>7.3333333333333357</v>
      </c>
      <c r="G59" s="4">
        <f>'Monthly Data'!CG59</f>
        <v>0</v>
      </c>
      <c r="H59" s="4">
        <f>'Monthly Data'!CD59</f>
        <v>31</v>
      </c>
      <c r="I59" s="18">
        <f>'Monthly Data'!K59</f>
        <v>4187</v>
      </c>
      <c r="K59" s="18">
        <f>'GS&lt;50 Predicted Monthly'!$V$8</f>
        <v>-5601916.4558281703</v>
      </c>
      <c r="L59" s="18">
        <f>E59*'GS&lt;50 Predicted Monthly'!$V$9</f>
        <v>992891.05686390912</v>
      </c>
      <c r="M59" s="18">
        <f>F59*'GS&lt;50 Predicted Monthly'!$V$10</f>
        <v>92568.909945360225</v>
      </c>
      <c r="N59" s="18">
        <f>G59*'GS&lt;50 Predicted Monthly'!$V$11</f>
        <v>0</v>
      </c>
      <c r="O59" s="18">
        <f>H59*'GS&lt;50 Predicted Monthly'!$V$12</f>
        <v>8344206.7499953387</v>
      </c>
      <c r="P59" s="18">
        <f>I59*'GS&lt;50 Predicted Monthly'!$V$13</f>
        <v>6368491.4531490747</v>
      </c>
      <c r="Q59" s="18">
        <f t="shared" si="5"/>
        <v>10196241.714125512</v>
      </c>
      <c r="R59" s="18">
        <f t="shared" si="6"/>
        <v>1139665.0036145449</v>
      </c>
      <c r="S59" s="270">
        <f t="shared" si="7"/>
        <v>0.12583838684785409</v>
      </c>
    </row>
    <row r="60" spans="1:22" x14ac:dyDescent="0.25">
      <c r="A60" s="3">
        <f>'Monthly Data'!A60</f>
        <v>43770</v>
      </c>
      <c r="B60" s="1">
        <f t="shared" ref="B60:B115" si="8">YEAR(A60)</f>
        <v>2019</v>
      </c>
      <c r="C60" s="1">
        <f t="shared" ref="C60:C115" si="9">MONTH(A60)</f>
        <v>11</v>
      </c>
      <c r="D60" s="24">
        <f>'Monthly Data'!J60</f>
        <v>10350429.699744491</v>
      </c>
      <c r="E60" s="269">
        <f>'Monthly Data'!BD60</f>
        <v>469.72499999999997</v>
      </c>
      <c r="F60" s="269">
        <f>'Monthly Data'!BG60</f>
        <v>0</v>
      </c>
      <c r="G60" s="4">
        <f>'Monthly Data'!CG60</f>
        <v>0</v>
      </c>
      <c r="H60" s="4">
        <f>'Monthly Data'!CD60</f>
        <v>30</v>
      </c>
      <c r="I60" s="18">
        <f>'Monthly Data'!K60</f>
        <v>4184</v>
      </c>
      <c r="K60" s="18">
        <f>'GS&lt;50 Predicted Monthly'!$V$8</f>
        <v>-5601916.4558281703</v>
      </c>
      <c r="L60" s="18">
        <f>E60*'GS&lt;50 Predicted Monthly'!$V$9</f>
        <v>2537750.9330604188</v>
      </c>
      <c r="M60" s="18">
        <f>F60*'GS&lt;50 Predicted Monthly'!$V$10</f>
        <v>0</v>
      </c>
      <c r="N60" s="18">
        <f>G60*'GS&lt;50 Predicted Monthly'!$V$11</f>
        <v>0</v>
      </c>
      <c r="O60" s="18">
        <f>H60*'GS&lt;50 Predicted Monthly'!$V$12</f>
        <v>8075038.79031807</v>
      </c>
      <c r="P60" s="18">
        <f>I60*'GS&lt;50 Predicted Monthly'!$V$13</f>
        <v>6363928.4069681698</v>
      </c>
      <c r="Q60" s="18">
        <f t="shared" si="5"/>
        <v>11374801.674518488</v>
      </c>
      <c r="R60" s="18">
        <f t="shared" si="6"/>
        <v>1024371.9747739974</v>
      </c>
      <c r="S60" s="270">
        <f t="shared" si="7"/>
        <v>9.8969028773683174E-2</v>
      </c>
    </row>
    <row r="61" spans="1:22" x14ac:dyDescent="0.25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Data'!J61</f>
        <v>11008452.135093993</v>
      </c>
      <c r="E61" s="269">
        <f>'Monthly Data'!BD61</f>
        <v>552.42916666666667</v>
      </c>
      <c r="F61" s="269">
        <f>'Monthly Data'!BG61</f>
        <v>0</v>
      </c>
      <c r="G61" s="4">
        <f>'Monthly Data'!CG61</f>
        <v>0</v>
      </c>
      <c r="H61" s="4">
        <f>'Monthly Data'!CD61</f>
        <v>31</v>
      </c>
      <c r="I61" s="18">
        <f>'Monthly Data'!K61</f>
        <v>4187</v>
      </c>
      <c r="K61" s="18">
        <f>'GS&lt;50 Predicted Monthly'!$V$8</f>
        <v>-5601916.4558281703</v>
      </c>
      <c r="L61" s="18">
        <f>E61*'GS&lt;50 Predicted Monthly'!$V$9</f>
        <v>2984571.042967956</v>
      </c>
      <c r="M61" s="18">
        <f>F61*'GS&lt;50 Predicted Monthly'!$V$10</f>
        <v>0</v>
      </c>
      <c r="N61" s="18">
        <f>G61*'GS&lt;50 Predicted Monthly'!$V$11</f>
        <v>0</v>
      </c>
      <c r="O61" s="18">
        <f>H61*'GS&lt;50 Predicted Monthly'!$V$12</f>
        <v>8344206.7499953387</v>
      </c>
      <c r="P61" s="18">
        <f>I61*'GS&lt;50 Predicted Monthly'!$V$13</f>
        <v>6368491.4531490747</v>
      </c>
      <c r="Q61" s="18">
        <f t="shared" si="5"/>
        <v>12095352.7902842</v>
      </c>
      <c r="R61" s="18">
        <f t="shared" si="6"/>
        <v>1086900.6551902071</v>
      </c>
      <c r="S61" s="270">
        <f t="shared" si="7"/>
        <v>9.8733286192457692E-2</v>
      </c>
    </row>
    <row r="62" spans="1:22" x14ac:dyDescent="0.25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Data'!J62</f>
        <v>12171705.298896791</v>
      </c>
      <c r="E62" s="269">
        <f>'Monthly Data'!BD62</f>
        <v>566.82083333333333</v>
      </c>
      <c r="F62" s="269">
        <f>'Monthly Data'!BG62</f>
        <v>0</v>
      </c>
      <c r="G62" s="4">
        <f>'Monthly Data'!CG62</f>
        <v>0</v>
      </c>
      <c r="H62" s="4">
        <f>'Monthly Data'!CD62</f>
        <v>31</v>
      </c>
      <c r="I62" s="18">
        <f>'Monthly Data'!K62</f>
        <v>4193</v>
      </c>
      <c r="K62" s="18">
        <f>'GS&lt;50 Predicted Monthly'!$V$8</f>
        <v>-5601916.4558281703</v>
      </c>
      <c r="L62" s="18">
        <f>E62*'GS&lt;50 Predicted Monthly'!$V$9</f>
        <v>3062323.910095803</v>
      </c>
      <c r="M62" s="18">
        <f>F62*'GS&lt;50 Predicted Monthly'!$V$10</f>
        <v>0</v>
      </c>
      <c r="N62" s="18">
        <f>G62*'GS&lt;50 Predicted Monthly'!$V$11</f>
        <v>0</v>
      </c>
      <c r="O62" s="18">
        <f>H62*'GS&lt;50 Predicted Monthly'!$V$12</f>
        <v>8344206.7499953387</v>
      </c>
      <c r="P62" s="18">
        <f>I62*'GS&lt;50 Predicted Monthly'!$V$13</f>
        <v>6377617.5455108834</v>
      </c>
      <c r="Q62" s="18">
        <f t="shared" si="5"/>
        <v>12182231.749773856</v>
      </c>
      <c r="R62" s="18">
        <f t="shared" si="6"/>
        <v>10526.450877064839</v>
      </c>
      <c r="S62" s="270">
        <f t="shared" si="7"/>
        <v>8.6482958784903595E-4</v>
      </c>
    </row>
    <row r="63" spans="1:22" x14ac:dyDescent="0.25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Data'!J63</f>
        <v>11320017.388098987</v>
      </c>
      <c r="E63" s="269">
        <f>'Monthly Data'!BD63</f>
        <v>562.4</v>
      </c>
      <c r="F63" s="269">
        <f>'Monthly Data'!BG63</f>
        <v>0</v>
      </c>
      <c r="G63" s="4">
        <f>'Monthly Data'!CG63</f>
        <v>0</v>
      </c>
      <c r="H63" s="4">
        <f>'Monthly Data'!CD63</f>
        <v>29</v>
      </c>
      <c r="I63" s="18">
        <f>'Monthly Data'!K63</f>
        <v>4199</v>
      </c>
      <c r="K63" s="18">
        <f>'GS&lt;50 Predicted Monthly'!$V$8</f>
        <v>-5601916.4558281703</v>
      </c>
      <c r="L63" s="18">
        <f>E63*'GS&lt;50 Predicted Monthly'!$V$9</f>
        <v>3038439.7780684009</v>
      </c>
      <c r="M63" s="18">
        <f>F63*'GS&lt;50 Predicted Monthly'!$V$10</f>
        <v>0</v>
      </c>
      <c r="N63" s="18">
        <f>G63*'GS&lt;50 Predicted Monthly'!$V$11</f>
        <v>0</v>
      </c>
      <c r="O63" s="18">
        <f>H63*'GS&lt;50 Predicted Monthly'!$V$12</f>
        <v>7805870.8306408003</v>
      </c>
      <c r="P63" s="18">
        <f>I63*'GS&lt;50 Predicted Monthly'!$V$13</f>
        <v>6386743.6378726931</v>
      </c>
      <c r="Q63" s="18">
        <f t="shared" si="5"/>
        <v>11629137.790753724</v>
      </c>
      <c r="R63" s="18">
        <f t="shared" si="6"/>
        <v>309120.40265473723</v>
      </c>
      <c r="S63" s="270">
        <f t="shared" si="7"/>
        <v>2.7307414119321329E-2</v>
      </c>
    </row>
    <row r="64" spans="1:22" x14ac:dyDescent="0.25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Data'!J64</f>
        <v>10567020.275292698</v>
      </c>
      <c r="E64" s="269">
        <f>'Monthly Data'!BD64</f>
        <v>419.57083333333344</v>
      </c>
      <c r="F64" s="269">
        <f>'Monthly Data'!BG64</f>
        <v>0</v>
      </c>
      <c r="G64" s="4">
        <f>'Monthly Data'!CG64</f>
        <v>0.5</v>
      </c>
      <c r="H64" s="4">
        <f>'Monthly Data'!CD64</f>
        <v>31</v>
      </c>
      <c r="I64" s="18">
        <f>'Monthly Data'!K64</f>
        <v>4202</v>
      </c>
      <c r="K64" s="18">
        <f>'GS&lt;50 Predicted Monthly'!$V$8</f>
        <v>-5601916.4558281703</v>
      </c>
      <c r="L64" s="18">
        <f>E64*'GS&lt;50 Predicted Monthly'!$V$9</f>
        <v>2266786.4682028946</v>
      </c>
      <c r="M64" s="18">
        <f>F64*'GS&lt;50 Predicted Monthly'!$V$10</f>
        <v>0</v>
      </c>
      <c r="N64" s="18">
        <f>G64*'GS&lt;50 Predicted Monthly'!$V$11</f>
        <v>-781889.76208335499</v>
      </c>
      <c r="O64" s="18">
        <f>H64*'GS&lt;50 Predicted Monthly'!$V$12</f>
        <v>8344206.7499953387</v>
      </c>
      <c r="P64" s="18">
        <f>I64*'GS&lt;50 Predicted Monthly'!$V$13</f>
        <v>6391306.684053597</v>
      </c>
      <c r="Q64" s="18">
        <f t="shared" si="5"/>
        <v>10618493.684340306</v>
      </c>
      <c r="R64" s="18">
        <f t="shared" si="6"/>
        <v>51473.409047607332</v>
      </c>
      <c r="S64" s="270">
        <f t="shared" si="7"/>
        <v>4.8711375304124286E-3</v>
      </c>
      <c r="U64" s="18"/>
      <c r="V64" s="270"/>
    </row>
    <row r="65" spans="1:26" x14ac:dyDescent="0.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Data'!J65</f>
        <v>8512616.9184663724</v>
      </c>
      <c r="E65" s="269">
        <f>'Monthly Data'!BD65</f>
        <v>319.67500000000007</v>
      </c>
      <c r="F65" s="269">
        <f>'Monthly Data'!BG65</f>
        <v>0</v>
      </c>
      <c r="G65" s="4">
        <f>'Monthly Data'!CG65</f>
        <v>1</v>
      </c>
      <c r="H65" s="4">
        <f>'Monthly Data'!CD65</f>
        <v>30</v>
      </c>
      <c r="I65" s="18">
        <f>'Monthly Data'!K65</f>
        <v>4201</v>
      </c>
      <c r="K65" s="18">
        <f>'GS&lt;50 Predicted Monthly'!$V$8</f>
        <v>-5601916.4558281703</v>
      </c>
      <c r="L65" s="18">
        <f>E65*'GS&lt;50 Predicted Monthly'!$V$9</f>
        <v>1727086.1238513805</v>
      </c>
      <c r="M65" s="18">
        <f>F65*'GS&lt;50 Predicted Monthly'!$V$10</f>
        <v>0</v>
      </c>
      <c r="N65" s="18">
        <f>G65*'GS&lt;50 Predicted Monthly'!$V$11</f>
        <v>-1563779.52416671</v>
      </c>
      <c r="O65" s="18">
        <f>H65*'GS&lt;50 Predicted Monthly'!$V$12</f>
        <v>8075038.79031807</v>
      </c>
      <c r="P65" s="18">
        <f>I65*'GS&lt;50 Predicted Monthly'!$V$13</f>
        <v>6389785.6686599627</v>
      </c>
      <c r="Q65" s="18">
        <f t="shared" si="5"/>
        <v>9026214.6028345339</v>
      </c>
      <c r="R65" s="18">
        <f t="shared" si="6"/>
        <v>513597.68436816148</v>
      </c>
      <c r="S65" s="270">
        <f t="shared" si="7"/>
        <v>6.0333701056606563E-2</v>
      </c>
      <c r="U65" s="18"/>
      <c r="V65" s="270"/>
    </row>
    <row r="66" spans="1:26" x14ac:dyDescent="0.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Data'!J66</f>
        <v>8422331.1027372573</v>
      </c>
      <c r="E66" s="269">
        <f>'Monthly Data'!BD66</f>
        <v>164.60000000000005</v>
      </c>
      <c r="F66" s="269">
        <f>'Monthly Data'!BG66</f>
        <v>50.900595238095221</v>
      </c>
      <c r="G66" s="4">
        <f>'Monthly Data'!CG66</f>
        <v>1</v>
      </c>
      <c r="H66" s="4">
        <f>'Monthly Data'!CD66</f>
        <v>31</v>
      </c>
      <c r="I66" s="18">
        <f>'Monthly Data'!K66</f>
        <v>4201</v>
      </c>
      <c r="K66" s="18">
        <f>'GS&lt;50 Predicted Monthly'!$V$8</f>
        <v>-5601916.4558281703</v>
      </c>
      <c r="L66" s="18">
        <f>E66*'GS&lt;50 Predicted Monthly'!$V$9</f>
        <v>889273.09294107219</v>
      </c>
      <c r="M66" s="18">
        <f>F66*'GS&lt;50 Predicted Monthly'!$V$10</f>
        <v>642519.90228551812</v>
      </c>
      <c r="N66" s="18">
        <f>G66*'GS&lt;50 Predicted Monthly'!$V$11</f>
        <v>-1563779.52416671</v>
      </c>
      <c r="O66" s="18">
        <f>H66*'GS&lt;50 Predicted Monthly'!$V$12</f>
        <v>8344206.7499953387</v>
      </c>
      <c r="P66" s="18">
        <f>I66*'GS&lt;50 Predicted Monthly'!$V$13</f>
        <v>6389785.6686599627</v>
      </c>
      <c r="Q66" s="18">
        <f t="shared" ref="Q66:Q97" si="10">SUM(K66:P66)</f>
        <v>9100089.4338870123</v>
      </c>
      <c r="R66" s="18">
        <f t="shared" ref="R66:R97" si="11">Q66-D66</f>
        <v>677758.33114975505</v>
      </c>
      <c r="S66" s="270">
        <f t="shared" ref="S66:S97" si="12">ABS(R66/D66)</f>
        <v>8.0471584752763239E-2</v>
      </c>
      <c r="U66" s="18"/>
      <c r="V66" s="270"/>
    </row>
    <row r="67" spans="1:26" x14ac:dyDescent="0.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Data'!J67</f>
        <v>9420600.9622815214</v>
      </c>
      <c r="E67" s="269">
        <f>'Monthly Data'!BD67</f>
        <v>13.145833333333346</v>
      </c>
      <c r="F67" s="269">
        <f>'Monthly Data'!BG67</f>
        <v>165.96956521739128</v>
      </c>
      <c r="G67" s="4">
        <f>'Monthly Data'!CG67</f>
        <v>0.5</v>
      </c>
      <c r="H67" s="4">
        <f>'Monthly Data'!CD67</f>
        <v>30</v>
      </c>
      <c r="I67" s="18">
        <f>'Monthly Data'!K67</f>
        <v>4205</v>
      </c>
      <c r="K67" s="18">
        <f>'GS&lt;50 Predicted Monthly'!$V$8</f>
        <v>-5601916.4558281703</v>
      </c>
      <c r="L67" s="18">
        <f>E67*'GS&lt;50 Predicted Monthly'!$V$9</f>
        <v>71022.089110699788</v>
      </c>
      <c r="M67" s="18">
        <f>F67*'GS&lt;50 Predicted Monthly'!$V$10</f>
        <v>2095039.3276744471</v>
      </c>
      <c r="N67" s="18">
        <f>G67*'GS&lt;50 Predicted Monthly'!$V$11</f>
        <v>-781889.76208335499</v>
      </c>
      <c r="O67" s="18">
        <f>H67*'GS&lt;50 Predicted Monthly'!$V$12</f>
        <v>8075038.79031807</v>
      </c>
      <c r="P67" s="18">
        <f>I67*'GS&lt;50 Predicted Monthly'!$V$13</f>
        <v>6395869.7302345019</v>
      </c>
      <c r="Q67" s="18">
        <f t="shared" si="10"/>
        <v>10253163.719426192</v>
      </c>
      <c r="R67" s="18">
        <f t="shared" si="11"/>
        <v>832562.75714467093</v>
      </c>
      <c r="S67" s="270">
        <f t="shared" si="12"/>
        <v>8.8376820170826695E-2</v>
      </c>
      <c r="U67" s="18"/>
      <c r="V67" s="270"/>
    </row>
    <row r="68" spans="1:26" x14ac:dyDescent="0.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Data'!J68</f>
        <v>11675848.915550508</v>
      </c>
      <c r="E68" s="269">
        <f>'Monthly Data'!BD68</f>
        <v>0</v>
      </c>
      <c r="F68" s="269">
        <f>'Monthly Data'!BG68</f>
        <v>308.88750000000005</v>
      </c>
      <c r="G68" s="4">
        <f>'Monthly Data'!CG68</f>
        <v>0.5</v>
      </c>
      <c r="H68" s="4">
        <f>'Monthly Data'!CD68</f>
        <v>31</v>
      </c>
      <c r="I68" s="18">
        <f>'Monthly Data'!K68</f>
        <v>4208</v>
      </c>
      <c r="K68" s="18">
        <f>'GS&lt;50 Predicted Monthly'!$V$8</f>
        <v>-5601916.4558281703</v>
      </c>
      <c r="L68" s="18">
        <f>E68*'GS&lt;50 Predicted Monthly'!$V$9</f>
        <v>0</v>
      </c>
      <c r="M68" s="18">
        <f>F68*'GS&lt;50 Predicted Monthly'!$V$10</f>
        <v>3899097.15964738</v>
      </c>
      <c r="N68" s="18">
        <f>G68*'GS&lt;50 Predicted Monthly'!$V$11</f>
        <v>-781889.76208335499</v>
      </c>
      <c r="O68" s="18">
        <f>H68*'GS&lt;50 Predicted Monthly'!$V$12</f>
        <v>8344206.7499953387</v>
      </c>
      <c r="P68" s="18">
        <f>I68*'GS&lt;50 Predicted Monthly'!$V$13</f>
        <v>6400432.7764154067</v>
      </c>
      <c r="Q68" s="18">
        <f t="shared" si="10"/>
        <v>12259930.4681466</v>
      </c>
      <c r="R68" s="18">
        <f t="shared" si="11"/>
        <v>584081.55259609222</v>
      </c>
      <c r="S68" s="270">
        <f t="shared" si="12"/>
        <v>5.0024761096230171E-2</v>
      </c>
      <c r="U68" s="18"/>
      <c r="V68" s="270"/>
    </row>
    <row r="69" spans="1:26" x14ac:dyDescent="0.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Data'!J69</f>
        <v>10788969.833497668</v>
      </c>
      <c r="E69" s="269">
        <f>'Monthly Data'!BD69</f>
        <v>0</v>
      </c>
      <c r="F69" s="269">
        <f>'Monthly Data'!BG69</f>
        <v>216.93106060606064</v>
      </c>
      <c r="G69" s="4">
        <f>'Monthly Data'!CG69</f>
        <v>0.5</v>
      </c>
      <c r="H69" s="4">
        <f>'Monthly Data'!CD69</f>
        <v>31</v>
      </c>
      <c r="I69" s="18">
        <f>'Monthly Data'!K69</f>
        <v>4205</v>
      </c>
      <c r="K69" s="18">
        <f>'GS&lt;50 Predicted Monthly'!$V$8</f>
        <v>-5601916.4558281703</v>
      </c>
      <c r="L69" s="18">
        <f>E69*'GS&lt;50 Predicted Monthly'!$V$9</f>
        <v>0</v>
      </c>
      <c r="M69" s="18">
        <f>F69*'GS&lt;50 Predicted Monthly'!$V$10</f>
        <v>2738327.9745809869</v>
      </c>
      <c r="N69" s="18">
        <f>G69*'GS&lt;50 Predicted Monthly'!$V$11</f>
        <v>-781889.76208335499</v>
      </c>
      <c r="O69" s="18">
        <f>H69*'GS&lt;50 Predicted Monthly'!$V$12</f>
        <v>8344206.7499953387</v>
      </c>
      <c r="P69" s="18">
        <f>I69*'GS&lt;50 Predicted Monthly'!$V$13</f>
        <v>6395869.7302345019</v>
      </c>
      <c r="Q69" s="18">
        <f t="shared" si="10"/>
        <v>11094598.236899301</v>
      </c>
      <c r="R69" s="18">
        <f t="shared" si="11"/>
        <v>305628.40340163372</v>
      </c>
      <c r="S69" s="270">
        <f t="shared" si="12"/>
        <v>2.8327857813886602E-2</v>
      </c>
      <c r="U69" s="18"/>
      <c r="V69" s="270"/>
    </row>
    <row r="70" spans="1:26" x14ac:dyDescent="0.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Data'!J70</f>
        <v>9145054.428370472</v>
      </c>
      <c r="E70" s="269">
        <f>'Monthly Data'!BD70</f>
        <v>46.033695652173925</v>
      </c>
      <c r="F70" s="269">
        <f>'Monthly Data'!BG70</f>
        <v>75.812499999999972</v>
      </c>
      <c r="G70" s="4">
        <f>'Monthly Data'!CG70</f>
        <v>0.5</v>
      </c>
      <c r="H70" s="4">
        <f>'Monthly Data'!CD70</f>
        <v>30</v>
      </c>
      <c r="I70" s="18">
        <f>'Monthly Data'!K70</f>
        <v>4229</v>
      </c>
      <c r="K70" s="18">
        <f>'GS&lt;50 Predicted Monthly'!$V$8</f>
        <v>-5601916.4558281703</v>
      </c>
      <c r="L70" s="18">
        <f>E70*'GS&lt;50 Predicted Monthly'!$V$9</f>
        <v>248703.07966049016</v>
      </c>
      <c r="M70" s="18">
        <f>F70*'GS&lt;50 Predicted Monthly'!$V$10</f>
        <v>956983.70253172051</v>
      </c>
      <c r="N70" s="18">
        <f>G70*'GS&lt;50 Predicted Monthly'!$V$11</f>
        <v>-781889.76208335499</v>
      </c>
      <c r="O70" s="18">
        <f>H70*'GS&lt;50 Predicted Monthly'!$V$12</f>
        <v>8075038.79031807</v>
      </c>
      <c r="P70" s="18">
        <f>I70*'GS&lt;50 Predicted Monthly'!$V$13</f>
        <v>6432374.0996817378</v>
      </c>
      <c r="Q70" s="18">
        <f t="shared" si="10"/>
        <v>9329293.4542804919</v>
      </c>
      <c r="R70" s="18">
        <f t="shared" si="11"/>
        <v>184239.02591001987</v>
      </c>
      <c r="S70" s="270">
        <f t="shared" si="12"/>
        <v>2.0146301736429232E-2</v>
      </c>
      <c r="U70" s="18"/>
      <c r="V70" s="270"/>
    </row>
    <row r="71" spans="1:26" x14ac:dyDescent="0.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Data'!J71</f>
        <v>9117151.9850432202</v>
      </c>
      <c r="E71" s="269">
        <f>'Monthly Data'!BD71</f>
        <v>226.0625</v>
      </c>
      <c r="F71" s="269">
        <f>'Monthly Data'!BG71</f>
        <v>3.9291666666666654</v>
      </c>
      <c r="G71" s="4">
        <f>'Monthly Data'!CG71</f>
        <v>0.5</v>
      </c>
      <c r="H71" s="4">
        <f>'Monthly Data'!CD71</f>
        <v>31</v>
      </c>
      <c r="I71" s="18">
        <f>'Monthly Data'!K71</f>
        <v>4208</v>
      </c>
      <c r="K71" s="18">
        <f>'GS&lt;50 Predicted Monthly'!$V$8</f>
        <v>-5601916.4558281703</v>
      </c>
      <c r="L71" s="18">
        <f>E71*'GS&lt;50 Predicted Monthly'!$V$9</f>
        <v>1221332.3121080867</v>
      </c>
      <c r="M71" s="18">
        <f>F71*'GS&lt;50 Predicted Monthly'!$V$10</f>
        <v>49598.001180951498</v>
      </c>
      <c r="N71" s="18">
        <f>G71*'GS&lt;50 Predicted Monthly'!$V$11</f>
        <v>-781889.76208335499</v>
      </c>
      <c r="O71" s="18">
        <f>H71*'GS&lt;50 Predicted Monthly'!$V$12</f>
        <v>8344206.7499953387</v>
      </c>
      <c r="P71" s="18">
        <f>I71*'GS&lt;50 Predicted Monthly'!$V$13</f>
        <v>6400432.7764154067</v>
      </c>
      <c r="Q71" s="18">
        <f t="shared" si="10"/>
        <v>9631763.6217882577</v>
      </c>
      <c r="R71" s="18">
        <f t="shared" si="11"/>
        <v>514611.63674503751</v>
      </c>
      <c r="S71" s="270">
        <f t="shared" si="12"/>
        <v>5.6444341126402529E-2</v>
      </c>
      <c r="U71" s="18"/>
      <c r="V71" s="270"/>
    </row>
    <row r="72" spans="1:26" x14ac:dyDescent="0.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Data'!J72</f>
        <v>9609320.7237130906</v>
      </c>
      <c r="E72" s="269">
        <f>'Monthly Data'!BD72</f>
        <v>306.30072463768124</v>
      </c>
      <c r="F72" s="269">
        <f>'Monthly Data'!BG72</f>
        <v>0</v>
      </c>
      <c r="G72" s="4">
        <f>'Monthly Data'!CG72</f>
        <v>0.5</v>
      </c>
      <c r="H72" s="4">
        <f>'Monthly Data'!CD72</f>
        <v>30</v>
      </c>
      <c r="I72" s="18">
        <f>'Monthly Data'!K72</f>
        <v>4241</v>
      </c>
      <c r="K72" s="18">
        <f>'GS&lt;50 Predicted Monthly'!$V$8</f>
        <v>-5601916.4558281703</v>
      </c>
      <c r="L72" s="18">
        <f>E72*'GS&lt;50 Predicted Monthly'!$V$9</f>
        <v>1654829.8467110717</v>
      </c>
      <c r="M72" s="18">
        <f>F72*'GS&lt;50 Predicted Monthly'!$V$10</f>
        <v>0</v>
      </c>
      <c r="N72" s="18">
        <f>G72*'GS&lt;50 Predicted Monthly'!$V$11</f>
        <v>-781889.76208335499</v>
      </c>
      <c r="O72" s="18">
        <f>H72*'GS&lt;50 Predicted Monthly'!$V$12</f>
        <v>8075038.79031807</v>
      </c>
      <c r="P72" s="18">
        <f>I72*'GS&lt;50 Predicted Monthly'!$V$13</f>
        <v>6450626.2844053563</v>
      </c>
      <c r="Q72" s="18">
        <f t="shared" si="10"/>
        <v>9796688.7035229728</v>
      </c>
      <c r="R72" s="18">
        <f t="shared" si="11"/>
        <v>187367.97980988212</v>
      </c>
      <c r="S72" s="270">
        <f t="shared" si="12"/>
        <v>1.94985665685516E-2</v>
      </c>
      <c r="U72" s="18"/>
      <c r="V72" s="270"/>
    </row>
    <row r="73" spans="1:26" x14ac:dyDescent="0.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Data'!J73</f>
        <v>10889770.675347887</v>
      </c>
      <c r="E73" s="269">
        <f>'Monthly Data'!BD73</f>
        <v>520.90416666666681</v>
      </c>
      <c r="F73" s="269">
        <f>'Monthly Data'!BG73</f>
        <v>0</v>
      </c>
      <c r="G73" s="4">
        <f>'Monthly Data'!CG73</f>
        <v>0.5</v>
      </c>
      <c r="H73" s="4">
        <f>'Monthly Data'!CD73</f>
        <v>31</v>
      </c>
      <c r="I73" s="18">
        <f>'Monthly Data'!K73</f>
        <v>4248</v>
      </c>
      <c r="K73" s="18">
        <f>'GS&lt;50 Predicted Monthly'!$V$8</f>
        <v>-5601916.4558281703</v>
      </c>
      <c r="L73" s="18">
        <f>E73*'GS&lt;50 Predicted Monthly'!$V$9</f>
        <v>2814253.0948818857</v>
      </c>
      <c r="M73" s="18">
        <f>F73*'GS&lt;50 Predicted Monthly'!$V$10</f>
        <v>0</v>
      </c>
      <c r="N73" s="18">
        <f>G73*'GS&lt;50 Predicted Monthly'!$V$11</f>
        <v>-781889.76208335499</v>
      </c>
      <c r="O73" s="18">
        <f>H73*'GS&lt;50 Predicted Monthly'!$V$12</f>
        <v>8344206.7499953387</v>
      </c>
      <c r="P73" s="18">
        <f>I73*'GS&lt;50 Predicted Monthly'!$V$13</f>
        <v>6461273.3921608003</v>
      </c>
      <c r="Q73" s="18">
        <f t="shared" si="10"/>
        <v>11235927.019126501</v>
      </c>
      <c r="R73" s="18">
        <f t="shared" si="11"/>
        <v>346156.34377861395</v>
      </c>
      <c r="S73" s="270">
        <f t="shared" si="12"/>
        <v>3.1787294158750097E-2</v>
      </c>
      <c r="U73" s="18"/>
      <c r="V73" s="270"/>
    </row>
    <row r="74" spans="1:26" x14ac:dyDescent="0.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 ca="1">'Monthly Data'!J74</f>
        <v>10763346.682415618</v>
      </c>
      <c r="E74" s="269">
        <f>'Monthly Data'!BD74</f>
        <v>591.50416666666661</v>
      </c>
      <c r="F74" s="269">
        <f>'Monthly Data'!BG74</f>
        <v>0</v>
      </c>
      <c r="G74" s="4">
        <f>'Monthly Data'!CG74</f>
        <v>0.5</v>
      </c>
      <c r="H74" s="4">
        <f>'Monthly Data'!CD74</f>
        <v>31</v>
      </c>
      <c r="I74" s="18">
        <f>'Monthly Data'!K74</f>
        <v>4251</v>
      </c>
      <c r="K74" s="18">
        <f>'GS&lt;50 Predicted Monthly'!$V$8</f>
        <v>-5601916.4558281703</v>
      </c>
      <c r="L74" s="18">
        <f>E74*'GS&lt;50 Predicted Monthly'!$V$9</f>
        <v>3195678.8564957343</v>
      </c>
      <c r="M74" s="18">
        <f>F74*'GS&lt;50 Predicted Monthly'!$V$10</f>
        <v>0</v>
      </c>
      <c r="N74" s="18">
        <f>G74*'GS&lt;50 Predicted Monthly'!$V$11</f>
        <v>-781889.76208335499</v>
      </c>
      <c r="O74" s="18">
        <f>H74*'GS&lt;50 Predicted Monthly'!$V$12</f>
        <v>8344206.7499953387</v>
      </c>
      <c r="P74" s="18">
        <f>I74*'GS&lt;50 Predicted Monthly'!$V$13</f>
        <v>6465836.4383417042</v>
      </c>
      <c r="Q74" s="18">
        <f t="shared" si="10"/>
        <v>11621915.826921251</v>
      </c>
      <c r="R74" s="18">
        <f t="shared" ca="1" si="11"/>
        <v>858569.14450563304</v>
      </c>
      <c r="S74" s="270">
        <f t="shared" ca="1" si="12"/>
        <v>7.9767861227428599E-2</v>
      </c>
      <c r="U74" s="18"/>
      <c r="V74" s="270"/>
    </row>
    <row r="75" spans="1:26" x14ac:dyDescent="0.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 ca="1">'Monthly Data'!J75</f>
        <v>10132166.594761943</v>
      </c>
      <c r="E75" s="269">
        <f>'Monthly Data'!BD75</f>
        <v>597.45416666666665</v>
      </c>
      <c r="F75" s="269">
        <f>'Monthly Data'!BG75</f>
        <v>0</v>
      </c>
      <c r="G75" s="4">
        <f>'Monthly Data'!CG75</f>
        <v>0.5</v>
      </c>
      <c r="H75" s="4">
        <f>'Monthly Data'!CD75</f>
        <v>28</v>
      </c>
      <c r="I75" s="18">
        <f>'Monthly Data'!K75</f>
        <v>4260</v>
      </c>
      <c r="K75" s="18">
        <f>'GS&lt;50 Predicted Monthly'!$V$8</f>
        <v>-5601916.4558281703</v>
      </c>
      <c r="L75" s="18">
        <f>E75*'GS&lt;50 Predicted Monthly'!$V$9</f>
        <v>3227824.5120425108</v>
      </c>
      <c r="M75" s="18">
        <f>F75*'GS&lt;50 Predicted Monthly'!$V$10</f>
        <v>0</v>
      </c>
      <c r="N75" s="18">
        <f>G75*'GS&lt;50 Predicted Monthly'!$V$11</f>
        <v>-781889.76208335499</v>
      </c>
      <c r="O75" s="18">
        <f>H75*'GS&lt;50 Predicted Monthly'!$V$12</f>
        <v>7536702.8709635315</v>
      </c>
      <c r="P75" s="18">
        <f>I75*'GS&lt;50 Predicted Monthly'!$V$13</f>
        <v>6479525.5768844178</v>
      </c>
      <c r="Q75" s="18">
        <f t="shared" si="10"/>
        <v>10860246.741978936</v>
      </c>
      <c r="R75" s="18">
        <f t="shared" ca="1" si="11"/>
        <v>728080.14721699245</v>
      </c>
      <c r="S75" s="270">
        <f t="shared" ca="1" si="12"/>
        <v>7.1858288196069556E-2</v>
      </c>
      <c r="U75" s="18"/>
      <c r="V75" s="270"/>
    </row>
    <row r="76" spans="1:26" x14ac:dyDescent="0.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 ca="1">'Monthly Data'!J76</f>
        <v>11692819.533223221</v>
      </c>
      <c r="E76" s="269">
        <f>'Monthly Data'!BD76</f>
        <v>430.59637681159427</v>
      </c>
      <c r="F76" s="269">
        <f>'Monthly Data'!BG76</f>
        <v>0</v>
      </c>
      <c r="G76" s="4">
        <f>'Monthly Data'!CG76</f>
        <v>0.5</v>
      </c>
      <c r="H76" s="4">
        <f>'Monthly Data'!CD76</f>
        <v>31</v>
      </c>
      <c r="I76" s="18">
        <f>'Monthly Data'!K76</f>
        <v>4267</v>
      </c>
      <c r="K76" s="18">
        <f>'GS&lt;50 Predicted Monthly'!$V$8</f>
        <v>-5601916.4558281703</v>
      </c>
      <c r="L76" s="18">
        <f>E76*'GS&lt;50 Predicted Monthly'!$V$9</f>
        <v>2326353.4132227562</v>
      </c>
      <c r="M76" s="18">
        <f>F76*'GS&lt;50 Predicted Monthly'!$V$10</f>
        <v>0</v>
      </c>
      <c r="N76" s="18">
        <f>G76*'GS&lt;50 Predicted Monthly'!$V$11</f>
        <v>-781889.76208335499</v>
      </c>
      <c r="O76" s="18">
        <f>H76*'GS&lt;50 Predicted Monthly'!$V$12</f>
        <v>8344206.7499953387</v>
      </c>
      <c r="P76" s="18">
        <f>I76*'GS&lt;50 Predicted Monthly'!$V$13</f>
        <v>6490172.6846398618</v>
      </c>
      <c r="Q76" s="18">
        <f t="shared" si="10"/>
        <v>10776926.629946431</v>
      </c>
      <c r="R76" s="18">
        <f t="shared" ca="1" si="11"/>
        <v>-915892.90327678993</v>
      </c>
      <c r="S76" s="270">
        <f t="shared" ca="1" si="12"/>
        <v>7.8329516732421223E-2</v>
      </c>
      <c r="V76" s="270"/>
    </row>
    <row r="77" spans="1:26" x14ac:dyDescent="0.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 ca="1">'Monthly Data'!J77</f>
        <v>9326953.1395351123</v>
      </c>
      <c r="E77" s="269">
        <f>'Monthly Data'!BD77</f>
        <v>260.00833333333338</v>
      </c>
      <c r="F77" s="269">
        <f>'Monthly Data'!BG77</f>
        <v>3.7083333333333339</v>
      </c>
      <c r="G77" s="4">
        <f>'Monthly Data'!CG77</f>
        <v>0.5</v>
      </c>
      <c r="H77" s="4">
        <f>'Monthly Data'!CD77</f>
        <v>30</v>
      </c>
      <c r="I77" s="18">
        <f>'Monthly Data'!K77</f>
        <v>4264</v>
      </c>
      <c r="K77" s="18">
        <f>'GS&lt;50 Predicted Monthly'!$V$8</f>
        <v>-5601916.4558281703</v>
      </c>
      <c r="L77" s="18">
        <f>E77*'GS&lt;50 Predicted Monthly'!$V$9</f>
        <v>1404729.1298528954</v>
      </c>
      <c r="M77" s="18">
        <f>F77*'GS&lt;50 Predicted Monthly'!$V$10</f>
        <v>46810.414688278746</v>
      </c>
      <c r="N77" s="18">
        <f>G77*'GS&lt;50 Predicted Monthly'!$V$11</f>
        <v>-781889.76208335499</v>
      </c>
      <c r="O77" s="18">
        <f>H77*'GS&lt;50 Predicted Monthly'!$V$12</f>
        <v>8075038.79031807</v>
      </c>
      <c r="P77" s="18">
        <f>I77*'GS&lt;50 Predicted Monthly'!$V$13</f>
        <v>6485609.6384589579</v>
      </c>
      <c r="Q77" s="18">
        <f t="shared" si="10"/>
        <v>9628381.7554066777</v>
      </c>
      <c r="R77" s="18">
        <f t="shared" ca="1" si="11"/>
        <v>301428.61587156542</v>
      </c>
      <c r="S77" s="270">
        <f t="shared" ca="1" si="12"/>
        <v>3.2318015472155535E-2</v>
      </c>
      <c r="U77" s="18"/>
      <c r="V77" s="270"/>
    </row>
    <row r="78" spans="1:26" x14ac:dyDescent="0.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 ca="1">'Monthly Data'!J78</f>
        <v>9012498.4994029496</v>
      </c>
      <c r="E78" s="269">
        <f>'Monthly Data'!BD78</f>
        <v>127.04305555555555</v>
      </c>
      <c r="F78" s="269">
        <f>'Monthly Data'!BG78</f>
        <v>53.908333333333317</v>
      </c>
      <c r="G78" s="4">
        <f>'Monthly Data'!CG78</f>
        <v>0.5</v>
      </c>
      <c r="H78" s="4">
        <f>'Monthly Data'!CD78</f>
        <v>31</v>
      </c>
      <c r="I78" s="18">
        <f>'Monthly Data'!K78</f>
        <v>4268</v>
      </c>
      <c r="K78" s="18">
        <f>'GS&lt;50 Predicted Monthly'!$V$8</f>
        <v>-5601916.4558281703</v>
      </c>
      <c r="L78" s="18">
        <f>E78*'GS&lt;50 Predicted Monthly'!$V$9</f>
        <v>686366.77369728626</v>
      </c>
      <c r="M78" s="18">
        <f>F78*'GS&lt;50 Predicted Monthly'!$V$10</f>
        <v>680486.68004151701</v>
      </c>
      <c r="N78" s="18">
        <f>G78*'GS&lt;50 Predicted Monthly'!$V$11</f>
        <v>-781889.76208335499</v>
      </c>
      <c r="O78" s="18">
        <f>H78*'GS&lt;50 Predicted Monthly'!$V$12</f>
        <v>8344206.7499953387</v>
      </c>
      <c r="P78" s="18">
        <f>I78*'GS&lt;50 Predicted Monthly'!$V$13</f>
        <v>6491693.7000334971</v>
      </c>
      <c r="Q78" s="18">
        <f t="shared" si="10"/>
        <v>9818947.6858561132</v>
      </c>
      <c r="R78" s="18">
        <f t="shared" ca="1" si="11"/>
        <v>806449.18645316362</v>
      </c>
      <c r="S78" s="270">
        <f t="shared" ca="1" si="12"/>
        <v>8.9481200635604927E-2</v>
      </c>
      <c r="U78" s="18"/>
      <c r="V78" s="270"/>
      <c r="X78" s="18"/>
      <c r="Y78" s="18"/>
      <c r="Z78" s="231"/>
    </row>
    <row r="79" spans="1:26" x14ac:dyDescent="0.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 ca="1">'Monthly Data'!J79</f>
        <v>10159439.594147449</v>
      </c>
      <c r="E79" s="269">
        <f>'Monthly Data'!BD79</f>
        <v>3.2708333333333357</v>
      </c>
      <c r="F79" s="269">
        <f>'Monthly Data'!BG79</f>
        <v>181.67499999999995</v>
      </c>
      <c r="G79" s="4">
        <f>'Monthly Data'!CG79</f>
        <v>0.5</v>
      </c>
      <c r="H79" s="4">
        <f>'Monthly Data'!CD79</f>
        <v>30</v>
      </c>
      <c r="I79" s="18">
        <f>'Monthly Data'!K79</f>
        <v>4270</v>
      </c>
      <c r="K79" s="18">
        <f>'GS&lt;50 Predicted Monthly'!$V$8</f>
        <v>-5601916.4558281703</v>
      </c>
      <c r="L79" s="18">
        <f>E79*'GS&lt;50 Predicted Monthly'!$V$9</f>
        <v>17671.106165419755</v>
      </c>
      <c r="M79" s="18">
        <f>F79*'GS&lt;50 Predicted Monthly'!$V$10</f>
        <v>2293289.5519531784</v>
      </c>
      <c r="N79" s="18">
        <f>G79*'GS&lt;50 Predicted Monthly'!$V$11</f>
        <v>-781889.76208335499</v>
      </c>
      <c r="O79" s="18">
        <f>H79*'GS&lt;50 Predicted Monthly'!$V$12</f>
        <v>8075038.79031807</v>
      </c>
      <c r="P79" s="18">
        <f>I79*'GS&lt;50 Predicted Monthly'!$V$13</f>
        <v>6494735.7308207667</v>
      </c>
      <c r="Q79" s="18">
        <f t="shared" si="10"/>
        <v>10496928.961345909</v>
      </c>
      <c r="R79" s="18">
        <f t="shared" ca="1" si="11"/>
        <v>337489.3671984598</v>
      </c>
      <c r="S79" s="270">
        <f t="shared" ca="1" si="12"/>
        <v>3.3219289712877215E-2</v>
      </c>
      <c r="U79" s="18"/>
      <c r="V79" s="270"/>
      <c r="X79" s="18"/>
      <c r="Y79" s="18"/>
      <c r="Z79" s="231"/>
    </row>
    <row r="80" spans="1:26" x14ac:dyDescent="0.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 ca="1">'Monthly Data'!J80</f>
        <v>10931617.153714575</v>
      </c>
      <c r="E80" s="269">
        <f>'Monthly Data'!BD80</f>
        <v>0.74583333333333002</v>
      </c>
      <c r="F80" s="269">
        <f>'Monthly Data'!BG80</f>
        <v>192.87499999999994</v>
      </c>
      <c r="G80" s="4">
        <f>'Monthly Data'!CG80</f>
        <v>0.5</v>
      </c>
      <c r="H80" s="4">
        <f>'Monthly Data'!CD80</f>
        <v>31</v>
      </c>
      <c r="I80" s="18">
        <f>'Monthly Data'!K80</f>
        <v>4273</v>
      </c>
      <c r="K80" s="18">
        <f>'GS&lt;50 Predicted Monthly'!$V$8</f>
        <v>-5601916.4558281703</v>
      </c>
      <c r="L80" s="18">
        <f>E80*'GS&lt;50 Predicted Monthly'!$V$9</f>
        <v>4029.462424981044</v>
      </c>
      <c r="M80" s="18">
        <f>F80*'GS&lt;50 Predicted Monthly'!$V$10</f>
        <v>2434667.5235060924</v>
      </c>
      <c r="N80" s="18">
        <f>G80*'GS&lt;50 Predicted Monthly'!$V$11</f>
        <v>-781889.76208335499</v>
      </c>
      <c r="O80" s="18">
        <f>H80*'GS&lt;50 Predicted Monthly'!$V$12</f>
        <v>8344206.7499953387</v>
      </c>
      <c r="P80" s="18">
        <f>I80*'GS&lt;50 Predicted Monthly'!$V$13</f>
        <v>6499298.7770016715</v>
      </c>
      <c r="Q80" s="18">
        <f t="shared" si="10"/>
        <v>10898396.295016559</v>
      </c>
      <c r="R80" s="18">
        <f t="shared" ca="1" si="11"/>
        <v>-33220.858698016033</v>
      </c>
      <c r="S80" s="270">
        <f t="shared" ca="1" si="12"/>
        <v>3.0389701936028332E-3</v>
      </c>
      <c r="U80" s="18"/>
      <c r="V80" s="270"/>
      <c r="X80" s="18"/>
      <c r="Y80" s="18"/>
      <c r="Z80" s="231"/>
    </row>
    <row r="81" spans="1:26" x14ac:dyDescent="0.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 ca="1">'Monthly Data'!J81</f>
        <v>12105944.830178076</v>
      </c>
      <c r="E81" s="269">
        <f>'Monthly Data'!BD81</f>
        <v>0</v>
      </c>
      <c r="F81" s="269">
        <f>'Monthly Data'!BG81</f>
        <v>266.0625</v>
      </c>
      <c r="G81" s="4">
        <f>'Monthly Data'!CG81</f>
        <v>0.5</v>
      </c>
      <c r="H81" s="4">
        <f>'Monthly Data'!CD81</f>
        <v>31</v>
      </c>
      <c r="I81" s="18">
        <f>'Monthly Data'!K81</f>
        <v>4277</v>
      </c>
      <c r="K81" s="18">
        <f>'GS&lt;50 Predicted Monthly'!$V$8</f>
        <v>-5601916.4558281703</v>
      </c>
      <c r="L81" s="18">
        <f>E81*'GS&lt;50 Predicted Monthly'!$V$9</f>
        <v>0</v>
      </c>
      <c r="M81" s="18">
        <f>F81*'GS&lt;50 Predicted Monthly'!$V$10</f>
        <v>3358515.7639550995</v>
      </c>
      <c r="N81" s="18">
        <f>G81*'GS&lt;50 Predicted Monthly'!$V$11</f>
        <v>-781889.76208335499</v>
      </c>
      <c r="O81" s="18">
        <f>H81*'GS&lt;50 Predicted Monthly'!$V$12</f>
        <v>8344206.7499953387</v>
      </c>
      <c r="P81" s="18">
        <f>I81*'GS&lt;50 Predicted Monthly'!$V$13</f>
        <v>6505382.8385762107</v>
      </c>
      <c r="Q81" s="18">
        <f t="shared" si="10"/>
        <v>11824299.134615123</v>
      </c>
      <c r="R81" s="18">
        <f t="shared" ca="1" si="11"/>
        <v>-281645.69556295313</v>
      </c>
      <c r="S81" s="270">
        <f t="shared" ca="1" si="12"/>
        <v>2.326507344233537E-2</v>
      </c>
      <c r="U81" s="18"/>
      <c r="V81" s="270"/>
      <c r="X81" s="18"/>
      <c r="Y81" s="18"/>
      <c r="Z81" s="231"/>
    </row>
    <row r="82" spans="1:26" x14ac:dyDescent="0.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 ca="1">'Monthly Data'!J82</f>
        <v>9946552.9282091726</v>
      </c>
      <c r="E82" s="269">
        <f>'Monthly Data'!BD82</f>
        <v>20.066666666666677</v>
      </c>
      <c r="F82" s="269">
        <f>'Monthly Data'!BG82</f>
        <v>95.25833333333334</v>
      </c>
      <c r="G82" s="4">
        <f>'Monthly Data'!CG82</f>
        <v>0.5</v>
      </c>
      <c r="H82" s="4">
        <f>'Monthly Data'!CD82</f>
        <v>30</v>
      </c>
      <c r="I82" s="18">
        <f>'Monthly Data'!K82</f>
        <v>4283</v>
      </c>
      <c r="K82" s="18">
        <f>'GS&lt;50 Predicted Monthly'!$V$8</f>
        <v>-5601916.4558281703</v>
      </c>
      <c r="L82" s="18">
        <f>E82*'GS&lt;50 Predicted Monthly'!$V$9</f>
        <v>108412.79909893186</v>
      </c>
      <c r="M82" s="18">
        <f>F82*'GS&lt;50 Predicted Monthly'!$V$10</f>
        <v>1202449.1018016052</v>
      </c>
      <c r="N82" s="18">
        <f>G82*'GS&lt;50 Predicted Monthly'!$V$11</f>
        <v>-781889.76208335499</v>
      </c>
      <c r="O82" s="18">
        <f>H82*'GS&lt;50 Predicted Monthly'!$V$12</f>
        <v>8075038.79031807</v>
      </c>
      <c r="P82" s="18">
        <f>I82*'GS&lt;50 Predicted Monthly'!$V$13</f>
        <v>6514508.9309380194</v>
      </c>
      <c r="Q82" s="18">
        <f t="shared" si="10"/>
        <v>9516603.4042451009</v>
      </c>
      <c r="R82" s="18">
        <f t="shared" ca="1" si="11"/>
        <v>-429949.52396407165</v>
      </c>
      <c r="S82" s="270">
        <f t="shared" ca="1" si="12"/>
        <v>4.3225982616017899E-2</v>
      </c>
      <c r="U82" s="18"/>
      <c r="V82" s="270"/>
      <c r="X82" s="18"/>
      <c r="Y82" s="18"/>
      <c r="Z82" s="231"/>
    </row>
    <row r="83" spans="1:26" x14ac:dyDescent="0.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 ca="1">'Monthly Data'!J83</f>
        <v>9633925.5435520504</v>
      </c>
      <c r="E83" s="269">
        <f>'Monthly Data'!BD83</f>
        <v>108.43333333333334</v>
      </c>
      <c r="F83" s="269">
        <f>'Monthly Data'!BG83</f>
        <v>44.562500000000028</v>
      </c>
      <c r="G83" s="4">
        <f>'Monthly Data'!CG83</f>
        <v>0.5</v>
      </c>
      <c r="H83" s="4">
        <f>'Monthly Data'!CD83</f>
        <v>31</v>
      </c>
      <c r="I83" s="18">
        <f>'Monthly Data'!K83</f>
        <v>4282</v>
      </c>
      <c r="K83" s="18">
        <f>'GS&lt;50 Predicted Monthly'!$V$8</f>
        <v>-5601916.4558281703</v>
      </c>
      <c r="L83" s="18">
        <f>E83*'GS&lt;50 Predicted Monthly'!$V$9</f>
        <v>585825.30808774952</v>
      </c>
      <c r="M83" s="18">
        <f>F83*'GS&lt;50 Predicted Monthly'!$V$10</f>
        <v>562513.91583274317</v>
      </c>
      <c r="N83" s="18">
        <f>G83*'GS&lt;50 Predicted Monthly'!$V$11</f>
        <v>-781889.76208335499</v>
      </c>
      <c r="O83" s="18">
        <f>H83*'GS&lt;50 Predicted Monthly'!$V$12</f>
        <v>8344206.7499953387</v>
      </c>
      <c r="P83" s="18">
        <f>I83*'GS&lt;50 Predicted Monthly'!$V$13</f>
        <v>6512987.9155443842</v>
      </c>
      <c r="Q83" s="18">
        <f t="shared" si="10"/>
        <v>9621727.6715486906</v>
      </c>
      <c r="R83" s="18">
        <f t="shared" ca="1" si="11"/>
        <v>-12197.87200335972</v>
      </c>
      <c r="S83" s="270">
        <f t="shared" ca="1" si="12"/>
        <v>1.2661372509281752E-3</v>
      </c>
      <c r="U83" s="18"/>
      <c r="V83" s="270"/>
      <c r="X83" s="18"/>
      <c r="Y83" s="18"/>
      <c r="Z83" s="231"/>
    </row>
    <row r="84" spans="1:26" x14ac:dyDescent="0.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 ca="1">'Monthly Data'!J84</f>
        <v>10325575.805831861</v>
      </c>
      <c r="E84" s="269">
        <f>'Monthly Data'!BD84</f>
        <v>386.3126035196687</v>
      </c>
      <c r="F84" s="269">
        <f>'Monthly Data'!BG84</f>
        <v>0</v>
      </c>
      <c r="G84" s="4">
        <f>'Monthly Data'!CG84</f>
        <v>0.5</v>
      </c>
      <c r="H84" s="4">
        <f>'Monthly Data'!CD84</f>
        <v>30</v>
      </c>
      <c r="I84" s="18">
        <f>'Monthly Data'!K84</f>
        <v>4281</v>
      </c>
      <c r="K84" s="18">
        <f>'GS&lt;50 Predicted Monthly'!$V$8</f>
        <v>-5601916.4558281703</v>
      </c>
      <c r="L84" s="18">
        <f>E84*'GS&lt;50 Predicted Monthly'!$V$9</f>
        <v>2087104.518675904</v>
      </c>
      <c r="M84" s="18">
        <f>F84*'GS&lt;50 Predicted Monthly'!$V$10</f>
        <v>0</v>
      </c>
      <c r="N84" s="18">
        <f>G84*'GS&lt;50 Predicted Monthly'!$V$11</f>
        <v>-781889.76208335499</v>
      </c>
      <c r="O84" s="18">
        <f>H84*'GS&lt;50 Predicted Monthly'!$V$12</f>
        <v>8075038.79031807</v>
      </c>
      <c r="P84" s="18">
        <f>I84*'GS&lt;50 Predicted Monthly'!$V$13</f>
        <v>6511466.9001507498</v>
      </c>
      <c r="Q84" s="18">
        <f t="shared" si="10"/>
        <v>10289803.991233198</v>
      </c>
      <c r="R84" s="18">
        <f t="shared" ca="1" si="11"/>
        <v>-35771.814598662779</v>
      </c>
      <c r="S84" s="270">
        <f t="shared" ca="1" si="12"/>
        <v>3.464389325238302E-3</v>
      </c>
      <c r="U84" s="18"/>
      <c r="V84" s="270"/>
      <c r="X84" s="18"/>
      <c r="Y84" s="18"/>
      <c r="Z84" s="231"/>
    </row>
    <row r="85" spans="1:26" x14ac:dyDescent="0.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 ca="1">'Monthly Data'!J85</f>
        <v>12083532.655526424</v>
      </c>
      <c r="E85" s="269">
        <f>'Monthly Data'!BD85</f>
        <v>471.04583333333335</v>
      </c>
      <c r="F85" s="269">
        <f>'Monthly Data'!BG85</f>
        <v>0</v>
      </c>
      <c r="G85" s="4">
        <f>'Monthly Data'!CG85</f>
        <v>0.5</v>
      </c>
      <c r="H85" s="4">
        <f>'Monthly Data'!CD85</f>
        <v>31</v>
      </c>
      <c r="I85" s="18">
        <f>'Monthly Data'!K85</f>
        <v>4277</v>
      </c>
      <c r="K85" s="18">
        <f>'GS&lt;50 Predicted Monthly'!$V$8</f>
        <v>-5601916.4558281703</v>
      </c>
      <c r="L85" s="18">
        <f>E85*'GS&lt;50 Predicted Monthly'!$V$9</f>
        <v>2544886.9084163914</v>
      </c>
      <c r="M85" s="18">
        <f>F85*'GS&lt;50 Predicted Monthly'!$V$10</f>
        <v>0</v>
      </c>
      <c r="N85" s="18">
        <f>G85*'GS&lt;50 Predicted Monthly'!$V$11</f>
        <v>-781889.76208335499</v>
      </c>
      <c r="O85" s="18">
        <f>H85*'GS&lt;50 Predicted Monthly'!$V$12</f>
        <v>8344206.7499953387</v>
      </c>
      <c r="P85" s="18">
        <f>I85*'GS&lt;50 Predicted Monthly'!$V$13</f>
        <v>6505382.8385762107</v>
      </c>
      <c r="Q85" s="18">
        <f t="shared" si="10"/>
        <v>11010670.279076416</v>
      </c>
      <c r="R85" s="18">
        <f t="shared" ca="1" si="11"/>
        <v>-1072862.3764500078</v>
      </c>
      <c r="S85" s="270">
        <f t="shared" ca="1" si="12"/>
        <v>8.8787145864941436E-2</v>
      </c>
      <c r="U85" s="18"/>
      <c r="V85" s="270"/>
      <c r="X85" s="18"/>
      <c r="Y85" s="18"/>
      <c r="Z85" s="231"/>
    </row>
    <row r="86" spans="1:26" x14ac:dyDescent="0.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 ca="1">'Monthly Data'!J86</f>
        <v>12661457.120738978</v>
      </c>
      <c r="E86" s="269">
        <f>'Monthly Data'!BD86</f>
        <v>763.49166666666656</v>
      </c>
      <c r="F86" s="269">
        <f>'Monthly Data'!BG86</f>
        <v>0</v>
      </c>
      <c r="G86" s="4">
        <f>'Monthly Data'!CG86</f>
        <v>0.25</v>
      </c>
      <c r="H86" s="4">
        <f>'Monthly Data'!CD86</f>
        <v>31</v>
      </c>
      <c r="I86" s="18">
        <f>'Monthly Data'!K86</f>
        <v>4288</v>
      </c>
      <c r="K86" s="18">
        <f>'GS&lt;50 Predicted Monthly'!$V$8</f>
        <v>-5601916.4558281703</v>
      </c>
      <c r="L86" s="18">
        <f>E86*'GS&lt;50 Predicted Monthly'!$V$9</f>
        <v>4124863.88731106</v>
      </c>
      <c r="M86" s="18">
        <f>F86*'GS&lt;50 Predicted Monthly'!$V$10</f>
        <v>0</v>
      </c>
      <c r="N86" s="18">
        <f>G86*'GS&lt;50 Predicted Monthly'!$V$11</f>
        <v>-390944.88104167749</v>
      </c>
      <c r="O86" s="18">
        <f>H86*'GS&lt;50 Predicted Monthly'!$V$12</f>
        <v>8344206.7499953387</v>
      </c>
      <c r="P86" s="18">
        <f>I86*'GS&lt;50 Predicted Monthly'!$V$13</f>
        <v>6522114.0079061938</v>
      </c>
      <c r="Q86" s="18">
        <f t="shared" si="10"/>
        <v>12998323.308342744</v>
      </c>
      <c r="R86" s="18">
        <f t="shared" ca="1" si="11"/>
        <v>336866.1876037661</v>
      </c>
      <c r="S86" s="270">
        <f t="shared" ca="1" si="12"/>
        <v>2.6605641387987825E-2</v>
      </c>
      <c r="U86" s="18"/>
      <c r="V86" s="270"/>
      <c r="X86" s="18"/>
      <c r="Y86" s="18"/>
      <c r="Z86" s="231"/>
    </row>
    <row r="87" spans="1:26" x14ac:dyDescent="0.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 ca="1">'Monthly Data'!J87</f>
        <v>11636323.473382473</v>
      </c>
      <c r="E87" s="269">
        <f>'Monthly Data'!BD87</f>
        <v>580.84999999999991</v>
      </c>
      <c r="F87" s="269">
        <f>'Monthly Data'!BG87</f>
        <v>0</v>
      </c>
      <c r="G87" s="4">
        <f>'Monthly Data'!CG87</f>
        <v>0.25</v>
      </c>
      <c r="H87" s="4">
        <f>'Monthly Data'!CD87</f>
        <v>28</v>
      </c>
      <c r="I87" s="18">
        <f>'Monthly Data'!K87</f>
        <v>4294</v>
      </c>
      <c r="K87" s="18">
        <f>'GS&lt;50 Predicted Monthly'!$V$8</f>
        <v>-5601916.4558281703</v>
      </c>
      <c r="L87" s="18">
        <f>E87*'GS&lt;50 Predicted Monthly'!$V$9</f>
        <v>3138118.3234193288</v>
      </c>
      <c r="M87" s="18">
        <f>F87*'GS&lt;50 Predicted Monthly'!$V$10</f>
        <v>0</v>
      </c>
      <c r="N87" s="18">
        <f>G87*'GS&lt;50 Predicted Monthly'!$V$11</f>
        <v>-390944.88104167749</v>
      </c>
      <c r="O87" s="18">
        <f>H87*'GS&lt;50 Predicted Monthly'!$V$12</f>
        <v>7536702.8709635315</v>
      </c>
      <c r="P87" s="18">
        <f>I87*'GS&lt;50 Predicted Monthly'!$V$13</f>
        <v>6531240.1002680026</v>
      </c>
      <c r="Q87" s="18">
        <f t="shared" si="10"/>
        <v>11213199.957781015</v>
      </c>
      <c r="R87" s="18">
        <f t="shared" ca="1" si="11"/>
        <v>-423123.51560145803</v>
      </c>
      <c r="S87" s="270">
        <f t="shared" ca="1" si="12"/>
        <v>3.6362302626713035E-2</v>
      </c>
      <c r="U87" s="18"/>
      <c r="V87" s="270"/>
      <c r="X87" s="18"/>
      <c r="Y87" s="18"/>
      <c r="Z87" s="231"/>
    </row>
    <row r="88" spans="1:26" x14ac:dyDescent="0.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 ca="1">'Monthly Data'!J88</f>
        <v>11910788.05307324</v>
      </c>
      <c r="E88" s="269">
        <f>'Monthly Data'!BD88</f>
        <v>482.72083333333353</v>
      </c>
      <c r="F88" s="269">
        <f>'Monthly Data'!BG88</f>
        <v>0</v>
      </c>
      <c r="G88" s="4">
        <f>'Monthly Data'!CG88</f>
        <v>0.25</v>
      </c>
      <c r="H88" s="4">
        <f>'Monthly Data'!CD88</f>
        <v>31</v>
      </c>
      <c r="I88" s="18">
        <f>'Monthly Data'!K88</f>
        <v>4283</v>
      </c>
      <c r="K88" s="18">
        <f>'GS&lt;50 Predicted Monthly'!$V$8</f>
        <v>-5601916.4558281703</v>
      </c>
      <c r="L88" s="18">
        <f>E88*'GS&lt;50 Predicted Monthly'!$V$9</f>
        <v>2607962.62749347</v>
      </c>
      <c r="M88" s="18">
        <f>F88*'GS&lt;50 Predicted Monthly'!$V$10</f>
        <v>0</v>
      </c>
      <c r="N88" s="18">
        <f>G88*'GS&lt;50 Predicted Monthly'!$V$11</f>
        <v>-390944.88104167749</v>
      </c>
      <c r="O88" s="18">
        <f>H88*'GS&lt;50 Predicted Monthly'!$V$12</f>
        <v>8344206.7499953387</v>
      </c>
      <c r="P88" s="18">
        <f>I88*'GS&lt;50 Predicted Monthly'!$V$13</f>
        <v>6514508.9309380194</v>
      </c>
      <c r="Q88" s="18">
        <f t="shared" si="10"/>
        <v>11473816.97155698</v>
      </c>
      <c r="R88" s="18">
        <f t="shared" ca="1" si="11"/>
        <v>-436971.08151626028</v>
      </c>
      <c r="S88" s="270">
        <f t="shared" ca="1" si="12"/>
        <v>3.6687000017896577E-2</v>
      </c>
      <c r="U88" s="18"/>
    </row>
    <row r="89" spans="1:26" x14ac:dyDescent="0.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 ca="1">'Monthly Data'!J89</f>
        <v>10242680.969626591</v>
      </c>
      <c r="E89" s="269">
        <f>'Monthly Data'!BD89</f>
        <v>294.33333333333337</v>
      </c>
      <c r="F89" s="269">
        <f>'Monthly Data'!BG89</f>
        <v>0</v>
      </c>
      <c r="G89" s="4">
        <f>'Monthly Data'!CG89</f>
        <v>0.25</v>
      </c>
      <c r="H89" s="4">
        <f>'Monthly Data'!CD89</f>
        <v>30</v>
      </c>
      <c r="I89" s="18">
        <f>'Monthly Data'!K89</f>
        <v>4284</v>
      </c>
      <c r="K89" s="18">
        <f>'GS&lt;50 Predicted Monthly'!$V$8</f>
        <v>-5601916.4558281703</v>
      </c>
      <c r="L89" s="18">
        <f>E89*'GS&lt;50 Predicted Monthly'!$V$9</f>
        <v>1590174.4452550963</v>
      </c>
      <c r="M89" s="18">
        <f>F89*'GS&lt;50 Predicted Monthly'!$V$10</f>
        <v>0</v>
      </c>
      <c r="N89" s="18">
        <f>G89*'GS&lt;50 Predicted Monthly'!$V$11</f>
        <v>-390944.88104167749</v>
      </c>
      <c r="O89" s="18">
        <f>H89*'GS&lt;50 Predicted Monthly'!$V$12</f>
        <v>8075038.79031807</v>
      </c>
      <c r="P89" s="18">
        <f>I89*'GS&lt;50 Predicted Monthly'!$V$13</f>
        <v>6516029.9463316547</v>
      </c>
      <c r="Q89" s="18">
        <f t="shared" si="10"/>
        <v>10188381.845034972</v>
      </c>
      <c r="R89" s="18">
        <f t="shared" ca="1" si="11"/>
        <v>-54299.124591618776</v>
      </c>
      <c r="S89" s="270">
        <f t="shared" ca="1" si="12"/>
        <v>5.3012609445355317E-3</v>
      </c>
      <c r="Z89" s="277"/>
    </row>
    <row r="90" spans="1:26" x14ac:dyDescent="0.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 ca="1">'Monthly Data'!J90</f>
        <v>10163818.692467652</v>
      </c>
      <c r="E90" s="269">
        <f>'Monthly Data'!BD90</f>
        <v>70.650000000000006</v>
      </c>
      <c r="F90" s="269">
        <f>'Monthly Data'!BG90</f>
        <v>72.362499999999997</v>
      </c>
      <c r="G90" s="4">
        <f>'Monthly Data'!CG90</f>
        <v>0.25</v>
      </c>
      <c r="H90" s="4">
        <f>'Monthly Data'!CD90</f>
        <v>31</v>
      </c>
      <c r="I90" s="18">
        <f>'Monthly Data'!K90</f>
        <v>4290</v>
      </c>
      <c r="K90" s="18">
        <f>'GS&lt;50 Predicted Monthly'!$V$8</f>
        <v>-5601916.4558281703</v>
      </c>
      <c r="L90" s="18">
        <f>E90*'GS&lt;50 Predicted Monthly'!$V$9</f>
        <v>381695.89317306643</v>
      </c>
      <c r="M90" s="18">
        <f>F90*'GS&lt;50 Predicted Monthly'!$V$10</f>
        <v>913434.23808015371</v>
      </c>
      <c r="N90" s="18">
        <f>G90*'GS&lt;50 Predicted Monthly'!$V$11</f>
        <v>-390944.88104167749</v>
      </c>
      <c r="O90" s="18">
        <f>H90*'GS&lt;50 Predicted Monthly'!$V$12</f>
        <v>8344206.7499953387</v>
      </c>
      <c r="P90" s="18">
        <f>I90*'GS&lt;50 Predicted Monthly'!$V$13</f>
        <v>6525156.0386934634</v>
      </c>
      <c r="Q90" s="18">
        <f t="shared" si="10"/>
        <v>10171631.583072174</v>
      </c>
      <c r="R90" s="18">
        <f t="shared" ca="1" si="11"/>
        <v>7812.8906045220792</v>
      </c>
      <c r="S90" s="270">
        <f t="shared" ca="1" si="12"/>
        <v>7.6869637691512219E-4</v>
      </c>
    </row>
    <row r="91" spans="1:26" x14ac:dyDescent="0.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 ca="1">'Monthly Data'!J91</f>
        <v>10484665.203940179</v>
      </c>
      <c r="E91" s="269">
        <f>'Monthly Data'!BD91</f>
        <v>6.1903205128205077</v>
      </c>
      <c r="F91" s="269">
        <f>'Monthly Data'!BG91</f>
        <v>120.92250416250417</v>
      </c>
      <c r="G91" s="4">
        <f>'Monthly Data'!CG91</f>
        <v>0.25</v>
      </c>
      <c r="H91" s="4">
        <f>'Monthly Data'!CD91</f>
        <v>30</v>
      </c>
      <c r="I91" s="18">
        <f>'Monthly Data'!K91</f>
        <v>4306</v>
      </c>
      <c r="K91" s="18">
        <f>'GS&lt;50 Predicted Monthly'!$V$8</f>
        <v>-5601916.4558281703</v>
      </c>
      <c r="L91" s="18">
        <f>E91*'GS&lt;50 Predicted Monthly'!$V$9</f>
        <v>33444.018643575058</v>
      </c>
      <c r="M91" s="18">
        <f>F91*'GS&lt;50 Predicted Monthly'!$V$10</f>
        <v>1526408.7815708581</v>
      </c>
      <c r="N91" s="18">
        <f>G91*'GS&lt;50 Predicted Monthly'!$V$11</f>
        <v>-390944.88104167749</v>
      </c>
      <c r="O91" s="18">
        <f>H91*'GS&lt;50 Predicted Monthly'!$V$12</f>
        <v>8075038.79031807</v>
      </c>
      <c r="P91" s="18">
        <f>I91*'GS&lt;50 Predicted Monthly'!$V$13</f>
        <v>6549492.284991621</v>
      </c>
      <c r="Q91" s="18">
        <f t="shared" si="10"/>
        <v>10191522.538654275</v>
      </c>
      <c r="R91" s="18">
        <f t="shared" ca="1" si="11"/>
        <v>-293142.66528590396</v>
      </c>
      <c r="S91" s="270">
        <f t="shared" ca="1" si="12"/>
        <v>2.7959182251784231E-2</v>
      </c>
    </row>
    <row r="92" spans="1:26" x14ac:dyDescent="0.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 ca="1">'Monthly Data'!J92</f>
        <v>11721265.66598122</v>
      </c>
      <c r="E92" s="269">
        <f>'Monthly Data'!BD92</f>
        <v>0</v>
      </c>
      <c r="F92" s="269">
        <f>'Monthly Data'!BG92</f>
        <v>221.8543382913806</v>
      </c>
      <c r="G92" s="4">
        <f>'Monthly Data'!CG92</f>
        <v>0.25</v>
      </c>
      <c r="H92" s="4">
        <f>'Monthly Data'!CD92</f>
        <v>31</v>
      </c>
      <c r="I92" s="18">
        <f>'Monthly Data'!K92</f>
        <v>4310</v>
      </c>
      <c r="K92" s="18">
        <f>'GS&lt;50 Predicted Monthly'!$V$8</f>
        <v>-5601916.4558281703</v>
      </c>
      <c r="L92" s="18">
        <f>E92*'GS&lt;50 Predicted Monthly'!$V$9</f>
        <v>0</v>
      </c>
      <c r="M92" s="18">
        <f>F92*'GS&lt;50 Predicted Monthly'!$V$10</f>
        <v>2800474.6721294029</v>
      </c>
      <c r="N92" s="18">
        <f>G92*'GS&lt;50 Predicted Monthly'!$V$11</f>
        <v>-390944.88104167749</v>
      </c>
      <c r="O92" s="18">
        <f>H92*'GS&lt;50 Predicted Monthly'!$V$12</f>
        <v>8344206.7499953387</v>
      </c>
      <c r="P92" s="18">
        <f>I92*'GS&lt;50 Predicted Monthly'!$V$13</f>
        <v>6555576.3465661602</v>
      </c>
      <c r="Q92" s="18">
        <f t="shared" si="10"/>
        <v>11707396.431821054</v>
      </c>
      <c r="R92" s="18">
        <f t="shared" ca="1" si="11"/>
        <v>-13869.234160166234</v>
      </c>
      <c r="S92" s="270">
        <f t="shared" ca="1" si="12"/>
        <v>1.1832539723435405E-3</v>
      </c>
    </row>
    <row r="93" spans="1:26" x14ac:dyDescent="0.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 ca="1">'Monthly Data'!J93</f>
        <v>12184861.329755293</v>
      </c>
      <c r="E93" s="269">
        <f>'Monthly Data'!BD93</f>
        <v>0</v>
      </c>
      <c r="F93" s="269">
        <f>'Monthly Data'!BG93</f>
        <v>228.28333333333333</v>
      </c>
      <c r="G93" s="4">
        <f>'Monthly Data'!CG93</f>
        <v>0.25</v>
      </c>
      <c r="H93" s="4">
        <f>'Monthly Data'!CD93</f>
        <v>31</v>
      </c>
      <c r="I93" s="18">
        <f>'Monthly Data'!K93</f>
        <v>4310</v>
      </c>
      <c r="K93" s="18">
        <f>'GS&lt;50 Predicted Monthly'!$V$8</f>
        <v>-5601916.4558281703</v>
      </c>
      <c r="L93" s="18">
        <f>E93*'GS&lt;50 Predicted Monthly'!$V$9</f>
        <v>0</v>
      </c>
      <c r="M93" s="18">
        <f>F93*'GS&lt;50 Predicted Monthly'!$V$10</f>
        <v>2881628.089821815</v>
      </c>
      <c r="N93" s="18">
        <f>G93*'GS&lt;50 Predicted Monthly'!$V$11</f>
        <v>-390944.88104167749</v>
      </c>
      <c r="O93" s="18">
        <f>H93*'GS&lt;50 Predicted Monthly'!$V$12</f>
        <v>8344206.7499953387</v>
      </c>
      <c r="P93" s="18">
        <f>I93*'GS&lt;50 Predicted Monthly'!$V$13</f>
        <v>6555576.3465661602</v>
      </c>
      <c r="Q93" s="18">
        <f t="shared" si="10"/>
        <v>11788549.849513467</v>
      </c>
      <c r="R93" s="18">
        <f t="shared" ca="1" si="11"/>
        <v>-396311.4802418258</v>
      </c>
      <c r="S93" s="270">
        <f t="shared" ca="1" si="12"/>
        <v>3.2524906891967464E-2</v>
      </c>
    </row>
    <row r="94" spans="1:26" x14ac:dyDescent="0.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 ca="1">'Monthly Data'!J94</f>
        <v>10446268.078779444</v>
      </c>
      <c r="E94" s="269">
        <f>'Monthly Data'!BD94</f>
        <v>45.029166666666661</v>
      </c>
      <c r="F94" s="269">
        <f>'Monthly Data'!BG94</f>
        <v>94.054166666666674</v>
      </c>
      <c r="G94" s="4">
        <f>'Monthly Data'!CG94</f>
        <v>0.25</v>
      </c>
      <c r="H94" s="4">
        <f>'Monthly Data'!CD94</f>
        <v>30</v>
      </c>
      <c r="I94" s="18">
        <f>'Monthly Data'!K94</f>
        <v>4317</v>
      </c>
      <c r="K94" s="18">
        <f>'GS&lt;50 Predicted Monthly'!$V$8</f>
        <v>-5601916.4558281703</v>
      </c>
      <c r="L94" s="18">
        <f>E94*'GS&lt;50 Predicted Monthly'!$V$9</f>
        <v>243275.98003782309</v>
      </c>
      <c r="M94" s="18">
        <f>F94*'GS&lt;50 Predicted Monthly'!$V$10</f>
        <v>1187248.8660208045</v>
      </c>
      <c r="N94" s="18">
        <f>G94*'GS&lt;50 Predicted Monthly'!$V$11</f>
        <v>-390944.88104167749</v>
      </c>
      <c r="O94" s="18">
        <f>H94*'GS&lt;50 Predicted Monthly'!$V$12</f>
        <v>8075038.79031807</v>
      </c>
      <c r="P94" s="18">
        <f>I94*'GS&lt;50 Predicted Monthly'!$V$13</f>
        <v>6566223.4543216042</v>
      </c>
      <c r="Q94" s="18">
        <f t="shared" si="10"/>
        <v>10078925.753828455</v>
      </c>
      <c r="R94" s="18">
        <f t="shared" ca="1" si="11"/>
        <v>-367342.32495098934</v>
      </c>
      <c r="S94" s="270">
        <f t="shared" ca="1" si="12"/>
        <v>3.5164933752486097E-2</v>
      </c>
    </row>
    <row r="95" spans="1:26" x14ac:dyDescent="0.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 ca="1">'Monthly Data'!J95</f>
        <v>9864109.8868810162</v>
      </c>
      <c r="E95" s="269">
        <f>'Monthly Data'!BD95</f>
        <v>206.85561594202895</v>
      </c>
      <c r="F95" s="269">
        <f>'Monthly Data'!BG95</f>
        <v>2.4208333333333307</v>
      </c>
      <c r="G95" s="4">
        <f>'Monthly Data'!CG95</f>
        <v>0.25</v>
      </c>
      <c r="H95" s="4">
        <f>'Monthly Data'!CD95</f>
        <v>31</v>
      </c>
      <c r="I95" s="18">
        <f>'Monthly Data'!K95</f>
        <v>4318</v>
      </c>
      <c r="K95" s="18">
        <f>'GS&lt;50 Predicted Monthly'!$V$8</f>
        <v>-5601916.4558281703</v>
      </c>
      <c r="L95" s="18">
        <f>E95*'GS&lt;50 Predicted Monthly'!$V$9</f>
        <v>1117564.6013426401</v>
      </c>
      <c r="M95" s="18">
        <f>F95*'GS&lt;50 Predicted Monthly'!$V$10</f>
        <v>30558.259476280804</v>
      </c>
      <c r="N95" s="18">
        <f>G95*'GS&lt;50 Predicted Monthly'!$V$11</f>
        <v>-390944.88104167749</v>
      </c>
      <c r="O95" s="18">
        <f>H95*'GS&lt;50 Predicted Monthly'!$V$12</f>
        <v>8344206.7499953387</v>
      </c>
      <c r="P95" s="18">
        <f>I95*'GS&lt;50 Predicted Monthly'!$V$13</f>
        <v>6567744.4697152385</v>
      </c>
      <c r="Q95" s="18">
        <f t="shared" si="10"/>
        <v>10067212.743659649</v>
      </c>
      <c r="R95" s="18">
        <f t="shared" ca="1" si="11"/>
        <v>203102.85677863285</v>
      </c>
      <c r="S95" s="270">
        <f t="shared" ca="1" si="12"/>
        <v>2.0590084569997932E-2</v>
      </c>
    </row>
    <row r="96" spans="1:26" x14ac:dyDescent="0.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 ca="1">'Monthly Data'!J96</f>
        <v>10711710.156730885</v>
      </c>
      <c r="E96" s="269">
        <f>'Monthly Data'!BD96</f>
        <v>351.83333333333343</v>
      </c>
      <c r="F96" s="269">
        <f>'Monthly Data'!BG96</f>
        <v>2.3083333333333318</v>
      </c>
      <c r="G96" s="4">
        <f>'Monthly Data'!CG96</f>
        <v>0.25</v>
      </c>
      <c r="H96" s="4">
        <f>'Monthly Data'!CD96</f>
        <v>30</v>
      </c>
      <c r="I96" s="18">
        <f>'Monthly Data'!K96</f>
        <v>4330</v>
      </c>
      <c r="K96" s="18">
        <f>'GS&lt;50 Predicted Monthly'!$V$8</f>
        <v>-5601916.4558281703</v>
      </c>
      <c r="L96" s="18">
        <f>E96*'GS&lt;50 Predicted Monthly'!$V$9</f>
        <v>1900825.7383541954</v>
      </c>
      <c r="M96" s="18">
        <f>F96*'GS&lt;50 Predicted Monthly'!$V$10</f>
        <v>29138.168244164499</v>
      </c>
      <c r="N96" s="18">
        <f>G96*'GS&lt;50 Predicted Monthly'!$V$11</f>
        <v>-390944.88104167749</v>
      </c>
      <c r="O96" s="18">
        <f>H96*'GS&lt;50 Predicted Monthly'!$V$12</f>
        <v>8075038.79031807</v>
      </c>
      <c r="P96" s="18">
        <f>I96*'GS&lt;50 Predicted Monthly'!$V$13</f>
        <v>6585996.654438857</v>
      </c>
      <c r="Q96" s="18">
        <f t="shared" si="10"/>
        <v>10598138.014485439</v>
      </c>
      <c r="R96" s="18">
        <f t="shared" ca="1" si="11"/>
        <v>-113572.1422454454</v>
      </c>
      <c r="S96" s="270">
        <f t="shared" ca="1" si="12"/>
        <v>1.0602615323201255E-2</v>
      </c>
    </row>
    <row r="97" spans="1:19" x14ac:dyDescent="0.25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 ca="1">'Monthly Data'!J97</f>
        <v>12176416.001356015</v>
      </c>
      <c r="E97" s="269">
        <f>'Monthly Data'!BD97</f>
        <v>523.12083333333328</v>
      </c>
      <c r="F97" s="269">
        <f>'Monthly Data'!BG97</f>
        <v>0</v>
      </c>
      <c r="G97" s="4">
        <f>'Monthly Data'!CG97</f>
        <v>0.25</v>
      </c>
      <c r="H97" s="4">
        <f>'Monthly Data'!CD97</f>
        <v>31</v>
      </c>
      <c r="I97" s="18">
        <f>'Monthly Data'!K97</f>
        <v>4328</v>
      </c>
      <c r="K97" s="18">
        <f>'GS&lt;50 Predicted Monthly'!$V$8</f>
        <v>-5601916.4558281703</v>
      </c>
      <c r="L97" s="18">
        <f>E97*'GS&lt;50 Predicted Monthly'!$V$9</f>
        <v>2826228.9273404875</v>
      </c>
      <c r="M97" s="18">
        <f>F97*'GS&lt;50 Predicted Monthly'!$V$10</f>
        <v>0</v>
      </c>
      <c r="N97" s="18">
        <f>G97*'GS&lt;50 Predicted Monthly'!$V$11</f>
        <v>-390944.88104167749</v>
      </c>
      <c r="O97" s="18">
        <f>H97*'GS&lt;50 Predicted Monthly'!$V$12</f>
        <v>8344206.7499953387</v>
      </c>
      <c r="P97" s="18">
        <f>I97*'GS&lt;50 Predicted Monthly'!$V$13</f>
        <v>6582954.6236515874</v>
      </c>
      <c r="Q97" s="18">
        <f t="shared" si="10"/>
        <v>11760528.964117564</v>
      </c>
      <c r="R97" s="18">
        <f t="shared" ca="1" si="11"/>
        <v>-415887.03723845072</v>
      </c>
      <c r="S97" s="270">
        <f t="shared" ca="1" si="12"/>
        <v>3.415512718948957E-2</v>
      </c>
    </row>
    <row r="98" spans="1:19" x14ac:dyDescent="0.25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 ca="1">'Monthly Data'!J98</f>
        <v>11917827.94576852</v>
      </c>
      <c r="E98" s="269">
        <f>'Monthly Data'!BD98</f>
        <v>542.07083333333333</v>
      </c>
      <c r="F98" s="269">
        <f>'Monthly Data'!BG98</f>
        <v>0</v>
      </c>
      <c r="G98" s="4">
        <f>'Monthly Data'!CG98</f>
        <v>0</v>
      </c>
      <c r="H98" s="4">
        <f>'Monthly Data'!CD98</f>
        <v>31</v>
      </c>
      <c r="I98" s="18">
        <f>'Monthly Data'!K98</f>
        <v>4326</v>
      </c>
      <c r="K98" s="18">
        <f>'GS&lt;50 Predicted Monthly'!$V$8</f>
        <v>-5601916.4558281703</v>
      </c>
      <c r="L98" s="18">
        <f>E98*'GS&lt;50 Predicted Monthly'!$V$9</f>
        <v>2928608.7882835823</v>
      </c>
      <c r="M98" s="18">
        <f>F98*'GS&lt;50 Predicted Monthly'!$V$10</f>
        <v>0</v>
      </c>
      <c r="N98" s="18">
        <f>G98*'GS&lt;50 Predicted Monthly'!$V$11</f>
        <v>0</v>
      </c>
      <c r="O98" s="18">
        <f>H98*'GS&lt;50 Predicted Monthly'!$V$12</f>
        <v>8344206.7499953387</v>
      </c>
      <c r="P98" s="18">
        <f>I98*'GS&lt;50 Predicted Monthly'!$V$13</f>
        <v>6579912.5928643178</v>
      </c>
      <c r="Q98" s="18">
        <f t="shared" ref="Q98:Q121" si="13">SUM(K98:P98)</f>
        <v>12250811.675315069</v>
      </c>
      <c r="R98" s="18">
        <f t="shared" ref="R98:R121" ca="1" si="14">Q98-D98</f>
        <v>332983.7295465488</v>
      </c>
      <c r="S98" s="270">
        <f t="shared" ref="S98:S121" ca="1" si="15">ABS(R98/D98)</f>
        <v>2.7939967841604577E-2</v>
      </c>
    </row>
    <row r="99" spans="1:19" x14ac:dyDescent="0.25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 ca="1">'Monthly Data'!J99</f>
        <v>11283419.234318363</v>
      </c>
      <c r="E99" s="269">
        <f>'Monthly Data'!BD99</f>
        <v>517.43333333333328</v>
      </c>
      <c r="F99" s="269">
        <f>'Monthly Data'!BG99</f>
        <v>0</v>
      </c>
      <c r="G99" s="4">
        <f>'Monthly Data'!CG99</f>
        <v>0</v>
      </c>
      <c r="H99" s="4">
        <f>'Monthly Data'!CD99</f>
        <v>28</v>
      </c>
      <c r="I99" s="18">
        <f>'Monthly Data'!K99</f>
        <v>4326</v>
      </c>
      <c r="K99" s="18">
        <f>'GS&lt;50 Predicted Monthly'!$V$8</f>
        <v>-5601916.4558281703</v>
      </c>
      <c r="L99" s="18">
        <f>E99*'GS&lt;50 Predicted Monthly'!$V$9</f>
        <v>2795501.4624795984</v>
      </c>
      <c r="M99" s="18">
        <f>F99*'GS&lt;50 Predicted Monthly'!$V$10</f>
        <v>0</v>
      </c>
      <c r="N99" s="18">
        <f>G99*'GS&lt;50 Predicted Monthly'!$V$11</f>
        <v>0</v>
      </c>
      <c r="O99" s="18">
        <f>H99*'GS&lt;50 Predicted Monthly'!$V$12</f>
        <v>7536702.8709635315</v>
      </c>
      <c r="P99" s="18">
        <f>I99*'GS&lt;50 Predicted Monthly'!$V$13</f>
        <v>6579912.5928643178</v>
      </c>
      <c r="Q99" s="18">
        <f t="shared" si="13"/>
        <v>11310200.470479278</v>
      </c>
      <c r="R99" s="18">
        <f t="shared" ca="1" si="14"/>
        <v>26781.236160915345</v>
      </c>
      <c r="S99" s="270">
        <f t="shared" ca="1" si="15"/>
        <v>2.3735035989321915E-3</v>
      </c>
    </row>
    <row r="100" spans="1:19" x14ac:dyDescent="0.25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 ca="1">'Monthly Data'!J100</f>
        <v>11829923.550221913</v>
      </c>
      <c r="E100" s="269">
        <f>'Monthly Data'!BD100</f>
        <v>489.03333333333336</v>
      </c>
      <c r="F100" s="269">
        <f>'Monthly Data'!BG100</f>
        <v>0</v>
      </c>
      <c r="G100" s="4">
        <f>'Monthly Data'!CG100</f>
        <v>0</v>
      </c>
      <c r="H100" s="4">
        <f>'Monthly Data'!CD100</f>
        <v>31</v>
      </c>
      <c r="I100" s="18">
        <f>'Monthly Data'!K100</f>
        <v>4323</v>
      </c>
      <c r="K100" s="18">
        <f>'GS&lt;50 Predicted Monthly'!$V$8</f>
        <v>-5601916.4558281703</v>
      </c>
      <c r="L100" s="18">
        <f>E100*'GS&lt;50 Predicted Monthly'!$V$9</f>
        <v>2642066.7368445657</v>
      </c>
      <c r="M100" s="18">
        <f>F100*'GS&lt;50 Predicted Monthly'!$V$10</f>
        <v>0</v>
      </c>
      <c r="N100" s="18">
        <f>G100*'GS&lt;50 Predicted Monthly'!$V$11</f>
        <v>0</v>
      </c>
      <c r="O100" s="18">
        <f>H100*'GS&lt;50 Predicted Monthly'!$V$12</f>
        <v>8344206.7499953387</v>
      </c>
      <c r="P100" s="18">
        <f>I100*'GS&lt;50 Predicted Monthly'!$V$13</f>
        <v>6575349.546683413</v>
      </c>
      <c r="Q100" s="18">
        <f t="shared" si="13"/>
        <v>11959706.577695146</v>
      </c>
      <c r="R100" s="18">
        <f t="shared" ca="1" si="14"/>
        <v>129783.02747323364</v>
      </c>
      <c r="S100" s="270">
        <f t="shared" ca="1" si="15"/>
        <v>1.0970741013013485E-2</v>
      </c>
    </row>
    <row r="101" spans="1:19" x14ac:dyDescent="0.25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 ca="1">'Monthly Data'!J101</f>
        <v>10009865.136958813</v>
      </c>
      <c r="E101" s="269">
        <f>'Monthly Data'!BD101</f>
        <v>243.15833333333336</v>
      </c>
      <c r="F101" s="269">
        <f>'Monthly Data'!BG101</f>
        <v>11.71666666666667</v>
      </c>
      <c r="G101" s="4">
        <f>'Monthly Data'!CG101</f>
        <v>0</v>
      </c>
      <c r="H101" s="4">
        <f>'Monthly Data'!CD101</f>
        <v>30</v>
      </c>
      <c r="I101" s="18">
        <f>'Monthly Data'!K101</f>
        <v>4324</v>
      </c>
      <c r="K101" s="18">
        <f>'GS&lt;50 Predicted Monthly'!$V$8</f>
        <v>-5601916.4558281703</v>
      </c>
      <c r="L101" s="18">
        <f>E101*'GS&lt;50 Predicted Monthly'!$V$9</f>
        <v>1313694.7943968985</v>
      </c>
      <c r="M101" s="18">
        <f>F101*'GS&lt;50 Predicted Monthly'!$V$10</f>
        <v>147899.8720263369</v>
      </c>
      <c r="N101" s="18">
        <f>G101*'GS&lt;50 Predicted Monthly'!$V$11</f>
        <v>0</v>
      </c>
      <c r="O101" s="18">
        <f>H101*'GS&lt;50 Predicted Monthly'!$V$12</f>
        <v>8075038.79031807</v>
      </c>
      <c r="P101" s="18">
        <f>I101*'GS&lt;50 Predicted Monthly'!$V$13</f>
        <v>6576870.5620770482</v>
      </c>
      <c r="Q101" s="18">
        <f t="shared" si="13"/>
        <v>10511587.562990183</v>
      </c>
      <c r="R101" s="18">
        <f t="shared" ca="1" si="14"/>
        <v>501722.42603136972</v>
      </c>
      <c r="S101" s="270">
        <f t="shared" ca="1" si="15"/>
        <v>5.0122795778625495E-2</v>
      </c>
    </row>
    <row r="102" spans="1:19" x14ac:dyDescent="0.25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 ca="1">'Monthly Data'!J102</f>
        <v>10377500.408066193</v>
      </c>
      <c r="E102" s="269">
        <f>'Monthly Data'!BD102</f>
        <v>113.00166666666665</v>
      </c>
      <c r="F102" s="269">
        <f>'Monthly Data'!BG102</f>
        <v>37.345833333333331</v>
      </c>
      <c r="G102" s="4">
        <f>'Monthly Data'!CG102</f>
        <v>0</v>
      </c>
      <c r="H102" s="4">
        <f>'Monthly Data'!CD102</f>
        <v>31</v>
      </c>
      <c r="I102" s="18">
        <f>'Monthly Data'!K102</f>
        <v>4331</v>
      </c>
      <c r="K102" s="18">
        <f>'GS&lt;50 Predicted Monthly'!$V$8</f>
        <v>-5601916.4558281703</v>
      </c>
      <c r="L102" s="18">
        <f>E102*'GS&lt;50 Predicted Monthly'!$V$9</f>
        <v>610506.32821484003</v>
      </c>
      <c r="M102" s="18">
        <f>F102*'GS&lt;50 Predicted Monthly'!$V$10</f>
        <v>471417.69309105875</v>
      </c>
      <c r="N102" s="18">
        <f>G102*'GS&lt;50 Predicted Monthly'!$V$11</f>
        <v>0</v>
      </c>
      <c r="O102" s="18">
        <f>H102*'GS&lt;50 Predicted Monthly'!$V$12</f>
        <v>8344206.7499953387</v>
      </c>
      <c r="P102" s="18">
        <f>I102*'GS&lt;50 Predicted Monthly'!$V$13</f>
        <v>6587517.6698324913</v>
      </c>
      <c r="Q102" s="18">
        <f t="shared" si="13"/>
        <v>10411731.985305559</v>
      </c>
      <c r="R102" s="18">
        <f t="shared" ca="1" si="14"/>
        <v>34231.577239366248</v>
      </c>
      <c r="S102" s="270">
        <f t="shared" ca="1" si="15"/>
        <v>3.298634150161905E-3</v>
      </c>
    </row>
    <row r="103" spans="1:19" x14ac:dyDescent="0.25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 ca="1">'Monthly Data'!J103</f>
        <v>11128957.523446629</v>
      </c>
      <c r="E103" s="269">
        <f>'Monthly Data'!BD103</f>
        <v>4.2708333333333268</v>
      </c>
      <c r="F103" s="269">
        <f>'Monthly Data'!BG103</f>
        <v>145.54166666666666</v>
      </c>
      <c r="G103" s="4">
        <f>'Monthly Data'!CG103</f>
        <v>0</v>
      </c>
      <c r="H103" s="4">
        <f>'Monthly Data'!CD103</f>
        <v>30</v>
      </c>
      <c r="I103" s="18">
        <f>'Monthly Data'!K103</f>
        <v>4427</v>
      </c>
      <c r="K103" s="18">
        <f>'GS&lt;50 Predicted Monthly'!$V$8</f>
        <v>-5601916.4558281703</v>
      </c>
      <c r="L103" s="18">
        <f>E103*'GS&lt;50 Predicted Monthly'!$V$9</f>
        <v>23073.737349751857</v>
      </c>
      <c r="M103" s="18">
        <f>F103*'GS&lt;50 Predicted Monthly'!$V$10</f>
        <v>1837177.2865860406</v>
      </c>
      <c r="N103" s="18">
        <f>G103*'GS&lt;50 Predicted Monthly'!$V$11</f>
        <v>0</v>
      </c>
      <c r="O103" s="18">
        <f>H103*'GS&lt;50 Predicted Monthly'!$V$12</f>
        <v>8075038.79031807</v>
      </c>
      <c r="P103" s="18">
        <f>I103*'GS&lt;50 Predicted Monthly'!$V$13</f>
        <v>6733535.147621436</v>
      </c>
      <c r="Q103" s="18">
        <f t="shared" si="13"/>
        <v>11066908.506047128</v>
      </c>
      <c r="R103" s="18">
        <f t="shared" ca="1" si="14"/>
        <v>-62049.017399501055</v>
      </c>
      <c r="S103" s="270">
        <f t="shared" ca="1" si="15"/>
        <v>5.5754563955137219E-3</v>
      </c>
    </row>
    <row r="104" spans="1:19" x14ac:dyDescent="0.25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 ca="1">'Monthly Data'!J104</f>
        <v>12548734.369748404</v>
      </c>
      <c r="E104" s="269">
        <f>'Monthly Data'!BD104</f>
        <v>0</v>
      </c>
      <c r="F104" s="269">
        <f>'Monthly Data'!BG104</f>
        <v>223.78333333333336</v>
      </c>
      <c r="G104" s="4">
        <f>'Monthly Data'!CG104</f>
        <v>0</v>
      </c>
      <c r="H104" s="4">
        <f>'Monthly Data'!CD104</f>
        <v>31</v>
      </c>
      <c r="I104" s="18">
        <f>'Monthly Data'!K104</f>
        <v>4428</v>
      </c>
      <c r="K104" s="18">
        <f>'GS&lt;50 Predicted Monthly'!$V$8</f>
        <v>-5601916.4558281703</v>
      </c>
      <c r="L104" s="18">
        <f>E104*'GS&lt;50 Predicted Monthly'!$V$9</f>
        <v>0</v>
      </c>
      <c r="M104" s="18">
        <f>F104*'GS&lt;50 Predicted Monthly'!$V$10</f>
        <v>2824824.4405371626</v>
      </c>
      <c r="N104" s="18">
        <f>G104*'GS&lt;50 Predicted Monthly'!$V$11</f>
        <v>0</v>
      </c>
      <c r="O104" s="18">
        <f>H104*'GS&lt;50 Predicted Monthly'!$V$12</f>
        <v>8344206.7499953387</v>
      </c>
      <c r="P104" s="18">
        <f>I104*'GS&lt;50 Predicted Monthly'!$V$13</f>
        <v>6735056.1630150713</v>
      </c>
      <c r="Q104" s="18">
        <f t="shared" si="13"/>
        <v>12302170.897719402</v>
      </c>
      <c r="R104" s="18">
        <f t="shared" ca="1" si="14"/>
        <v>-246563.47202900238</v>
      </c>
      <c r="S104" s="270">
        <f t="shared" ca="1" si="15"/>
        <v>1.9648473285353785E-2</v>
      </c>
    </row>
    <row r="105" spans="1:19" x14ac:dyDescent="0.25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 ca="1">'Monthly Data'!J105</f>
        <v>11742365.348617151</v>
      </c>
      <c r="E105" s="269">
        <f>'Monthly Data'!BD105</f>
        <v>1.6125000000000007</v>
      </c>
      <c r="F105" s="269">
        <f>'Monthly Data'!BG105</f>
        <v>165.80489130434788</v>
      </c>
      <c r="G105" s="4">
        <f>'Monthly Data'!CG105</f>
        <v>0</v>
      </c>
      <c r="H105" s="4">
        <f>'Monthly Data'!CD105</f>
        <v>31</v>
      </c>
      <c r="I105" s="18">
        <f>'Monthly Data'!K105</f>
        <v>4431</v>
      </c>
      <c r="K105" s="18">
        <f>'GS&lt;50 Predicted Monthly'!$V$8</f>
        <v>-5601916.4558281703</v>
      </c>
      <c r="L105" s="18">
        <f>E105*'GS&lt;50 Predicted Monthly'!$V$9</f>
        <v>8711.7427847355957</v>
      </c>
      <c r="M105" s="18">
        <f>F105*'GS&lt;50 Predicted Monthly'!$V$10</f>
        <v>2092960.6434071474</v>
      </c>
      <c r="N105" s="18">
        <f>G105*'GS&lt;50 Predicted Monthly'!$V$11</f>
        <v>0</v>
      </c>
      <c r="O105" s="18">
        <f>H105*'GS&lt;50 Predicted Monthly'!$V$12</f>
        <v>8344206.7499953387</v>
      </c>
      <c r="P105" s="18">
        <f>I105*'GS&lt;50 Predicted Monthly'!$V$13</f>
        <v>6739619.2091959761</v>
      </c>
      <c r="Q105" s="18">
        <f t="shared" si="13"/>
        <v>11583581.889555028</v>
      </c>
      <c r="R105" s="18">
        <f t="shared" ca="1" si="14"/>
        <v>-158783.45906212367</v>
      </c>
      <c r="S105" s="270">
        <f t="shared" ca="1" si="15"/>
        <v>1.3522272076198253E-2</v>
      </c>
    </row>
    <row r="106" spans="1:19" x14ac:dyDescent="0.25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 ca="1">'Monthly Data'!J106</f>
        <v>10872890.40478022</v>
      </c>
      <c r="E106" s="269">
        <f>'Monthly Data'!BD106</f>
        <v>15.216666666666669</v>
      </c>
      <c r="F106" s="269">
        <f>'Monthly Data'!BG106</f>
        <v>105.35</v>
      </c>
      <c r="G106" s="4">
        <f>'Monthly Data'!CG106</f>
        <v>0</v>
      </c>
      <c r="H106" s="4">
        <f>'Monthly Data'!CD106</f>
        <v>30</v>
      </c>
      <c r="I106" s="18">
        <f>'Monthly Data'!K106</f>
        <v>4430</v>
      </c>
      <c r="K106" s="18">
        <f>'GS&lt;50 Predicted Monthly'!$V$8</f>
        <v>-5601916.4558281703</v>
      </c>
      <c r="L106" s="18">
        <f>E106*'GS&lt;50 Predicted Monthly'!$V$9</f>
        <v>82210.037854920898</v>
      </c>
      <c r="M106" s="18">
        <f>F106*'GS&lt;50 Predicted Monthly'!$V$10</f>
        <v>1329836.5449195949</v>
      </c>
      <c r="N106" s="18">
        <f>G106*'GS&lt;50 Predicted Monthly'!$V$11</f>
        <v>0</v>
      </c>
      <c r="O106" s="18">
        <f>H106*'GS&lt;50 Predicted Monthly'!$V$12</f>
        <v>8075038.79031807</v>
      </c>
      <c r="P106" s="18">
        <f>I106*'GS&lt;50 Predicted Monthly'!$V$13</f>
        <v>6738098.1938023409</v>
      </c>
      <c r="Q106" s="18">
        <f t="shared" si="13"/>
        <v>10623267.111066757</v>
      </c>
      <c r="R106" s="18">
        <f t="shared" ca="1" si="14"/>
        <v>-249623.29371346347</v>
      </c>
      <c r="S106" s="270">
        <f t="shared" ca="1" si="15"/>
        <v>2.2958319675853409E-2</v>
      </c>
    </row>
    <row r="107" spans="1:19" x14ac:dyDescent="0.25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 ca="1">'Monthly Data'!J107</f>
        <v>10590155.23735683</v>
      </c>
      <c r="E107" s="269">
        <f>'Monthly Data'!BD107</f>
        <v>157.42916666666665</v>
      </c>
      <c r="F107" s="269">
        <f>'Monthly Data'!BG107</f>
        <v>35.333333333333343</v>
      </c>
      <c r="G107" s="4">
        <f>'Monthly Data'!CG107</f>
        <v>0</v>
      </c>
      <c r="H107" s="4">
        <f>'Monthly Data'!CD107</f>
        <v>31</v>
      </c>
      <c r="I107" s="18">
        <f>'Monthly Data'!K107</f>
        <v>4441</v>
      </c>
      <c r="K107" s="18">
        <f>'GS&lt;50 Predicted Monthly'!$V$8</f>
        <v>-5601916.4558281703</v>
      </c>
      <c r="L107" s="18">
        <f>E107*'GS&lt;50 Predicted Monthly'!$V$9</f>
        <v>850531.7251567567</v>
      </c>
      <c r="M107" s="18">
        <f>F107*'GS&lt;50 Predicted Monthly'!$V$10</f>
        <v>446013.83882764471</v>
      </c>
      <c r="N107" s="18">
        <f>G107*'GS&lt;50 Predicted Monthly'!$V$11</f>
        <v>0</v>
      </c>
      <c r="O107" s="18">
        <f>H107*'GS&lt;50 Predicted Monthly'!$V$12</f>
        <v>8344206.7499953387</v>
      </c>
      <c r="P107" s="18">
        <f>I107*'GS&lt;50 Predicted Monthly'!$V$13</f>
        <v>6754829.3631323241</v>
      </c>
      <c r="Q107" s="18">
        <f t="shared" si="13"/>
        <v>10793665.221283894</v>
      </c>
      <c r="R107" s="18">
        <f t="shared" ca="1" si="14"/>
        <v>203509.98392706364</v>
      </c>
      <c r="S107" s="270">
        <f t="shared" ca="1" si="15"/>
        <v>1.9216902808863564E-2</v>
      </c>
    </row>
    <row r="108" spans="1:19" x14ac:dyDescent="0.25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 ca="1">'Monthly Data'!J108</f>
        <v>11130031.213250717</v>
      </c>
      <c r="E108" s="269">
        <f>'Monthly Data'!BD108</f>
        <v>390.59311594202899</v>
      </c>
      <c r="F108" s="269">
        <f>'Monthly Data'!BG108</f>
        <v>0</v>
      </c>
      <c r="G108" s="4">
        <f>'Monthly Data'!CG108</f>
        <v>0</v>
      </c>
      <c r="H108" s="4">
        <f>'Monthly Data'!CD108</f>
        <v>30</v>
      </c>
      <c r="I108" s="18">
        <f>'Monthly Data'!K108</f>
        <v>4460</v>
      </c>
      <c r="K108" s="18">
        <f>'GS&lt;50 Predicted Monthly'!$V$8</f>
        <v>-5601916.4558281703</v>
      </c>
      <c r="L108" s="18">
        <f>E108*'GS&lt;50 Predicted Monthly'!$V$9</f>
        <v>2110230.5485738688</v>
      </c>
      <c r="M108" s="18">
        <f>F108*'GS&lt;50 Predicted Monthly'!$V$10</f>
        <v>0</v>
      </c>
      <c r="N108" s="18">
        <f>G108*'GS&lt;50 Predicted Monthly'!$V$11</f>
        <v>0</v>
      </c>
      <c r="O108" s="18">
        <f>H108*'GS&lt;50 Predicted Monthly'!$V$12</f>
        <v>8075038.79031807</v>
      </c>
      <c r="P108" s="18">
        <f>I108*'GS&lt;50 Predicted Monthly'!$V$13</f>
        <v>6783728.6556113865</v>
      </c>
      <c r="Q108" s="18">
        <f t="shared" si="13"/>
        <v>11367081.538675155</v>
      </c>
      <c r="R108" s="18">
        <f t="shared" ca="1" si="14"/>
        <v>237050.32542443834</v>
      </c>
      <c r="S108" s="270">
        <f t="shared" ca="1" si="15"/>
        <v>2.1298262411180043E-2</v>
      </c>
    </row>
    <row r="109" spans="1:19" x14ac:dyDescent="0.25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 ca="1">'Monthly Data'!J109</f>
        <v>12205774.280737044</v>
      </c>
      <c r="E109" s="269">
        <f>'Monthly Data'!BD109</f>
        <v>427.67916666666667</v>
      </c>
      <c r="F109" s="269">
        <f>'Monthly Data'!BG109</f>
        <v>0</v>
      </c>
      <c r="G109" s="4">
        <f>'Monthly Data'!CG109</f>
        <v>0</v>
      </c>
      <c r="H109" s="4">
        <f>'Monthly Data'!CD109</f>
        <v>31</v>
      </c>
      <c r="I109" s="18">
        <f>'Monthly Data'!K109</f>
        <v>4474</v>
      </c>
      <c r="K109" s="18">
        <f>'GS&lt;50 Predicted Monthly'!$V$8</f>
        <v>-5601916.4558281703</v>
      </c>
      <c r="L109" s="18">
        <f>E109*'GS&lt;50 Predicted Monthly'!$V$9</f>
        <v>2310592.8027225202</v>
      </c>
      <c r="M109" s="18">
        <f>F109*'GS&lt;50 Predicted Monthly'!$V$10</f>
        <v>0</v>
      </c>
      <c r="N109" s="18">
        <f>G109*'GS&lt;50 Predicted Monthly'!$V$11</f>
        <v>0</v>
      </c>
      <c r="O109" s="18">
        <f>H109*'GS&lt;50 Predicted Monthly'!$V$12</f>
        <v>8344206.7499953387</v>
      </c>
      <c r="P109" s="18">
        <f>I109*'GS&lt;50 Predicted Monthly'!$V$13</f>
        <v>6805022.8711222736</v>
      </c>
      <c r="Q109" s="18">
        <f t="shared" si="13"/>
        <v>11857905.968011962</v>
      </c>
      <c r="R109" s="18">
        <f t="shared" ca="1" si="14"/>
        <v>-347868.31272508204</v>
      </c>
      <c r="S109" s="270">
        <f t="shared" ca="1" si="15"/>
        <v>2.8500306881316179E-2</v>
      </c>
    </row>
    <row r="110" spans="1:19" x14ac:dyDescent="0.25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 ca="1">'Monthly Data'!J110</f>
        <v>13014635.147972617</v>
      </c>
      <c r="E110" s="269">
        <f>'Monthly Data'!BD110</f>
        <v>574.99583333333339</v>
      </c>
      <c r="F110" s="269">
        <f>'Monthly Data'!BG110</f>
        <v>0</v>
      </c>
      <c r="G110" s="4">
        <f>'Monthly Data'!CG110</f>
        <v>0</v>
      </c>
      <c r="H110" s="4">
        <f>'Monthly Data'!CD110</f>
        <v>31</v>
      </c>
      <c r="I110" s="18">
        <f>'Monthly Data'!K110</f>
        <v>4429</v>
      </c>
      <c r="K110" s="18">
        <f>'GS&lt;50 Predicted Monthly'!$V$8</f>
        <v>-5601916.4558281703</v>
      </c>
      <c r="L110" s="18">
        <f>E110*'GS&lt;50 Predicted Monthly'!$V$9</f>
        <v>3106490.4200277184</v>
      </c>
      <c r="M110" s="18">
        <f>F110*'GS&lt;50 Predicted Monthly'!$V$10</f>
        <v>0</v>
      </c>
      <c r="N110" s="18">
        <f>G110*'GS&lt;50 Predicted Monthly'!$V$11</f>
        <v>0</v>
      </c>
      <c r="O110" s="18">
        <f>H110*'GS&lt;50 Predicted Monthly'!$V$12</f>
        <v>8344206.7499953387</v>
      </c>
      <c r="P110" s="18">
        <f>I110*'GS&lt;50 Predicted Monthly'!$V$13</f>
        <v>6736577.1784087056</v>
      </c>
      <c r="Q110" s="18">
        <f t="shared" si="13"/>
        <v>12585357.892603591</v>
      </c>
      <c r="R110" s="18">
        <f t="shared" ca="1" si="14"/>
        <v>-429277.25536902621</v>
      </c>
      <c r="S110" s="270">
        <f t="shared" ca="1" si="15"/>
        <v>3.2984194369513137E-2</v>
      </c>
    </row>
    <row r="111" spans="1:19" x14ac:dyDescent="0.25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 ca="1">'Monthly Data'!J111</f>
        <v>11809067.11452879</v>
      </c>
      <c r="E111" s="269">
        <f>'Monthly Data'!BD111</f>
        <v>484.96666666666658</v>
      </c>
      <c r="F111" s="269">
        <f>'Monthly Data'!BG111</f>
        <v>0</v>
      </c>
      <c r="G111" s="4">
        <f>'Monthly Data'!CG111</f>
        <v>0</v>
      </c>
      <c r="H111" s="4">
        <f>'Monthly Data'!CD111</f>
        <v>29</v>
      </c>
      <c r="I111" s="18">
        <f>'Monthly Data'!K111</f>
        <v>4427</v>
      </c>
      <c r="K111" s="18">
        <f>'GS&lt;50 Predicted Monthly'!$V$8</f>
        <v>-5601916.4558281703</v>
      </c>
      <c r="L111" s="18">
        <f>E111*'GS&lt;50 Predicted Monthly'!$V$9</f>
        <v>2620096.0366949481</v>
      </c>
      <c r="M111" s="18">
        <f>F111*'GS&lt;50 Predicted Monthly'!$V$10</f>
        <v>0</v>
      </c>
      <c r="N111" s="18">
        <f>G111*'GS&lt;50 Predicted Monthly'!$V$11</f>
        <v>0</v>
      </c>
      <c r="O111" s="18">
        <f>H111*'GS&lt;50 Predicted Monthly'!$V$12</f>
        <v>7805870.8306408003</v>
      </c>
      <c r="P111" s="18">
        <f>I111*'GS&lt;50 Predicted Monthly'!$V$13</f>
        <v>6733535.147621436</v>
      </c>
      <c r="Q111" s="18">
        <f t="shared" si="13"/>
        <v>11557585.559129015</v>
      </c>
      <c r="R111" s="18">
        <f t="shared" ca="1" si="14"/>
        <v>-251481.55539977551</v>
      </c>
      <c r="S111" s="270">
        <f t="shared" ca="1" si="15"/>
        <v>2.1295632666053336E-2</v>
      </c>
    </row>
    <row r="112" spans="1:19" x14ac:dyDescent="0.25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 ca="1">'Monthly Data'!J112</f>
        <v>11846684.157773821</v>
      </c>
      <c r="E112" s="269">
        <f>'Monthly Data'!BD112</f>
        <v>398.11250000000001</v>
      </c>
      <c r="F112" s="269">
        <f>'Monthly Data'!BG112</f>
        <v>0</v>
      </c>
      <c r="G112" s="4">
        <f>'Monthly Data'!CG112</f>
        <v>0</v>
      </c>
      <c r="H112" s="4">
        <f>'Monthly Data'!CD112</f>
        <v>31</v>
      </c>
      <c r="I112" s="18">
        <f>'Monthly Data'!K112</f>
        <v>4431</v>
      </c>
      <c r="K112" s="18">
        <f>'GS&lt;50 Predicted Monthly'!$V$8</f>
        <v>-5601916.4558281703</v>
      </c>
      <c r="L112" s="18">
        <f>E112*'GS&lt;50 Predicted Monthly'!$V$9</f>
        <v>2150855.0073724333</v>
      </c>
      <c r="M112" s="18">
        <f>F112*'GS&lt;50 Predicted Monthly'!$V$10</f>
        <v>0</v>
      </c>
      <c r="N112" s="18">
        <f>G112*'GS&lt;50 Predicted Monthly'!$V$11</f>
        <v>0</v>
      </c>
      <c r="O112" s="18">
        <f>H112*'GS&lt;50 Predicted Monthly'!$V$12</f>
        <v>8344206.7499953387</v>
      </c>
      <c r="P112" s="18">
        <f>I112*'GS&lt;50 Predicted Monthly'!$V$13</f>
        <v>6739619.2091959761</v>
      </c>
      <c r="Q112" s="18">
        <f t="shared" si="13"/>
        <v>11632764.510735579</v>
      </c>
      <c r="R112" s="18">
        <f t="shared" ca="1" si="14"/>
        <v>-213919.64703824185</v>
      </c>
      <c r="S112" s="270">
        <f t="shared" ca="1" si="15"/>
        <v>1.8057343657454334E-2</v>
      </c>
    </row>
    <row r="113" spans="1:19" x14ac:dyDescent="0.25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 ca="1">'Monthly Data'!J113</f>
        <v>10810229.198586483</v>
      </c>
      <c r="E113" s="269">
        <f>'Monthly Data'!BD113</f>
        <v>248.29791666666665</v>
      </c>
      <c r="F113" s="269">
        <f>'Monthly Data'!BG113</f>
        <v>0</v>
      </c>
      <c r="G113" s="4">
        <f>'Monthly Data'!CG113</f>
        <v>0</v>
      </c>
      <c r="H113" s="4">
        <f>'Monthly Data'!CD113</f>
        <v>30</v>
      </c>
      <c r="I113" s="18">
        <f>'Monthly Data'!K113</f>
        <v>4433</v>
      </c>
      <c r="K113" s="18">
        <f>'GS&lt;50 Predicted Monthly'!$V$8</f>
        <v>-5601916.4558281703</v>
      </c>
      <c r="L113" s="18">
        <f>E113*'GS&lt;50 Predicted Monthly'!$V$9</f>
        <v>1341462.0675880387</v>
      </c>
      <c r="M113" s="18">
        <f>F113*'GS&lt;50 Predicted Monthly'!$V$10</f>
        <v>0</v>
      </c>
      <c r="N113" s="18">
        <f>G113*'GS&lt;50 Predicted Monthly'!$V$11</f>
        <v>0</v>
      </c>
      <c r="O113" s="18">
        <f>H113*'GS&lt;50 Predicted Monthly'!$V$12</f>
        <v>8075038.79031807</v>
      </c>
      <c r="P113" s="18">
        <f>I113*'GS&lt;50 Predicted Monthly'!$V$13</f>
        <v>6742661.2399832457</v>
      </c>
      <c r="Q113" s="18">
        <f t="shared" si="13"/>
        <v>10557245.642061185</v>
      </c>
      <c r="R113" s="18">
        <f t="shared" ca="1" si="14"/>
        <v>-252983.55652529746</v>
      </c>
      <c r="S113" s="270">
        <f t="shared" ca="1" si="15"/>
        <v>2.3402237998651956E-2</v>
      </c>
    </row>
    <row r="114" spans="1:19" x14ac:dyDescent="0.25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 ca="1">'Monthly Data'!J114</f>
        <v>10819174.870085414</v>
      </c>
      <c r="E114" s="269">
        <f>'Monthly Data'!BD114</f>
        <v>44.158333333333317</v>
      </c>
      <c r="F114" s="269">
        <f>'Monthly Data'!BG114</f>
        <v>60.691666666666663</v>
      </c>
      <c r="G114" s="4">
        <f>'Monthly Data'!CG114</f>
        <v>0</v>
      </c>
      <c r="H114" s="4">
        <f>'Monthly Data'!CD114</f>
        <v>31</v>
      </c>
      <c r="I114" s="18">
        <f>'Monthly Data'!K114</f>
        <v>4438</v>
      </c>
      <c r="K114" s="18">
        <f>'GS&lt;50 Predicted Monthly'!$V$8</f>
        <v>-5601916.4558281703</v>
      </c>
      <c r="L114" s="18">
        <f>E114*'GS&lt;50 Predicted Monthly'!$V$9</f>
        <v>238571.18871480043</v>
      </c>
      <c r="M114" s="18">
        <f>F114*'GS&lt;50 Predicted Monthly'!$V$10</f>
        <v>766112.92174097535</v>
      </c>
      <c r="N114" s="18">
        <f>G114*'GS&lt;50 Predicted Monthly'!$V$11</f>
        <v>0</v>
      </c>
      <c r="O114" s="18">
        <f>H114*'GS&lt;50 Predicted Monthly'!$V$12</f>
        <v>8344206.7499953387</v>
      </c>
      <c r="P114" s="18">
        <f>I114*'GS&lt;50 Predicted Monthly'!$V$13</f>
        <v>6750266.3169514192</v>
      </c>
      <c r="Q114" s="18">
        <f t="shared" si="13"/>
        <v>10497240.721574362</v>
      </c>
      <c r="R114" s="18">
        <f t="shared" ca="1" si="14"/>
        <v>-321934.14851105213</v>
      </c>
      <c r="S114" s="270">
        <f t="shared" ca="1" si="15"/>
        <v>2.9755887336767907E-2</v>
      </c>
    </row>
    <row r="115" spans="1:19" x14ac:dyDescent="0.25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 ca="1">'Monthly Data'!J115</f>
        <v>11549073.488623625</v>
      </c>
      <c r="E115" s="269">
        <f>'Monthly Data'!BD115</f>
        <v>10.312499999999995</v>
      </c>
      <c r="F115" s="269">
        <f>'Monthly Data'!BG115</f>
        <v>146.61250000000007</v>
      </c>
      <c r="G115" s="4">
        <f>'Monthly Data'!CG115</f>
        <v>0</v>
      </c>
      <c r="H115" s="4">
        <f>'Monthly Data'!CD115</f>
        <v>30</v>
      </c>
      <c r="I115" s="18">
        <f>'Monthly Data'!K115</f>
        <v>4437</v>
      </c>
      <c r="K115" s="18">
        <f>'GS&lt;50 Predicted Monthly'!$V$8</f>
        <v>-5601916.4558281703</v>
      </c>
      <c r="L115" s="18">
        <f>E115*'GS&lt;50 Predicted Monthly'!$V$9</f>
        <v>55714.634088425271</v>
      </c>
      <c r="M115" s="18">
        <f>F115*'GS&lt;50 Predicted Monthly'!$V$10</f>
        <v>1850694.4512769266</v>
      </c>
      <c r="N115" s="18">
        <f>G115*'GS&lt;50 Predicted Monthly'!$V$11</f>
        <v>0</v>
      </c>
      <c r="O115" s="18">
        <f>H115*'GS&lt;50 Predicted Monthly'!$V$12</f>
        <v>8075038.79031807</v>
      </c>
      <c r="P115" s="18">
        <f>I115*'GS&lt;50 Predicted Monthly'!$V$13</f>
        <v>6748745.3015577849</v>
      </c>
      <c r="Q115" s="18">
        <f t="shared" si="13"/>
        <v>11128276.721413035</v>
      </c>
      <c r="R115" s="18">
        <f t="shared" ca="1" si="14"/>
        <v>-420796.76721058972</v>
      </c>
      <c r="S115" s="270">
        <f t="shared" ca="1" si="15"/>
        <v>3.6435543303546744E-2</v>
      </c>
    </row>
    <row r="116" spans="1:19" x14ac:dyDescent="0.25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 ca="1">'Monthly Data'!J116</f>
        <v>13187153.313369611</v>
      </c>
      <c r="E116" s="269">
        <f>'Monthly Data'!BD116</f>
        <v>0</v>
      </c>
      <c r="F116" s="269">
        <f>'Monthly Data'!BG116</f>
        <v>241.14166666666668</v>
      </c>
      <c r="G116" s="4">
        <f>'Monthly Data'!CG116</f>
        <v>0</v>
      </c>
      <c r="H116" s="4">
        <f>'Monthly Data'!CD116</f>
        <v>31</v>
      </c>
      <c r="I116" s="18">
        <f>'Monthly Data'!K116</f>
        <v>4438</v>
      </c>
      <c r="K116" s="18">
        <f>'GS&lt;50 Predicted Monthly'!$V$8</f>
        <v>-5601916.4558281703</v>
      </c>
      <c r="L116" s="18">
        <f>E116*'GS&lt;50 Predicted Monthly'!$V$9</f>
        <v>0</v>
      </c>
      <c r="M116" s="18">
        <f>F116*'GS&lt;50 Predicted Monthly'!$V$10</f>
        <v>3043939.2580555547</v>
      </c>
      <c r="N116" s="18">
        <f>G116*'GS&lt;50 Predicted Monthly'!$V$11</f>
        <v>0</v>
      </c>
      <c r="O116" s="18">
        <f>H116*'GS&lt;50 Predicted Monthly'!$V$12</f>
        <v>8344206.7499953387</v>
      </c>
      <c r="P116" s="18">
        <f>I116*'GS&lt;50 Predicted Monthly'!$V$13</f>
        <v>6750266.3169514192</v>
      </c>
      <c r="Q116" s="18">
        <f t="shared" si="13"/>
        <v>12536495.869174141</v>
      </c>
      <c r="R116" s="18">
        <f t="shared" ca="1" si="14"/>
        <v>-650657.44419546984</v>
      </c>
      <c r="S116" s="270">
        <f t="shared" ca="1" si="15"/>
        <v>4.9340250221843546E-2</v>
      </c>
    </row>
    <row r="117" spans="1:19" x14ac:dyDescent="0.25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 ca="1">'Monthly Data'!J117</f>
        <v>12521070.252462083</v>
      </c>
      <c r="E117" s="269">
        <f>'Monthly Data'!BD117</f>
        <v>1.7583333333333346</v>
      </c>
      <c r="F117" s="269">
        <f>'Monthly Data'!BG117</f>
        <v>200.86666666666665</v>
      </c>
      <c r="G117" s="4">
        <f>'Monthly Data'!CG117</f>
        <v>0</v>
      </c>
      <c r="H117" s="4">
        <f>'Monthly Data'!CD117</f>
        <v>31</v>
      </c>
      <c r="I117" s="18">
        <f>'Monthly Data'!K117</f>
        <v>4440</v>
      </c>
      <c r="K117" s="18">
        <f>'GS&lt;50 Predicted Monthly'!$V$8</f>
        <v>-5601916.4558281703</v>
      </c>
      <c r="L117" s="18">
        <f>E117*'GS&lt;50 Predicted Monthly'!$V$9</f>
        <v>9499.6264991173703</v>
      </c>
      <c r="M117" s="18">
        <f>F117*'GS&lt;50 Predicted Monthly'!$V$10</f>
        <v>2535546.5969579113</v>
      </c>
      <c r="N117" s="18">
        <f>G117*'GS&lt;50 Predicted Monthly'!$V$11</f>
        <v>0</v>
      </c>
      <c r="O117" s="18">
        <f>H117*'GS&lt;50 Predicted Monthly'!$V$12</f>
        <v>8344206.7499953387</v>
      </c>
      <c r="P117" s="18">
        <f>I117*'GS&lt;50 Predicted Monthly'!$V$13</f>
        <v>6753308.3477386897</v>
      </c>
      <c r="Q117" s="18">
        <f t="shared" si="13"/>
        <v>12040644.865362886</v>
      </c>
      <c r="R117" s="18">
        <f t="shared" ca="1" si="14"/>
        <v>-480425.38709919713</v>
      </c>
      <c r="S117" s="270">
        <f t="shared" ca="1" si="15"/>
        <v>3.8369354808525942E-2</v>
      </c>
    </row>
    <row r="118" spans="1:19" x14ac:dyDescent="0.25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 ca="1">'Monthly Data'!J118</f>
        <v>11155265.665400395</v>
      </c>
      <c r="E118" s="269">
        <f>'Monthly Data'!BD118</f>
        <v>10.920833333333333</v>
      </c>
      <c r="F118" s="269">
        <f>'Monthly Data'!BG118</f>
        <v>113.86250000000001</v>
      </c>
      <c r="G118" s="4">
        <f>'Monthly Data'!CG118</f>
        <v>0</v>
      </c>
      <c r="H118" s="4">
        <f>'Monthly Data'!CD118</f>
        <v>30</v>
      </c>
      <c r="I118" s="18">
        <f>'Monthly Data'!K118</f>
        <v>4445</v>
      </c>
      <c r="K118" s="18">
        <f>'GS&lt;50 Predicted Monthly'!$V$8</f>
        <v>-5601916.4558281703</v>
      </c>
      <c r="L118" s="18">
        <f>E118*'GS&lt;50 Predicted Monthly'!$V$9</f>
        <v>59001.234725560687</v>
      </c>
      <c r="M118" s="18">
        <f>F118*'GS&lt;50 Predicted Monthly'!$V$10</f>
        <v>1437290.1148163967</v>
      </c>
      <c r="N118" s="18">
        <f>G118*'GS&lt;50 Predicted Monthly'!$V$11</f>
        <v>0</v>
      </c>
      <c r="O118" s="18">
        <f>H118*'GS&lt;50 Predicted Monthly'!$V$12</f>
        <v>8075038.79031807</v>
      </c>
      <c r="P118" s="18">
        <f>I118*'GS&lt;50 Predicted Monthly'!$V$13</f>
        <v>6760913.4247068632</v>
      </c>
      <c r="Q118" s="18">
        <f t="shared" si="13"/>
        <v>10730327.10873872</v>
      </c>
      <c r="R118" s="18">
        <f t="shared" ca="1" si="14"/>
        <v>-424938.55666167475</v>
      </c>
      <c r="S118" s="270">
        <f t="shared" ca="1" si="15"/>
        <v>3.8093091586306249E-2</v>
      </c>
    </row>
    <row r="119" spans="1:19" x14ac:dyDescent="0.25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 ca="1">'Monthly Data'!J119</f>
        <v>10522214.705807745</v>
      </c>
      <c r="E119" s="269">
        <f>'Monthly Data'!BD119</f>
        <v>174.98749999999998</v>
      </c>
      <c r="F119" s="269">
        <f>'Monthly Data'!BG119</f>
        <v>12.120833333333337</v>
      </c>
      <c r="G119" s="4">
        <f>'Monthly Data'!CG119</f>
        <v>0</v>
      </c>
      <c r="H119" s="4">
        <f>'Monthly Data'!CD119</f>
        <v>31</v>
      </c>
      <c r="I119" s="18">
        <f>'Monthly Data'!K119</f>
        <v>4447</v>
      </c>
      <c r="K119" s="18">
        <f>'GS&lt;50 Predicted Monthly'!$V$8</f>
        <v>-5601916.4558281703</v>
      </c>
      <c r="L119" s="18">
        <f>E119*'GS&lt;50 Predicted Monthly'!$V$9</f>
        <v>945392.92436832201</v>
      </c>
      <c r="M119" s="18">
        <f>F119*'GS&lt;50 Predicted Monthly'!$V$10</f>
        <v>153001.6812676437</v>
      </c>
      <c r="N119" s="18">
        <f>G119*'GS&lt;50 Predicted Monthly'!$V$11</f>
        <v>0</v>
      </c>
      <c r="O119" s="18">
        <f>H119*'GS&lt;50 Predicted Monthly'!$V$12</f>
        <v>8344206.7499953387</v>
      </c>
      <c r="P119" s="18">
        <f>I119*'GS&lt;50 Predicted Monthly'!$V$13</f>
        <v>6763955.4554941328</v>
      </c>
      <c r="Q119" s="18">
        <f t="shared" si="13"/>
        <v>10604640.355297267</v>
      </c>
      <c r="R119" s="18">
        <f t="shared" ca="1" si="14"/>
        <v>82425.64948952198</v>
      </c>
      <c r="S119" s="270">
        <f t="shared" ca="1" si="15"/>
        <v>7.8334886517785144E-3</v>
      </c>
    </row>
    <row r="120" spans="1:19" x14ac:dyDescent="0.25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 ca="1">'Monthly Data'!J120</f>
        <v>11119088.563570578</v>
      </c>
      <c r="E120" s="269">
        <f>'Monthly Data'!BD120</f>
        <v>307.79583333333329</v>
      </c>
      <c r="F120" s="269">
        <f>'Monthly Data'!BG120</f>
        <v>5.5041666666666629</v>
      </c>
      <c r="G120" s="4">
        <f>'Monthly Data'!CG120</f>
        <v>0</v>
      </c>
      <c r="H120" s="4">
        <f>'Monthly Data'!CD120</f>
        <v>30</v>
      </c>
      <c r="I120" s="18">
        <f>'Monthly Data'!K120</f>
        <v>4465</v>
      </c>
      <c r="K120" s="18">
        <f>'GS&lt;50 Predicted Monthly'!$V$8</f>
        <v>-5601916.4558281703</v>
      </c>
      <c r="L120" s="18">
        <f>E120*'GS&lt;50 Predicted Monthly'!$V$9</f>
        <v>1662907.3675741674</v>
      </c>
      <c r="M120" s="18">
        <f>F120*'GS&lt;50 Predicted Monthly'!$V$10</f>
        <v>69479.278430579958</v>
      </c>
      <c r="N120" s="18">
        <f>G120*'GS&lt;50 Predicted Monthly'!$V$11</f>
        <v>0</v>
      </c>
      <c r="O120" s="18">
        <f>H120*'GS&lt;50 Predicted Monthly'!$V$12</f>
        <v>8075038.79031807</v>
      </c>
      <c r="P120" s="18">
        <f>I120*'GS&lt;50 Predicted Monthly'!$V$13</f>
        <v>6791333.73257956</v>
      </c>
      <c r="Q120" s="18">
        <f t="shared" si="13"/>
        <v>10996842.713074207</v>
      </c>
      <c r="R120" s="18">
        <f t="shared" ca="1" si="14"/>
        <v>-122245.85049637035</v>
      </c>
      <c r="S120" s="270">
        <f t="shared" ca="1" si="15"/>
        <v>1.099423300727039E-2</v>
      </c>
    </row>
    <row r="121" spans="1:19" x14ac:dyDescent="0.25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 ca="1">'Monthly Data'!J121</f>
        <v>12973645.248173861</v>
      </c>
      <c r="E121" s="269">
        <f>'Monthly Data'!BD121</f>
        <v>536.57500000000005</v>
      </c>
      <c r="F121" s="269">
        <f>'Monthly Data'!BG121</f>
        <v>0</v>
      </c>
      <c r="G121" s="4">
        <f>'Monthly Data'!CG121</f>
        <v>0</v>
      </c>
      <c r="H121" s="4">
        <f>'Monthly Data'!CD121</f>
        <v>31</v>
      </c>
      <c r="I121" s="18">
        <f>'Monthly Data'!K121</f>
        <v>4297</v>
      </c>
      <c r="K121" s="18">
        <f>'GS&lt;50 Predicted Monthly'!$V$8</f>
        <v>-5601916.4558281703</v>
      </c>
      <c r="L121" s="18">
        <f>E121*'GS&lt;50 Predicted Monthly'!$V$9</f>
        <v>2898916.8277330236</v>
      </c>
      <c r="M121" s="18">
        <f>F121*'GS&lt;50 Predicted Monthly'!$V$10</f>
        <v>0</v>
      </c>
      <c r="N121" s="18">
        <f>G121*'GS&lt;50 Predicted Monthly'!$V$11</f>
        <v>0</v>
      </c>
      <c r="O121" s="18">
        <f>H121*'GS&lt;50 Predicted Monthly'!$V$12</f>
        <v>8344206.7499953387</v>
      </c>
      <c r="P121" s="18">
        <f>I121*'GS&lt;50 Predicted Monthly'!$V$13</f>
        <v>6535803.1464489074</v>
      </c>
      <c r="Q121" s="18">
        <f t="shared" si="13"/>
        <v>12177010.2683491</v>
      </c>
      <c r="R121" s="18">
        <f t="shared" ca="1" si="14"/>
        <v>-796634.97982476093</v>
      </c>
      <c r="S121" s="270">
        <f t="shared" ca="1" si="15"/>
        <v>6.1404097659976738E-2</v>
      </c>
    </row>
    <row r="122" spans="1:19" x14ac:dyDescent="0.25">
      <c r="A122" s="3"/>
      <c r="S122" s="395">
        <f ca="1">AVERAGE(S2:S121)</f>
        <v>3.3635114841681926E-2</v>
      </c>
    </row>
    <row r="123" spans="1:19" x14ac:dyDescent="0.25">
      <c r="A123" s="3"/>
    </row>
    <row r="124" spans="1:19" x14ac:dyDescent="0.25">
      <c r="A124" s="3"/>
    </row>
    <row r="125" spans="1:19" x14ac:dyDescent="0.25">
      <c r="A125" s="3"/>
    </row>
    <row r="126" spans="1:19" x14ac:dyDescent="0.25">
      <c r="A126" s="3"/>
    </row>
    <row r="127" spans="1:19" x14ac:dyDescent="0.25">
      <c r="A127" s="3"/>
    </row>
    <row r="128" spans="1:19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Z141"/>
  <sheetViews>
    <sheetView topLeftCell="J1" workbookViewId="0">
      <selection activeCell="V10" sqref="V10:Y15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20.109375" style="1" bestFit="1" customWidth="1"/>
    <col min="5" max="7" width="9.33203125" style="1"/>
    <col min="8" max="8" width="11.109375" style="1" bestFit="1" customWidth="1"/>
    <col min="9" max="9" width="9.44140625" style="1" bestFit="1" customWidth="1"/>
    <col min="10" max="10" width="9.33203125" style="1"/>
    <col min="11" max="11" width="14.6640625" style="1" bestFit="1" customWidth="1"/>
    <col min="12" max="12" width="12.77734375" style="1" bestFit="1" customWidth="1"/>
    <col min="13" max="13" width="13.77734375" style="1" bestFit="1" customWidth="1"/>
    <col min="14" max="16" width="13.77734375" style="1" customWidth="1"/>
    <col min="17" max="17" width="18.109375" style="1" customWidth="1"/>
    <col min="18" max="18" width="13.77734375" style="1" customWidth="1"/>
    <col min="19" max="20" width="9.33203125" style="1"/>
    <col min="21" max="21" width="13.77734375" style="1" bestFit="1" customWidth="1"/>
    <col min="22" max="22" width="13.44140625" style="1" customWidth="1"/>
    <col min="23" max="23" width="13.77734375" style="1" bestFit="1" customWidth="1"/>
    <col min="24" max="24" width="12.77734375" style="1" bestFit="1" customWidth="1"/>
    <col min="25" max="25" width="12.6640625" style="1" bestFit="1" customWidth="1"/>
    <col min="26" max="26" width="18" style="1" bestFit="1" customWidth="1"/>
    <col min="27" max="27" width="12.77734375" style="1" bestFit="1" customWidth="1"/>
    <col min="28" max="16384" width="9.33203125" style="1"/>
  </cols>
  <sheetData>
    <row r="1" spans="1:25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152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196</v>
      </c>
      <c r="R1" s="265" t="s">
        <v>197</v>
      </c>
    </row>
    <row r="2" spans="1:25" x14ac:dyDescent="0.25">
      <c r="A2" s="3">
        <f>'Monthly Data'!A2</f>
        <v>42005</v>
      </c>
      <c r="B2" s="1">
        <f t="shared" ref="B2:B62" si="0">YEAR(A2)</f>
        <v>2015</v>
      </c>
      <c r="C2" s="1">
        <f t="shared" ref="C2:C62" si="1">MONTH(A2)</f>
        <v>1</v>
      </c>
      <c r="D2" s="24">
        <f>'Monthly Data'!N2</f>
        <v>32704294.381073207</v>
      </c>
      <c r="E2" s="269">
        <f>'Monthly Data'!BB2</f>
        <v>797.89184782608675</v>
      </c>
      <c r="F2" s="269">
        <f>'Monthly Data'!BI2</f>
        <v>0</v>
      </c>
      <c r="G2" s="269">
        <f>'Monthly Data'!CG2</f>
        <v>0</v>
      </c>
      <c r="H2" s="18">
        <f>'Monthly Data'!AL2</f>
        <v>718587</v>
      </c>
      <c r="I2" s="18">
        <f>'Monthly Data'!CD2</f>
        <v>31</v>
      </c>
      <c r="K2" s="18">
        <f>'GS 50-999 Predicted Monthly'!$V$10</f>
        <v>-8058676.5655863797</v>
      </c>
      <c r="L2" s="18">
        <f>E2*'GS 50-999 Predicted Monthly'!$V$11</f>
        <v>14407420.85787468</v>
      </c>
      <c r="M2" s="18">
        <f>F2*'GS 50-999 Predicted Monthly'!$V$12</f>
        <v>0</v>
      </c>
      <c r="N2" s="18">
        <f>G2*'GS 50-999 Predicted Monthly'!$V$13</f>
        <v>0</v>
      </c>
      <c r="O2" s="18">
        <f>H2*'GS 50-999 Predicted Monthly'!$V$14</f>
        <v>5016002.827791675</v>
      </c>
      <c r="P2" s="18">
        <f>I2*'GS 50-999 Predicted Monthly'!$V$15</f>
        <v>22963619.096402079</v>
      </c>
      <c r="Q2" s="18">
        <f>SUM(K2:P2)</f>
        <v>34328366.216482058</v>
      </c>
      <c r="R2" s="18">
        <f t="shared" ref="R2:R33" si="2">Q2-D2</f>
        <v>1624071.8354088515</v>
      </c>
      <c r="S2" s="270">
        <f t="shared" ref="S2:S33" si="3">ABS(R2/D2)</f>
        <v>4.9659283777384981E-2</v>
      </c>
    </row>
    <row r="3" spans="1:25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Data'!N3</f>
        <v>34105863.490816332</v>
      </c>
      <c r="E3" s="269">
        <f>'Monthly Data'!BB3</f>
        <v>865.85434782608706</v>
      </c>
      <c r="F3" s="269">
        <f>'Monthly Data'!BI3</f>
        <v>0</v>
      </c>
      <c r="G3" s="269">
        <f>'Monthly Data'!CG3</f>
        <v>0</v>
      </c>
      <c r="H3" s="18">
        <f>'Monthly Data'!AL3</f>
        <v>718587</v>
      </c>
      <c r="I3" s="18">
        <f>'Monthly Data'!CD3</f>
        <v>28</v>
      </c>
      <c r="K3" s="18">
        <f>'GS 50-999 Predicted Monthly'!$V$10</f>
        <v>-8058676.5655863797</v>
      </c>
      <c r="L3" s="18">
        <f>E3*'GS 50-999 Predicted Monthly'!$V$11</f>
        <v>15634610.160185657</v>
      </c>
      <c r="M3" s="18">
        <f>F3*'GS 50-999 Predicted Monthly'!$V$12</f>
        <v>0</v>
      </c>
      <c r="N3" s="18">
        <f>G3*'GS 50-999 Predicted Monthly'!$V$13</f>
        <v>0</v>
      </c>
      <c r="O3" s="18">
        <f>H3*'GS 50-999 Predicted Monthly'!$V$14</f>
        <v>5016002.827791675</v>
      </c>
      <c r="P3" s="18">
        <f>I3*'GS 50-999 Predicted Monthly'!$V$15</f>
        <v>20741333.377395425</v>
      </c>
      <c r="Q3" s="18">
        <f t="shared" ref="Q3:Q66" si="4">SUM(K3:P3)</f>
        <v>33333269.799786378</v>
      </c>
      <c r="R3" s="18">
        <f t="shared" si="2"/>
        <v>-772593.6910299547</v>
      </c>
      <c r="S3" s="270">
        <f t="shared" si="3"/>
        <v>2.265281133368726E-2</v>
      </c>
    </row>
    <row r="4" spans="1:25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Data'!N4</f>
        <v>29483042.357302777</v>
      </c>
      <c r="E4" s="269">
        <f>'Monthly Data'!BB4</f>
        <v>637.79999999999995</v>
      </c>
      <c r="F4" s="269">
        <f>'Monthly Data'!BI4</f>
        <v>0</v>
      </c>
      <c r="G4" s="269">
        <f>'Monthly Data'!CG4</f>
        <v>0</v>
      </c>
      <c r="H4" s="18">
        <f>'Monthly Data'!AL4</f>
        <v>718587</v>
      </c>
      <c r="I4" s="18">
        <f>'Monthly Data'!CD4</f>
        <v>31</v>
      </c>
      <c r="K4" s="18">
        <f>'GS 50-999 Predicted Monthly'!$V$10</f>
        <v>-8058676.5655863797</v>
      </c>
      <c r="L4" s="18">
        <f>E4*'GS 50-999 Predicted Monthly'!$V$11</f>
        <v>11516664.881573487</v>
      </c>
      <c r="M4" s="18">
        <f>F4*'GS 50-999 Predicted Monthly'!$V$12</f>
        <v>0</v>
      </c>
      <c r="N4" s="18">
        <f>G4*'GS 50-999 Predicted Monthly'!$V$13</f>
        <v>0</v>
      </c>
      <c r="O4" s="18">
        <f>H4*'GS 50-999 Predicted Monthly'!$V$14</f>
        <v>5016002.827791675</v>
      </c>
      <c r="P4" s="18">
        <f>I4*'GS 50-999 Predicted Monthly'!$V$15</f>
        <v>22963619.096402079</v>
      </c>
      <c r="Q4" s="18">
        <f t="shared" si="4"/>
        <v>31437610.240180861</v>
      </c>
      <c r="R4" s="18">
        <f t="shared" si="2"/>
        <v>1954567.8828780837</v>
      </c>
      <c r="S4" s="270">
        <f t="shared" si="3"/>
        <v>6.6294646908918772E-2</v>
      </c>
    </row>
    <row r="5" spans="1:25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Data'!N5</f>
        <v>24984134.040233206</v>
      </c>
      <c r="E5" s="269">
        <f>'Monthly Data'!BB5</f>
        <v>346.75037878787867</v>
      </c>
      <c r="F5" s="269">
        <f>'Monthly Data'!BI5</f>
        <v>1.5333333333333332</v>
      </c>
      <c r="G5" s="269">
        <f>'Monthly Data'!CG5</f>
        <v>0</v>
      </c>
      <c r="H5" s="18">
        <f>'Monthly Data'!AL5</f>
        <v>723726</v>
      </c>
      <c r="I5" s="18">
        <f>'Monthly Data'!CD5</f>
        <v>30</v>
      </c>
      <c r="K5" s="18">
        <f>'GS 50-999 Predicted Monthly'!$V$10</f>
        <v>-8058676.5655863797</v>
      </c>
      <c r="L5" s="18">
        <f>E5*'GS 50-999 Predicted Monthly'!$V$11</f>
        <v>6261222.8128859624</v>
      </c>
      <c r="M5" s="18">
        <f>F5*'GS 50-999 Predicted Monthly'!$V$12</f>
        <v>43595.10820618389</v>
      </c>
      <c r="N5" s="18">
        <f>G5*'GS 50-999 Predicted Monthly'!$V$13</f>
        <v>0</v>
      </c>
      <c r="O5" s="18">
        <f>H5*'GS 50-999 Predicted Monthly'!$V$14</f>
        <v>5051874.9470090019</v>
      </c>
      <c r="P5" s="18">
        <f>I5*'GS 50-999 Predicted Monthly'!$V$15</f>
        <v>22222857.190066528</v>
      </c>
      <c r="Q5" s="18">
        <f t="shared" si="4"/>
        <v>25520873.492581297</v>
      </c>
      <c r="R5" s="18">
        <f t="shared" si="2"/>
        <v>536739.45234809071</v>
      </c>
      <c r="S5" s="270">
        <f t="shared" si="3"/>
        <v>2.1483212165118559E-2</v>
      </c>
      <c r="U5" s="1" t="s">
        <v>577</v>
      </c>
    </row>
    <row r="6" spans="1:25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Data'!N6</f>
        <v>25167162.68985121</v>
      </c>
      <c r="E6" s="269">
        <f>'Monthly Data'!BB6</f>
        <v>108.22189440993786</v>
      </c>
      <c r="F6" s="269">
        <f>'Monthly Data'!BI6</f>
        <v>105.49404761904762</v>
      </c>
      <c r="G6" s="269">
        <f>'Monthly Data'!CG6</f>
        <v>0</v>
      </c>
      <c r="H6" s="18">
        <f>'Monthly Data'!AL6</f>
        <v>723726</v>
      </c>
      <c r="I6" s="18">
        <f>'Monthly Data'!CD6</f>
        <v>31</v>
      </c>
      <c r="K6" s="18">
        <f>'GS 50-999 Predicted Monthly'!$V$10</f>
        <v>-8058676.5655863797</v>
      </c>
      <c r="L6" s="18">
        <f>E6*'GS 50-999 Predicted Monthly'!$V$11</f>
        <v>1954147.5239389865</v>
      </c>
      <c r="M6" s="18">
        <f>F6*'GS 50-999 Predicted Monthly'!$V$12</f>
        <v>2999363.7528656721</v>
      </c>
      <c r="N6" s="18">
        <f>G6*'GS 50-999 Predicted Monthly'!$V$13</f>
        <v>0</v>
      </c>
      <c r="O6" s="18">
        <f>H6*'GS 50-999 Predicted Monthly'!$V$14</f>
        <v>5051874.9470090019</v>
      </c>
      <c r="P6" s="18">
        <f>I6*'GS 50-999 Predicted Monthly'!$V$15</f>
        <v>22963619.096402079</v>
      </c>
      <c r="Q6" s="18">
        <f t="shared" si="4"/>
        <v>24910328.754629359</v>
      </c>
      <c r="R6" s="18">
        <f t="shared" si="2"/>
        <v>-256833.93522185087</v>
      </c>
      <c r="S6" s="270">
        <f t="shared" si="3"/>
        <v>1.0205120791205459E-2</v>
      </c>
      <c r="U6" s="1" t="s">
        <v>179</v>
      </c>
    </row>
    <row r="7" spans="1:25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Data'!N7</f>
        <v>24309134.101347797</v>
      </c>
      <c r="E7" s="269">
        <f>'Monthly Data'!BB7</f>
        <v>44.925000000000004</v>
      </c>
      <c r="F7" s="269">
        <f>'Monthly Data'!BI7</f>
        <v>150.2583333333333</v>
      </c>
      <c r="G7" s="269">
        <f>'Monthly Data'!CG7</f>
        <v>0</v>
      </c>
      <c r="H7" s="18">
        <f>'Monthly Data'!AL7</f>
        <v>723726</v>
      </c>
      <c r="I7" s="18">
        <f>'Monthly Data'!CD7</f>
        <v>30</v>
      </c>
      <c r="K7" s="18">
        <f>'GS 50-999 Predicted Monthly'!$V$10</f>
        <v>-8058676.5655863797</v>
      </c>
      <c r="L7" s="18">
        <f>E7*'GS 50-999 Predicted Monthly'!$V$11</f>
        <v>811204.40546360775</v>
      </c>
      <c r="M7" s="18">
        <f>F7*'GS 50-999 Predicted Monthly'!$V$12</f>
        <v>4272083.6742701177</v>
      </c>
      <c r="N7" s="18">
        <f>G7*'GS 50-999 Predicted Monthly'!$V$13</f>
        <v>0</v>
      </c>
      <c r="O7" s="18">
        <f>H7*'GS 50-999 Predicted Monthly'!$V$14</f>
        <v>5051874.9470090019</v>
      </c>
      <c r="P7" s="18">
        <f>I7*'GS 50-999 Predicted Monthly'!$V$15</f>
        <v>22222857.190066528</v>
      </c>
      <c r="Q7" s="18">
        <f t="shared" si="4"/>
        <v>24299343.651222877</v>
      </c>
      <c r="R7" s="18">
        <f t="shared" si="2"/>
        <v>-9790.4501249194145</v>
      </c>
      <c r="S7" s="270">
        <f t="shared" si="3"/>
        <v>4.0274779365245231E-4</v>
      </c>
      <c r="U7" s="1" t="s">
        <v>578</v>
      </c>
    </row>
    <row r="8" spans="1:25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Data'!N8</f>
        <v>27428159.367891241</v>
      </c>
      <c r="E8" s="269">
        <f>'Monthly Data'!BB8</f>
        <v>6.0874999999999986</v>
      </c>
      <c r="F8" s="269">
        <f>'Monthly Data'!BI8</f>
        <v>267.53749999999997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-8058676.5655863797</v>
      </c>
      <c r="L8" s="18">
        <f>E8*'GS 50-999 Predicted Monthly'!$V$11</f>
        <v>109921.13117996017</v>
      </c>
      <c r="M8" s="18">
        <f>F8*'GS 50-999 Predicted Monthly'!$V$12</f>
        <v>7606517.1272034273</v>
      </c>
      <c r="N8" s="18">
        <f>G8*'GS 50-999 Predicted Monthly'!$V$13</f>
        <v>0</v>
      </c>
      <c r="O8" s="18">
        <f>H8*'GS 50-999 Predicted Monthly'!$V$14</f>
        <v>5098050.0917108152</v>
      </c>
      <c r="P8" s="18">
        <f>I8*'GS 50-999 Predicted Monthly'!$V$15</f>
        <v>22963619.096402079</v>
      </c>
      <c r="Q8" s="18">
        <f t="shared" si="4"/>
        <v>27719430.880909901</v>
      </c>
      <c r="R8" s="18">
        <f t="shared" si="2"/>
        <v>291271.51301866025</v>
      </c>
      <c r="S8" s="270">
        <f t="shared" si="3"/>
        <v>1.0619433448371934E-2</v>
      </c>
    </row>
    <row r="9" spans="1:25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Data'!N9</f>
        <v>26677898.168446716</v>
      </c>
      <c r="E9" s="269">
        <f>'Monthly Data'!BB9</f>
        <v>9.4166666666666572</v>
      </c>
      <c r="F9" s="269">
        <f>'Monthly Data'!BI9</f>
        <v>229.94166666666666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-8058676.5655863797</v>
      </c>
      <c r="L9" s="18">
        <f>E9*'GS 50-999 Predicted Monthly'!$V$11</f>
        <v>170035.42537078014</v>
      </c>
      <c r="M9" s="18">
        <f>F9*'GS 50-999 Predicted Monthly'!$V$12</f>
        <v>6537607.7213762617</v>
      </c>
      <c r="N9" s="18">
        <f>G9*'GS 50-999 Predicted Monthly'!$V$13</f>
        <v>0</v>
      </c>
      <c r="O9" s="18">
        <f>H9*'GS 50-999 Predicted Monthly'!$V$14</f>
        <v>5098050.0917108152</v>
      </c>
      <c r="P9" s="18">
        <f>I9*'GS 50-999 Predicted Monthly'!$V$15</f>
        <v>22963619.096402079</v>
      </c>
      <c r="Q9" s="18">
        <f t="shared" si="4"/>
        <v>26710635.769273557</v>
      </c>
      <c r="R9" s="18">
        <f t="shared" si="2"/>
        <v>32737.600826840848</v>
      </c>
      <c r="S9" s="270">
        <f t="shared" si="3"/>
        <v>1.2271431812256202E-3</v>
      </c>
      <c r="V9" s="1" t="s">
        <v>148</v>
      </c>
      <c r="W9" s="1" t="s">
        <v>149</v>
      </c>
      <c r="X9" s="1" t="s">
        <v>150</v>
      </c>
      <c r="Y9" s="1" t="s">
        <v>151</v>
      </c>
    </row>
    <row r="10" spans="1:25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Data'!N10</f>
        <v>25368422.182837464</v>
      </c>
      <c r="E10" s="269">
        <f>'Monthly Data'!BB10</f>
        <v>42.631547619047623</v>
      </c>
      <c r="F10" s="269">
        <f>'Monthly Data'!BI10</f>
        <v>188.96011904761906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-8058676.5655863797</v>
      </c>
      <c r="L10" s="18">
        <f>E10*'GS 50-999 Predicted Monthly'!$V$11</f>
        <v>769791.85843746259</v>
      </c>
      <c r="M10" s="18">
        <f>F10*'GS 50-999 Predicted Monthly'!$V$12</f>
        <v>5372437.067305007</v>
      </c>
      <c r="N10" s="18">
        <f>G10*'GS 50-999 Predicted Monthly'!$V$13</f>
        <v>0</v>
      </c>
      <c r="O10" s="18">
        <f>H10*'GS 50-999 Predicted Monthly'!$V$14</f>
        <v>5098050.0917108152</v>
      </c>
      <c r="P10" s="18">
        <f>I10*'GS 50-999 Predicted Monthly'!$V$15</f>
        <v>22222857.190066528</v>
      </c>
      <c r="Q10" s="18">
        <f t="shared" si="4"/>
        <v>25404459.641933434</v>
      </c>
      <c r="R10" s="18">
        <f t="shared" si="2"/>
        <v>36037.459095969796</v>
      </c>
      <c r="S10" s="270">
        <f t="shared" si="3"/>
        <v>1.4205636770090603E-3</v>
      </c>
      <c r="U10" s="1" t="s">
        <v>152</v>
      </c>
      <c r="V10" s="18">
        <v>-8058676.5655863797</v>
      </c>
      <c r="W10" s="18">
        <v>5152517.7566392403</v>
      </c>
      <c r="X10" s="588">
        <v>-1.5640269371614399</v>
      </c>
      <c r="Y10" s="588">
        <v>0.12058302234404</v>
      </c>
    </row>
    <row r="11" spans="1:25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Data'!N11</f>
        <v>25684615.714819368</v>
      </c>
      <c r="E11" s="269">
        <f>'Monthly Data'!BB11</f>
        <v>276.98750000000001</v>
      </c>
      <c r="F11" s="269">
        <f>'Monthly Data'!BI11</f>
        <v>13.895833333333337</v>
      </c>
      <c r="G11" s="269">
        <f>'Monthly Data'!CG11</f>
        <v>0</v>
      </c>
      <c r="H11" s="18">
        <f>'Monthly Data'!AL11</f>
        <v>737784</v>
      </c>
      <c r="I11" s="18">
        <f>'Monthly Data'!CD11</f>
        <v>31</v>
      </c>
      <c r="K11" s="18">
        <f>'GS 50-999 Predicted Monthly'!$V$10</f>
        <v>-8058676.5655863797</v>
      </c>
      <c r="L11" s="18">
        <f>E11*'GS 50-999 Predicted Monthly'!$V$11</f>
        <v>5001524.3240590105</v>
      </c>
      <c r="M11" s="18">
        <f>F11*'GS 50-999 Predicted Monthly'!$V$12</f>
        <v>395080.66811854165</v>
      </c>
      <c r="N11" s="18">
        <f>G11*'GS 50-999 Predicted Monthly'!$V$13</f>
        <v>0</v>
      </c>
      <c r="O11" s="18">
        <f>H11*'GS 50-999 Predicted Monthly'!$V$14</f>
        <v>5150004.9824161204</v>
      </c>
      <c r="P11" s="18">
        <f>I11*'GS 50-999 Predicted Monthly'!$V$15</f>
        <v>22963619.096402079</v>
      </c>
      <c r="Q11" s="18">
        <f t="shared" si="4"/>
        <v>25451552.505409371</v>
      </c>
      <c r="R11" s="18">
        <f t="shared" si="2"/>
        <v>-233063.20940999687</v>
      </c>
      <c r="S11" s="270">
        <f t="shared" si="3"/>
        <v>9.0740391835228175E-3</v>
      </c>
      <c r="U11" s="1" t="s">
        <v>53</v>
      </c>
      <c r="V11" s="18">
        <v>18056.859331410298</v>
      </c>
      <c r="W11" s="18">
        <v>1034.19498236292</v>
      </c>
      <c r="X11" s="588">
        <v>17.459821058263199</v>
      </c>
      <c r="Y11" s="588">
        <v>5.3290373450007097E-34</v>
      </c>
    </row>
    <row r="12" spans="1:25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Data'!N12</f>
        <v>27097679.115704805</v>
      </c>
      <c r="E12" s="269">
        <f>'Monthly Data'!BB12</f>
        <v>371.77083333333326</v>
      </c>
      <c r="F12" s="269">
        <f>'Monthly Data'!BI12</f>
        <v>3.5374999999999979</v>
      </c>
      <c r="G12" s="269">
        <f>'Monthly Data'!CG12</f>
        <v>0</v>
      </c>
      <c r="H12" s="18">
        <f>'Monthly Data'!AL12</f>
        <v>737784</v>
      </c>
      <c r="I12" s="18">
        <f>'Monthly Data'!CD12</f>
        <v>30</v>
      </c>
      <c r="K12" s="18">
        <f>'GS 50-999 Predicted Monthly'!$V$10</f>
        <v>-8058676.5655863797</v>
      </c>
      <c r="L12" s="18">
        <f>E12*'GS 50-999 Predicted Monthly'!$V$11</f>
        <v>6713013.6410211809</v>
      </c>
      <c r="M12" s="18">
        <f>F12*'GS 50-999 Predicted Monthly'!$V$12</f>
        <v>100576.75779089703</v>
      </c>
      <c r="N12" s="18">
        <f>G12*'GS 50-999 Predicted Monthly'!$V$13</f>
        <v>0</v>
      </c>
      <c r="O12" s="18">
        <f>H12*'GS 50-999 Predicted Monthly'!$V$14</f>
        <v>5150004.9824161204</v>
      </c>
      <c r="P12" s="18">
        <f>I12*'GS 50-999 Predicted Monthly'!$V$15</f>
        <v>22222857.190066528</v>
      </c>
      <c r="Q12" s="18">
        <f t="shared" si="4"/>
        <v>26127776.005708344</v>
      </c>
      <c r="R12" s="18">
        <f t="shared" si="2"/>
        <v>-969903.10999646038</v>
      </c>
      <c r="S12" s="270">
        <f t="shared" si="3"/>
        <v>3.579284800942014E-2</v>
      </c>
      <c r="U12" s="1" t="s">
        <v>60</v>
      </c>
      <c r="V12" s="18">
        <v>28431.592308380801</v>
      </c>
      <c r="W12" s="18">
        <v>2361.6606572198298</v>
      </c>
      <c r="X12" s="588">
        <v>12.0388135448091</v>
      </c>
      <c r="Y12" s="588">
        <v>4.87011664818983E-22</v>
      </c>
    </row>
    <row r="13" spans="1:25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Data'!N13</f>
        <v>28956193.241493594</v>
      </c>
      <c r="E13" s="269">
        <f>'Monthly Data'!BB13</f>
        <v>437.62590579710155</v>
      </c>
      <c r="F13" s="269">
        <f>'Monthly Data'!BI13</f>
        <v>0</v>
      </c>
      <c r="G13" s="269">
        <f>'Monthly Data'!CG13</f>
        <v>0</v>
      </c>
      <c r="H13" s="18">
        <f>'Monthly Data'!AL13</f>
        <v>737784</v>
      </c>
      <c r="I13" s="18">
        <f>'Monthly Data'!CD13</f>
        <v>31</v>
      </c>
      <c r="K13" s="18">
        <f>'GS 50-999 Predicted Monthly'!$V$10</f>
        <v>-8058676.5655863797</v>
      </c>
      <c r="L13" s="18">
        <f>E13*'GS 50-999 Predicted Monthly'!$V$11</f>
        <v>7902149.4207592774</v>
      </c>
      <c r="M13" s="18">
        <f>F13*'GS 50-999 Predicted Monthly'!$V$12</f>
        <v>0</v>
      </c>
      <c r="N13" s="18">
        <f>G13*'GS 50-999 Predicted Monthly'!$V$13</f>
        <v>0</v>
      </c>
      <c r="O13" s="18">
        <f>H13*'GS 50-999 Predicted Monthly'!$V$14</f>
        <v>5150004.9824161204</v>
      </c>
      <c r="P13" s="18">
        <f>I13*'GS 50-999 Predicted Monthly'!$V$15</f>
        <v>22963619.096402079</v>
      </c>
      <c r="Q13" s="18">
        <f t="shared" si="4"/>
        <v>27957096.933991097</v>
      </c>
      <c r="R13" s="18">
        <f t="shared" si="2"/>
        <v>-999096.30750249699</v>
      </c>
      <c r="S13" s="270">
        <f t="shared" si="3"/>
        <v>3.4503717362640532E-2</v>
      </c>
      <c r="U13" s="1" t="s">
        <v>84</v>
      </c>
      <c r="V13" s="18">
        <v>-2847650.5550124599</v>
      </c>
      <c r="W13" s="18">
        <v>709926.03648990695</v>
      </c>
      <c r="X13" s="588">
        <v>-4.01119329147601</v>
      </c>
      <c r="Y13" s="588">
        <v>1.08324906492143E-4</v>
      </c>
    </row>
    <row r="14" spans="1:25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Data'!N14</f>
        <v>32424680.392063037</v>
      </c>
      <c r="E14" s="269">
        <f>'Monthly Data'!BB14</f>
        <v>675.87916666666683</v>
      </c>
      <c r="F14" s="269">
        <f>'Monthly Data'!BI14</f>
        <v>0</v>
      </c>
      <c r="G14" s="269">
        <f>'Monthly Data'!CG14</f>
        <v>0</v>
      </c>
      <c r="H14" s="18">
        <f>'Monthly Data'!AL14</f>
        <v>743287</v>
      </c>
      <c r="I14" s="18">
        <f>'Monthly Data'!CD14</f>
        <v>31</v>
      </c>
      <c r="K14" s="18">
        <f>'GS 50-999 Predicted Monthly'!$V$10</f>
        <v>-8058676.5655863797</v>
      </c>
      <c r="L14" s="18">
        <f>E14*'GS 50-999 Predicted Monthly'!$V$11</f>
        <v>12204255.037530819</v>
      </c>
      <c r="M14" s="18">
        <f>F14*'GS 50-999 Predicted Monthly'!$V$12</f>
        <v>0</v>
      </c>
      <c r="N14" s="18">
        <f>G14*'GS 50-999 Predicted Monthly'!$V$13</f>
        <v>0</v>
      </c>
      <c r="O14" s="18">
        <f>H14*'GS 50-999 Predicted Monthly'!$V$14</f>
        <v>5188417.9561567223</v>
      </c>
      <c r="P14" s="18">
        <f>I14*'GS 50-999 Predicted Monthly'!$V$15</f>
        <v>22963619.096402079</v>
      </c>
      <c r="Q14" s="18">
        <f t="shared" si="4"/>
        <v>32297615.524503238</v>
      </c>
      <c r="R14" s="18">
        <f t="shared" si="2"/>
        <v>-127064.86755979806</v>
      </c>
      <c r="S14" s="270">
        <f t="shared" si="3"/>
        <v>3.9187700857307821E-3</v>
      </c>
      <c r="U14" s="1" t="s">
        <v>37</v>
      </c>
      <c r="V14" s="18">
        <v>6.98036956943512</v>
      </c>
      <c r="W14" s="18">
        <v>3.1194543945120601</v>
      </c>
      <c r="X14" s="588">
        <v>2.2376892515933</v>
      </c>
      <c r="Y14" s="588">
        <v>2.7184818861042799E-2</v>
      </c>
    </row>
    <row r="15" spans="1:25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Data'!N15</f>
        <v>28882414.638769343</v>
      </c>
      <c r="E15" s="269">
        <f>'Monthly Data'!BB15</f>
        <v>603.70833333333337</v>
      </c>
      <c r="F15" s="269">
        <f>'Monthly Data'!BI15</f>
        <v>0</v>
      </c>
      <c r="G15" s="269">
        <f>'Monthly Data'!CG15</f>
        <v>0</v>
      </c>
      <c r="H15" s="18">
        <f>'Monthly Data'!AL15</f>
        <v>743287</v>
      </c>
      <c r="I15" s="18">
        <f>'Monthly Data'!CD15</f>
        <v>29</v>
      </c>
      <c r="K15" s="18">
        <f>'GS 50-999 Predicted Monthly'!$V$10</f>
        <v>-8058676.5655863797</v>
      </c>
      <c r="L15" s="18">
        <f>E15*'GS 50-999 Predicted Monthly'!$V$11</f>
        <v>10901076.452200159</v>
      </c>
      <c r="M15" s="18">
        <f>F15*'GS 50-999 Predicted Monthly'!$V$12</f>
        <v>0</v>
      </c>
      <c r="N15" s="18">
        <f>G15*'GS 50-999 Predicted Monthly'!$V$13</f>
        <v>0</v>
      </c>
      <c r="O15" s="18">
        <f>H15*'GS 50-999 Predicted Monthly'!$V$14</f>
        <v>5188417.9561567223</v>
      </c>
      <c r="P15" s="18">
        <f>I15*'GS 50-999 Predicted Monthly'!$V$15</f>
        <v>21482095.283730976</v>
      </c>
      <c r="Q15" s="18">
        <f t="shared" si="4"/>
        <v>29512913.126501478</v>
      </c>
      <c r="R15" s="18">
        <f t="shared" si="2"/>
        <v>630498.48773213476</v>
      </c>
      <c r="S15" s="270">
        <f t="shared" si="3"/>
        <v>2.1829839908392084E-2</v>
      </c>
      <c r="U15" s="1" t="s">
        <v>201</v>
      </c>
      <c r="V15" s="18">
        <v>740761.90633555094</v>
      </c>
      <c r="W15" s="18">
        <v>150262.92839854999</v>
      </c>
      <c r="X15" s="588">
        <v>4.9297715293474802</v>
      </c>
      <c r="Y15" s="588">
        <v>2.8201610779786198E-6</v>
      </c>
    </row>
    <row r="16" spans="1:25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Data'!N16</f>
        <v>31071039.310371984</v>
      </c>
      <c r="E16" s="269">
        <f>'Monthly Data'!BB16</f>
        <v>515.07934782608686</v>
      </c>
      <c r="F16" s="269">
        <f>'Monthly Data'!BI16</f>
        <v>0</v>
      </c>
      <c r="G16" s="269">
        <f>'Monthly Data'!CG16</f>
        <v>0</v>
      </c>
      <c r="H16" s="18">
        <f>'Monthly Data'!AL16</f>
        <v>743287</v>
      </c>
      <c r="I16" s="18">
        <f>'Monthly Data'!CD16</f>
        <v>31</v>
      </c>
      <c r="K16" s="18">
        <f>'GS 50-999 Predicted Monthly'!$V$10</f>
        <v>-8058676.5655863797</v>
      </c>
      <c r="L16" s="18">
        <f>E16*'GS 50-999 Predicted Monthly'!$V$11</f>
        <v>9300715.3282102067</v>
      </c>
      <c r="M16" s="18">
        <f>F16*'GS 50-999 Predicted Monthly'!$V$12</f>
        <v>0</v>
      </c>
      <c r="N16" s="18">
        <f>G16*'GS 50-999 Predicted Monthly'!$V$13</f>
        <v>0</v>
      </c>
      <c r="O16" s="18">
        <f>H16*'GS 50-999 Predicted Monthly'!$V$14</f>
        <v>5188417.9561567223</v>
      </c>
      <c r="P16" s="18">
        <f>I16*'GS 50-999 Predicted Monthly'!$V$15</f>
        <v>22963619.096402079</v>
      </c>
      <c r="Q16" s="18">
        <f t="shared" si="4"/>
        <v>29394075.815182626</v>
      </c>
      <c r="R16" s="18">
        <f t="shared" si="2"/>
        <v>-1676963.4951893575</v>
      </c>
      <c r="S16" s="270">
        <f t="shared" si="3"/>
        <v>5.3971915082659035E-2</v>
      </c>
    </row>
    <row r="17" spans="1:24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Data'!N17</f>
        <v>25693792.188505106</v>
      </c>
      <c r="E17" s="269">
        <f>'Monthly Data'!BB17</f>
        <v>405.98333333333341</v>
      </c>
      <c r="F17" s="269">
        <f>'Monthly Data'!BI17</f>
        <v>3.2208333333333368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-8058676.5655863797</v>
      </c>
      <c r="L17" s="18">
        <f>E17*'GS 50-999 Predicted Monthly'!$V$11</f>
        <v>7330783.9408970587</v>
      </c>
      <c r="M17" s="18">
        <f>F17*'GS 50-999 Predicted Monthly'!$V$12</f>
        <v>91573.420226576593</v>
      </c>
      <c r="N17" s="18">
        <f>G17*'GS 50-999 Predicted Monthly'!$V$13</f>
        <v>0</v>
      </c>
      <c r="O17" s="18">
        <f>H17*'GS 50-999 Predicted Monthly'!$V$14</f>
        <v>5169885.0749498717</v>
      </c>
      <c r="P17" s="18">
        <f>I17*'GS 50-999 Predicted Monthly'!$V$15</f>
        <v>22222857.190066528</v>
      </c>
      <c r="Q17" s="18">
        <f t="shared" si="4"/>
        <v>26756423.060553655</v>
      </c>
      <c r="R17" s="18">
        <f t="shared" si="2"/>
        <v>1062630.8720485494</v>
      </c>
      <c r="S17" s="270">
        <f t="shared" si="3"/>
        <v>4.1357494613969419E-2</v>
      </c>
      <c r="U17" s="1" t="s">
        <v>153</v>
      </c>
      <c r="V17" s="18"/>
      <c r="W17" s="18"/>
      <c r="X17" s="273"/>
    </row>
    <row r="18" spans="1:24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Data'!N18</f>
        <v>25563625.514173936</v>
      </c>
      <c r="E18" s="269">
        <f>'Monthly Data'!BB18</f>
        <v>154.58611111111114</v>
      </c>
      <c r="F18" s="269">
        <f>'Monthly Data'!BI18</f>
        <v>98.295833333333348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-8058676.5655863797</v>
      </c>
      <c r="L18" s="18">
        <f>E18*'GS 50-999 Predicted Monthly'!$V$11</f>
        <v>2791339.6629230962</v>
      </c>
      <c r="M18" s="18">
        <f>F18*'GS 50-999 Predicted Monthly'!$V$12</f>
        <v>2794707.0589458817</v>
      </c>
      <c r="N18" s="18">
        <f>G18*'GS 50-999 Predicted Monthly'!$V$13</f>
        <v>0</v>
      </c>
      <c r="O18" s="18">
        <f>H18*'GS 50-999 Predicted Monthly'!$V$14</f>
        <v>5169885.0749498717</v>
      </c>
      <c r="P18" s="18">
        <f>I18*'GS 50-999 Predicted Monthly'!$V$15</f>
        <v>22963619.096402079</v>
      </c>
      <c r="Q18" s="18">
        <f t="shared" si="4"/>
        <v>25660874.327634551</v>
      </c>
      <c r="R18" s="18">
        <f t="shared" si="2"/>
        <v>97248.813460614532</v>
      </c>
      <c r="S18" s="270">
        <f t="shared" si="3"/>
        <v>3.8041870628520288E-3</v>
      </c>
      <c r="U18" s="1" t="s">
        <v>154</v>
      </c>
      <c r="V18" s="1">
        <v>234123359960352</v>
      </c>
      <c r="W18" s="1" t="s">
        <v>155</v>
      </c>
      <c r="X18" s="18">
        <v>1433078.3941790301</v>
      </c>
    </row>
    <row r="19" spans="1:24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Data'!N19</f>
        <v>24988466.374266114</v>
      </c>
      <c r="E19" s="269">
        <f>'Monthly Data'!BB19</f>
        <v>30.204166666666669</v>
      </c>
      <c r="F19" s="269">
        <f>'Monthly Data'!BI19</f>
        <v>203.85416666666669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-8058676.5655863797</v>
      </c>
      <c r="L19" s="18">
        <f>E19*'GS 50-999 Predicted Monthly'!$V$11</f>
        <v>545392.38872247189</v>
      </c>
      <c r="M19" s="18">
        <f>F19*'GS 50-999 Predicted Monthly'!$V$12</f>
        <v>5795898.5570313781</v>
      </c>
      <c r="N19" s="18">
        <f>G19*'GS 50-999 Predicted Monthly'!$V$13</f>
        <v>0</v>
      </c>
      <c r="O19" s="18">
        <f>H19*'GS 50-999 Predicted Monthly'!$V$14</f>
        <v>5169885.0749498717</v>
      </c>
      <c r="P19" s="18">
        <f>I19*'GS 50-999 Predicted Monthly'!$V$15</f>
        <v>22222857.190066528</v>
      </c>
      <c r="Q19" s="18">
        <f t="shared" si="4"/>
        <v>25675356.645183869</v>
      </c>
      <c r="R19" s="18">
        <f t="shared" si="2"/>
        <v>686890.27091775462</v>
      </c>
      <c r="S19" s="270">
        <f t="shared" si="3"/>
        <v>2.7488292423785365E-2</v>
      </c>
      <c r="U19" s="1" t="s">
        <v>156</v>
      </c>
      <c r="V19" s="275">
        <v>0.79302052720635496</v>
      </c>
      <c r="W19" s="1" t="s">
        <v>157</v>
      </c>
      <c r="X19" s="275">
        <v>0.78394248015400203</v>
      </c>
    </row>
    <row r="20" spans="1:24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Data'!N20</f>
        <v>30177913.769882832</v>
      </c>
      <c r="E20" s="269">
        <f>'Monthly Data'!BB20</f>
        <v>1.6583333333333314</v>
      </c>
      <c r="F20" s="269">
        <f>'Monthly Data'!BI20</f>
        <v>313.22916666666657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-8058676.5655863797</v>
      </c>
      <c r="L20" s="18">
        <f>E20*'GS 50-999 Predicted Monthly'!$V$11</f>
        <v>29944.291724588711</v>
      </c>
      <c r="M20" s="18">
        <f>F20*'GS 50-999 Predicted Monthly'!$V$12</f>
        <v>8905603.9657605253</v>
      </c>
      <c r="N20" s="18">
        <f>G20*'GS 50-999 Predicted Monthly'!$V$13</f>
        <v>0</v>
      </c>
      <c r="O20" s="18">
        <f>H20*'GS 50-999 Predicted Monthly'!$V$14</f>
        <v>5211585.8027576776</v>
      </c>
      <c r="P20" s="18">
        <f>I20*'GS 50-999 Predicted Monthly'!$V$15</f>
        <v>22963619.096402079</v>
      </c>
      <c r="Q20" s="18">
        <f t="shared" si="4"/>
        <v>29052076.591058493</v>
      </c>
      <c r="R20" s="18">
        <f t="shared" si="2"/>
        <v>-1125837.1788243391</v>
      </c>
      <c r="S20" s="270">
        <f t="shared" si="3"/>
        <v>3.7306660341375551E-2</v>
      </c>
      <c r="U20" s="1" t="s">
        <v>202</v>
      </c>
      <c r="V20" s="272">
        <v>80.585050716892297</v>
      </c>
      <c r="W20" s="1" t="s">
        <v>159</v>
      </c>
      <c r="X20" s="272">
        <v>8.7773091624819995E-36</v>
      </c>
    </row>
    <row r="21" spans="1:24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Data'!N21</f>
        <v>30103803.929514974</v>
      </c>
      <c r="E21" s="269">
        <f>'Monthly Data'!BB21</f>
        <v>1.1291666666666664</v>
      </c>
      <c r="F21" s="269">
        <f>'Monthly Data'!BI21</f>
        <v>328.02499999999998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-8058676.5655863797</v>
      </c>
      <c r="L21" s="18">
        <f>E21*'GS 50-999 Predicted Monthly'!$V$11</f>
        <v>20389.203661717456</v>
      </c>
      <c r="M21" s="18">
        <f>F21*'GS 50-999 Predicted Monthly'!$V$12</f>
        <v>9326273.0669566114</v>
      </c>
      <c r="N21" s="18">
        <f>G21*'GS 50-999 Predicted Monthly'!$V$13</f>
        <v>0</v>
      </c>
      <c r="O21" s="18">
        <f>H21*'GS 50-999 Predicted Monthly'!$V$14</f>
        <v>5211585.8027576776</v>
      </c>
      <c r="P21" s="18">
        <f>I21*'GS 50-999 Predicted Monthly'!$V$15</f>
        <v>22963619.096402079</v>
      </c>
      <c r="Q21" s="18">
        <f t="shared" si="4"/>
        <v>29463190.604191706</v>
      </c>
      <c r="R21" s="18">
        <f t="shared" si="2"/>
        <v>-640613.32532326877</v>
      </c>
      <c r="S21" s="270">
        <f t="shared" si="3"/>
        <v>2.1280145420266502E-2</v>
      </c>
      <c r="U21" s="1" t="s">
        <v>160</v>
      </c>
      <c r="V21" s="2">
        <v>-4.5472228522757903E-2</v>
      </c>
      <c r="W21" s="1" t="s">
        <v>161</v>
      </c>
      <c r="X21" s="272">
        <v>2.0659486962085301</v>
      </c>
    </row>
    <row r="22" spans="1:24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Data'!N22</f>
        <v>25339421.831471663</v>
      </c>
      <c r="E22" s="269">
        <f>'Monthly Data'!BB22</f>
        <v>40.929166666666667</v>
      </c>
      <c r="F22" s="269">
        <f>'Monthly Data'!BI22</f>
        <v>176.5541666666667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-8058676.5655863797</v>
      </c>
      <c r="L22" s="18">
        <f>E22*'GS 50-999 Predicted Monthly'!$V$11</f>
        <v>739052.20505184738</v>
      </c>
      <c r="M22" s="18">
        <f>F22*'GS 50-999 Predicted Monthly'!$V$12</f>
        <v>5019716.0870125834</v>
      </c>
      <c r="N22" s="18">
        <f>G22*'GS 50-999 Predicted Monthly'!$V$13</f>
        <v>0</v>
      </c>
      <c r="O22" s="18">
        <f>H22*'GS 50-999 Predicted Monthly'!$V$14</f>
        <v>5211585.8027576776</v>
      </c>
      <c r="P22" s="18">
        <f>I22*'GS 50-999 Predicted Monthly'!$V$15</f>
        <v>22222857.190066528</v>
      </c>
      <c r="Q22" s="18">
        <f t="shared" si="4"/>
        <v>25134534.719302256</v>
      </c>
      <c r="R22" s="18">
        <f t="shared" si="2"/>
        <v>-204887.11216940731</v>
      </c>
      <c r="S22" s="270">
        <f t="shared" si="3"/>
        <v>8.085705882797084E-3</v>
      </c>
      <c r="V22" s="272"/>
      <c r="X22" s="272"/>
    </row>
    <row r="23" spans="1:24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Data'!N23</f>
        <v>26431491.689325772</v>
      </c>
      <c r="E23" s="269">
        <f>'Monthly Data'!BB23</f>
        <v>222.13333333333333</v>
      </c>
      <c r="F23" s="269">
        <f>'Monthly Data'!BI23</f>
        <v>52.383333333333333</v>
      </c>
      <c r="G23" s="269">
        <f>'Monthly Data'!CG23</f>
        <v>0</v>
      </c>
      <c r="H23" s="18">
        <f>'Monthly Data'!AL23</f>
        <v>745380</v>
      </c>
      <c r="I23" s="18">
        <f>'Monthly Data'!CD23</f>
        <v>31</v>
      </c>
      <c r="K23" s="18">
        <f>'GS 50-999 Predicted Monthly'!$V$10</f>
        <v>-8058676.5655863797</v>
      </c>
      <c r="L23" s="18">
        <f>E23*'GS 50-999 Predicted Monthly'!$V$11</f>
        <v>4011030.3528172742</v>
      </c>
      <c r="M23" s="18">
        <f>F23*'GS 50-999 Predicted Monthly'!$V$12</f>
        <v>1489341.5770873476</v>
      </c>
      <c r="N23" s="18">
        <f>G23*'GS 50-999 Predicted Monthly'!$V$13</f>
        <v>0</v>
      </c>
      <c r="O23" s="18">
        <f>H23*'GS 50-999 Predicted Monthly'!$V$14</f>
        <v>5203027.8696655501</v>
      </c>
      <c r="P23" s="18">
        <f>I23*'GS 50-999 Predicted Monthly'!$V$15</f>
        <v>22963619.096402079</v>
      </c>
      <c r="Q23" s="18">
        <f t="shared" si="4"/>
        <v>25608342.330385871</v>
      </c>
      <c r="R23" s="18">
        <f t="shared" si="2"/>
        <v>-823149.35893990099</v>
      </c>
      <c r="S23" s="270">
        <f t="shared" si="3"/>
        <v>3.1142750799506552E-2</v>
      </c>
      <c r="U23" s="1" t="s">
        <v>162</v>
      </c>
    </row>
    <row r="24" spans="1:24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Data'!N24</f>
        <v>26484968.386753168</v>
      </c>
      <c r="E24" s="269">
        <f>'Monthly Data'!BB24</f>
        <v>377.33511904761912</v>
      </c>
      <c r="F24" s="269">
        <f>'Monthly Data'!BI24</f>
        <v>1.3291666666666675</v>
      </c>
      <c r="G24" s="269">
        <f>'Monthly Data'!CG24</f>
        <v>0</v>
      </c>
      <c r="H24" s="18">
        <f>'Monthly Data'!AL24</f>
        <v>745380</v>
      </c>
      <c r="I24" s="18">
        <f>'Monthly Data'!CD24</f>
        <v>30</v>
      </c>
      <c r="K24" s="18">
        <f>'GS 50-999 Predicted Monthly'!$V$10</f>
        <v>-8058676.5655863797</v>
      </c>
      <c r="L24" s="18">
        <f>E24*'GS 50-999 Predicted Monthly'!$V$11</f>
        <v>6813487.1654438172</v>
      </c>
      <c r="M24" s="18">
        <f>F24*'GS 50-999 Predicted Monthly'!$V$12</f>
        <v>37790.324776556168</v>
      </c>
      <c r="N24" s="18">
        <f>G24*'GS 50-999 Predicted Monthly'!$V$13</f>
        <v>0</v>
      </c>
      <c r="O24" s="18">
        <f>H24*'GS 50-999 Predicted Monthly'!$V$14</f>
        <v>5203027.8696655501</v>
      </c>
      <c r="P24" s="18">
        <f>I24*'GS 50-999 Predicted Monthly'!$V$15</f>
        <v>22222857.190066528</v>
      </c>
      <c r="Q24" s="18">
        <f t="shared" si="4"/>
        <v>26218485.98436607</v>
      </c>
      <c r="R24" s="18">
        <f t="shared" si="2"/>
        <v>-266482.40238709748</v>
      </c>
      <c r="S24" s="270">
        <f t="shared" si="3"/>
        <v>1.006164698766952E-2</v>
      </c>
      <c r="U24" s="1" t="s">
        <v>163</v>
      </c>
      <c r="V24" s="18">
        <v>27805164.007210501</v>
      </c>
      <c r="W24" s="1" t="s">
        <v>164</v>
      </c>
      <c r="X24" s="18">
        <v>3082398.71823022</v>
      </c>
    </row>
    <row r="25" spans="1:24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Data'!N25</f>
        <v>31221242.491340503</v>
      </c>
      <c r="E25" s="269">
        <f>'Monthly Data'!BB25</f>
        <v>616.67083333333335</v>
      </c>
      <c r="F25" s="269">
        <f>'Monthly Data'!BI25</f>
        <v>0</v>
      </c>
      <c r="G25" s="269">
        <f>'Monthly Data'!CG25</f>
        <v>0</v>
      </c>
      <c r="H25" s="18">
        <f>'Monthly Data'!AL25</f>
        <v>745380</v>
      </c>
      <c r="I25" s="18">
        <f>'Monthly Data'!CD25</f>
        <v>31</v>
      </c>
      <c r="K25" s="18">
        <f>'GS 50-999 Predicted Monthly'!$V$10</f>
        <v>-8058676.5655863797</v>
      </c>
      <c r="L25" s="18">
        <f>E25*'GS 50-999 Predicted Monthly'!$V$11</f>
        <v>11135138.491283566</v>
      </c>
      <c r="M25" s="18">
        <f>F25*'GS 50-999 Predicted Monthly'!$V$12</f>
        <v>0</v>
      </c>
      <c r="N25" s="18">
        <f>G25*'GS 50-999 Predicted Monthly'!$V$13</f>
        <v>0</v>
      </c>
      <c r="O25" s="18">
        <f>H25*'GS 50-999 Predicted Monthly'!$V$14</f>
        <v>5203027.8696655501</v>
      </c>
      <c r="P25" s="18">
        <f>I25*'GS 50-999 Predicted Monthly'!$V$15</f>
        <v>22963619.096402079</v>
      </c>
      <c r="Q25" s="18">
        <f t="shared" si="4"/>
        <v>31243108.891764816</v>
      </c>
      <c r="R25" s="18">
        <f t="shared" si="2"/>
        <v>21866.4004243128</v>
      </c>
      <c r="S25" s="270">
        <f t="shared" si="3"/>
        <v>7.0036932163662754E-4</v>
      </c>
    </row>
    <row r="26" spans="1:24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Data'!N26</f>
        <v>34806736.410082474</v>
      </c>
      <c r="E26" s="269">
        <f>'Monthly Data'!BB26</f>
        <v>620.2166666666667</v>
      </c>
      <c r="F26" s="269">
        <f>'Monthly Data'!BI26</f>
        <v>0</v>
      </c>
      <c r="G26" s="269">
        <f>'Monthly Data'!CG26</f>
        <v>0</v>
      </c>
      <c r="H26" s="18">
        <f>'Monthly Data'!AL26</f>
        <v>756702</v>
      </c>
      <c r="I26" s="18">
        <f>'Monthly Data'!CD26</f>
        <v>31</v>
      </c>
      <c r="K26" s="18">
        <f>'GS 50-999 Predicted Monthly'!$V$10</f>
        <v>-8058676.5655863797</v>
      </c>
      <c r="L26" s="18">
        <f>E26*'GS 50-999 Predicted Monthly'!$V$11</f>
        <v>11199165.104996191</v>
      </c>
      <c r="M26" s="18">
        <f>F26*'GS 50-999 Predicted Monthly'!$V$12</f>
        <v>0</v>
      </c>
      <c r="N26" s="18">
        <f>G26*'GS 50-999 Predicted Monthly'!$V$13</f>
        <v>0</v>
      </c>
      <c r="O26" s="18">
        <f>H26*'GS 50-999 Predicted Monthly'!$V$14</f>
        <v>5282059.6139306938</v>
      </c>
      <c r="P26" s="18">
        <f>I26*'GS 50-999 Predicted Monthly'!$V$15</f>
        <v>22963619.096402079</v>
      </c>
      <c r="Q26" s="18">
        <f t="shared" si="4"/>
        <v>31386167.249742582</v>
      </c>
      <c r="R26" s="18">
        <f t="shared" si="2"/>
        <v>-3420569.1603398919</v>
      </c>
      <c r="S26" s="270">
        <f t="shared" si="3"/>
        <v>9.8273194017381507E-2</v>
      </c>
    </row>
    <row r="27" spans="1:24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Data'!N27</f>
        <v>28838170.041093104</v>
      </c>
      <c r="E27" s="269">
        <f>'Monthly Data'!BB27</f>
        <v>530.08333333333337</v>
      </c>
      <c r="F27" s="269">
        <f>'Monthly Data'!BI27</f>
        <v>0</v>
      </c>
      <c r="G27" s="269">
        <f>'Monthly Data'!CG27</f>
        <v>0</v>
      </c>
      <c r="H27" s="18">
        <f>'Monthly Data'!AL27</f>
        <v>756702</v>
      </c>
      <c r="I27" s="18">
        <f>'Monthly Data'!CD27</f>
        <v>28</v>
      </c>
      <c r="K27" s="18">
        <f>'GS 50-999 Predicted Monthly'!$V$10</f>
        <v>-8058676.5655863797</v>
      </c>
      <c r="L27" s="18">
        <f>E27*'GS 50-999 Predicted Monthly'!$V$11</f>
        <v>9571640.1839250755</v>
      </c>
      <c r="M27" s="18">
        <f>F27*'GS 50-999 Predicted Monthly'!$V$12</f>
        <v>0</v>
      </c>
      <c r="N27" s="18">
        <f>G27*'GS 50-999 Predicted Monthly'!$V$13</f>
        <v>0</v>
      </c>
      <c r="O27" s="18">
        <f>H27*'GS 50-999 Predicted Monthly'!$V$14</f>
        <v>5282059.6139306938</v>
      </c>
      <c r="P27" s="18">
        <f>I27*'GS 50-999 Predicted Monthly'!$V$15</f>
        <v>20741333.377395425</v>
      </c>
      <c r="Q27" s="18">
        <f t="shared" si="4"/>
        <v>27536356.609664813</v>
      </c>
      <c r="R27" s="18">
        <f t="shared" si="2"/>
        <v>-1301813.4314282909</v>
      </c>
      <c r="S27" s="270">
        <f t="shared" si="3"/>
        <v>4.5142026334308485E-2</v>
      </c>
    </row>
    <row r="28" spans="1:24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Data'!N28</f>
        <v>30947017.582069278</v>
      </c>
      <c r="E28" s="269">
        <f>'Monthly Data'!BB28</f>
        <v>599.67916666666667</v>
      </c>
      <c r="F28" s="269">
        <f>'Monthly Data'!BI28</f>
        <v>0</v>
      </c>
      <c r="G28" s="269">
        <f>'Monthly Data'!CG28</f>
        <v>0</v>
      </c>
      <c r="H28" s="18">
        <f>'Monthly Data'!AL28</f>
        <v>756702</v>
      </c>
      <c r="I28" s="18">
        <f>'Monthly Data'!CD28</f>
        <v>31</v>
      </c>
      <c r="K28" s="18">
        <f>'GS 50-999 Predicted Monthly'!$V$10</f>
        <v>-8058676.5655863797</v>
      </c>
      <c r="L28" s="18">
        <f>E28*'GS 50-999 Predicted Monthly'!$V$11</f>
        <v>10828322.356477352</v>
      </c>
      <c r="M28" s="18">
        <f>F28*'GS 50-999 Predicted Monthly'!$V$12</f>
        <v>0</v>
      </c>
      <c r="N28" s="18">
        <f>G28*'GS 50-999 Predicted Monthly'!$V$13</f>
        <v>0</v>
      </c>
      <c r="O28" s="18">
        <f>H28*'GS 50-999 Predicted Monthly'!$V$14</f>
        <v>5282059.6139306938</v>
      </c>
      <c r="P28" s="18">
        <f>I28*'GS 50-999 Predicted Monthly'!$V$15</f>
        <v>22963619.096402079</v>
      </c>
      <c r="Q28" s="18">
        <f t="shared" si="4"/>
        <v>31015324.501223743</v>
      </c>
      <c r="R28" s="18">
        <f t="shared" si="2"/>
        <v>68306.919154465199</v>
      </c>
      <c r="S28" s="270">
        <f t="shared" si="3"/>
        <v>2.2072213896967658E-3</v>
      </c>
    </row>
    <row r="29" spans="1:24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Data'!N29</f>
        <v>25802014.556424748</v>
      </c>
      <c r="E29" s="269">
        <f>'Monthly Data'!BB29</f>
        <v>288.73333333333335</v>
      </c>
      <c r="F29" s="269">
        <f>'Monthly Data'!BI29</f>
        <v>12.412500000000001</v>
      </c>
      <c r="G29" s="269">
        <f>'Monthly Data'!CG29</f>
        <v>0</v>
      </c>
      <c r="H29" s="18">
        <f>'Monthly Data'!AL29</f>
        <v>764644</v>
      </c>
      <c r="I29" s="18">
        <f>'Monthly Data'!CD29</f>
        <v>30</v>
      </c>
      <c r="K29" s="18">
        <f>'GS 50-999 Predicted Monthly'!$V$10</f>
        <v>-8058676.5655863797</v>
      </c>
      <c r="L29" s="18">
        <f>E29*'GS 50-999 Predicted Monthly'!$V$11</f>
        <v>5213617.1842892002</v>
      </c>
      <c r="M29" s="18">
        <f>F29*'GS 50-999 Predicted Monthly'!$V$12</f>
        <v>352907.13952777674</v>
      </c>
      <c r="N29" s="18">
        <f>G29*'GS 50-999 Predicted Monthly'!$V$13</f>
        <v>0</v>
      </c>
      <c r="O29" s="18">
        <f>H29*'GS 50-999 Predicted Monthly'!$V$14</f>
        <v>5337497.709051148</v>
      </c>
      <c r="P29" s="18">
        <f>I29*'GS 50-999 Predicted Monthly'!$V$15</f>
        <v>22222857.190066528</v>
      </c>
      <c r="Q29" s="18">
        <f t="shared" si="4"/>
        <v>25068202.657348271</v>
      </c>
      <c r="R29" s="18">
        <f t="shared" si="2"/>
        <v>-733811.89907647669</v>
      </c>
      <c r="S29" s="270">
        <f t="shared" si="3"/>
        <v>2.8440100964665031E-2</v>
      </c>
    </row>
    <row r="30" spans="1:24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Data'!N30</f>
        <v>27647143.955622979</v>
      </c>
      <c r="E30" s="269">
        <f>'Monthly Data'!BB30</f>
        <v>188.63749999999999</v>
      </c>
      <c r="F30" s="269">
        <f>'Monthly Data'!BI30</f>
        <v>54.529166666666683</v>
      </c>
      <c r="G30" s="269">
        <f>'Monthly Data'!CG30</f>
        <v>0</v>
      </c>
      <c r="H30" s="18">
        <f>'Monthly Data'!AL30</f>
        <v>764644</v>
      </c>
      <c r="I30" s="18">
        <f>'Monthly Data'!CD30</f>
        <v>31</v>
      </c>
      <c r="K30" s="18">
        <f>'GS 50-999 Predicted Monthly'!$V$10</f>
        <v>-8058676.5655863797</v>
      </c>
      <c r="L30" s="18">
        <f>E30*'GS 50-999 Predicted Monthly'!$V$11</f>
        <v>3406200.8021289101</v>
      </c>
      <c r="M30" s="18">
        <f>F30*'GS 50-999 Predicted Monthly'!$V$12</f>
        <v>1550351.0355824153</v>
      </c>
      <c r="N30" s="18">
        <f>G30*'GS 50-999 Predicted Monthly'!$V$13</f>
        <v>0</v>
      </c>
      <c r="O30" s="18">
        <f>H30*'GS 50-999 Predicted Monthly'!$V$14</f>
        <v>5337497.709051148</v>
      </c>
      <c r="P30" s="18">
        <f>I30*'GS 50-999 Predicted Monthly'!$V$15</f>
        <v>22963619.096402079</v>
      </c>
      <c r="Q30" s="18">
        <f t="shared" si="4"/>
        <v>25198992.077578172</v>
      </c>
      <c r="R30" s="18">
        <f t="shared" si="2"/>
        <v>-2448151.8780448064</v>
      </c>
      <c r="S30" s="270">
        <f t="shared" si="3"/>
        <v>8.854990164533405E-2</v>
      </c>
    </row>
    <row r="31" spans="1:24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Data'!N31</f>
        <v>24510322.97232236</v>
      </c>
      <c r="E31" s="269">
        <f>'Monthly Data'!BB31</f>
        <v>47.73249999999998</v>
      </c>
      <c r="F31" s="269">
        <f>'Monthly Data'!BI31</f>
        <v>168.62166666666667</v>
      </c>
      <c r="G31" s="269">
        <f>'Monthly Data'!CG31</f>
        <v>0</v>
      </c>
      <c r="H31" s="18">
        <f>'Monthly Data'!AL31</f>
        <v>764644</v>
      </c>
      <c r="I31" s="18">
        <f>'Monthly Data'!CD31</f>
        <v>30</v>
      </c>
      <c r="K31" s="18">
        <f>'GS 50-999 Predicted Monthly'!$V$10</f>
        <v>-8058676.5655863797</v>
      </c>
      <c r="L31" s="18">
        <f>E31*'GS 50-999 Predicted Monthly'!$V$11</f>
        <v>861899.03803654166</v>
      </c>
      <c r="M31" s="18">
        <f>F31*'GS 50-999 Predicted Monthly'!$V$12</f>
        <v>4794182.4810263515</v>
      </c>
      <c r="N31" s="18">
        <f>G31*'GS 50-999 Predicted Monthly'!$V$13</f>
        <v>0</v>
      </c>
      <c r="O31" s="18">
        <f>H31*'GS 50-999 Predicted Monthly'!$V$14</f>
        <v>5337497.709051148</v>
      </c>
      <c r="P31" s="18">
        <f>I31*'GS 50-999 Predicted Monthly'!$V$15</f>
        <v>22222857.190066528</v>
      </c>
      <c r="Q31" s="18">
        <f t="shared" si="4"/>
        <v>25157759.852594189</v>
      </c>
      <c r="R31" s="18">
        <f t="shared" si="2"/>
        <v>647436.88027182966</v>
      </c>
      <c r="S31" s="270">
        <f t="shared" si="3"/>
        <v>2.6414865320335875E-2</v>
      </c>
    </row>
    <row r="32" spans="1:24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Data'!N32</f>
        <v>31469547.442503113</v>
      </c>
      <c r="E32" s="269">
        <f>'Monthly Data'!BB32</f>
        <v>1.8041666666666707</v>
      </c>
      <c r="F32" s="269">
        <f>'Monthly Data'!BI32</f>
        <v>260.16666666666657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-8058676.5655863797</v>
      </c>
      <c r="L32" s="18">
        <f>E32*'GS 50-999 Predicted Monthly'!$V$11</f>
        <v>32577.583710419487</v>
      </c>
      <c r="M32" s="18">
        <f>F32*'GS 50-999 Predicted Monthly'!$V$12</f>
        <v>7396952.5988970688</v>
      </c>
      <c r="N32" s="18">
        <f>G32*'GS 50-999 Predicted Monthly'!$V$13</f>
        <v>0</v>
      </c>
      <c r="O32" s="18">
        <f>H32*'GS 50-999 Predicted Monthly'!$V$14</f>
        <v>5340401.5427920325</v>
      </c>
      <c r="P32" s="18">
        <f>I32*'GS 50-999 Predicted Monthly'!$V$15</f>
        <v>22963619.096402079</v>
      </c>
      <c r="Q32" s="18">
        <f t="shared" si="4"/>
        <v>27674874.256215222</v>
      </c>
      <c r="R32" s="18">
        <f t="shared" si="2"/>
        <v>-3794673.1862878911</v>
      </c>
      <c r="S32" s="270">
        <f t="shared" si="3"/>
        <v>0.12058238820310344</v>
      </c>
    </row>
    <row r="33" spans="1:19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Data'!N33</f>
        <v>27041145.811984874</v>
      </c>
      <c r="E33" s="269">
        <f>'Monthly Data'!BB33</f>
        <v>17.950000000000006</v>
      </c>
      <c r="F33" s="269">
        <f>'Monthly Data'!BI33</f>
        <v>217.42409420289852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-8058676.5655863797</v>
      </c>
      <c r="L33" s="18">
        <f>E33*'GS 50-999 Predicted Monthly'!$V$11</f>
        <v>324120.62499881495</v>
      </c>
      <c r="M33" s="18">
        <f>F33*'GS 50-999 Predicted Monthly'!$V$12</f>
        <v>6181713.2043957924</v>
      </c>
      <c r="N33" s="18">
        <f>G33*'GS 50-999 Predicted Monthly'!$V$13</f>
        <v>0</v>
      </c>
      <c r="O33" s="18">
        <f>H33*'GS 50-999 Predicted Monthly'!$V$14</f>
        <v>5340401.5427920325</v>
      </c>
      <c r="P33" s="18">
        <f>I33*'GS 50-999 Predicted Monthly'!$V$15</f>
        <v>22963619.096402079</v>
      </c>
      <c r="Q33" s="18">
        <f t="shared" si="4"/>
        <v>26751177.90300234</v>
      </c>
      <c r="R33" s="18">
        <f t="shared" si="2"/>
        <v>-289967.90898253396</v>
      </c>
      <c r="S33" s="270">
        <f t="shared" si="3"/>
        <v>1.0723210880140206E-2</v>
      </c>
    </row>
    <row r="34" spans="1:19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Data'!N34</f>
        <v>27701627.05622584</v>
      </c>
      <c r="E34" s="269">
        <f>'Monthly Data'!BB34</f>
        <v>65.699999999999989</v>
      </c>
      <c r="F34" s="269">
        <f>'Monthly Data'!BI34</f>
        <v>161.3125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-8058676.5655863797</v>
      </c>
      <c r="L34" s="18">
        <f>E34*'GS 50-999 Predicted Monthly'!$V$11</f>
        <v>1186335.6580736565</v>
      </c>
      <c r="M34" s="18">
        <f>F34*'GS 50-999 Predicted Monthly'!$V$12</f>
        <v>4586371.2342456784</v>
      </c>
      <c r="N34" s="18">
        <f>G34*'GS 50-999 Predicted Monthly'!$V$13</f>
        <v>0</v>
      </c>
      <c r="O34" s="18">
        <f>H34*'GS 50-999 Predicted Monthly'!$V$14</f>
        <v>5340401.5427920325</v>
      </c>
      <c r="P34" s="18">
        <f>I34*'GS 50-999 Predicted Monthly'!$V$15</f>
        <v>22222857.190066528</v>
      </c>
      <c r="Q34" s="18">
        <f t="shared" si="4"/>
        <v>25277289.059591517</v>
      </c>
      <c r="R34" s="18">
        <f t="shared" ref="R34:R65" si="5">Q34-D34</f>
        <v>-2424337.9966343231</v>
      </c>
      <c r="S34" s="270">
        <f t="shared" ref="S34:S65" si="6">ABS(R34/D34)</f>
        <v>8.7516086752365038E-2</v>
      </c>
    </row>
    <row r="35" spans="1:19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Data'!N35</f>
        <v>28543126.735597521</v>
      </c>
      <c r="E35" s="269">
        <f>'Monthly Data'!BB35</f>
        <v>179.70833333333334</v>
      </c>
      <c r="F35" s="269">
        <f>'Monthly Data'!BI35</f>
        <v>59.400000000000006</v>
      </c>
      <c r="G35" s="269">
        <f>'Monthly Data'!CG35</f>
        <v>0</v>
      </c>
      <c r="H35" s="18">
        <f>'Monthly Data'!AL35</f>
        <v>771453</v>
      </c>
      <c r="I35" s="18">
        <f>'Monthly Data'!CD35</f>
        <v>31</v>
      </c>
      <c r="K35" s="18">
        <f>'GS 50-999 Predicted Monthly'!$V$10</f>
        <v>-8058676.5655863797</v>
      </c>
      <c r="L35" s="18">
        <f>E35*'GS 50-999 Predicted Monthly'!$V$11</f>
        <v>3244968.0956821926</v>
      </c>
      <c r="M35" s="18">
        <f>F35*'GS 50-999 Predicted Monthly'!$V$12</f>
        <v>1688836.5831178199</v>
      </c>
      <c r="N35" s="18">
        <f>G35*'GS 50-999 Predicted Monthly'!$V$13</f>
        <v>0</v>
      </c>
      <c r="O35" s="18">
        <f>H35*'GS 50-999 Predicted Monthly'!$V$14</f>
        <v>5385027.045449432</v>
      </c>
      <c r="P35" s="18">
        <f>I35*'GS 50-999 Predicted Monthly'!$V$15</f>
        <v>22963619.096402079</v>
      </c>
      <c r="Q35" s="18">
        <f t="shared" si="4"/>
        <v>25223774.255065143</v>
      </c>
      <c r="R35" s="18">
        <f t="shared" si="5"/>
        <v>-3319352.480532378</v>
      </c>
      <c r="S35" s="270">
        <f t="shared" si="6"/>
        <v>0.11629253204389314</v>
      </c>
    </row>
    <row r="36" spans="1:19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Data'!N36</f>
        <v>28958644.867446724</v>
      </c>
      <c r="E36" s="269">
        <f>'Monthly Data'!BB36</f>
        <v>442.61174242424244</v>
      </c>
      <c r="F36" s="269">
        <f>'Monthly Data'!BI36</f>
        <v>0</v>
      </c>
      <c r="G36" s="269">
        <f>'Monthly Data'!CG36</f>
        <v>0</v>
      </c>
      <c r="H36" s="18">
        <f>'Monthly Data'!AL36</f>
        <v>771453</v>
      </c>
      <c r="I36" s="18">
        <f>'Monthly Data'!CD36</f>
        <v>30</v>
      </c>
      <c r="K36" s="18">
        <f>'GS 50-999 Predicted Monthly'!$V$10</f>
        <v>-8058676.5655863797</v>
      </c>
      <c r="L36" s="18">
        <f>E36*'GS 50-999 Predicted Monthly'!$V$11</f>
        <v>7992177.9713849537</v>
      </c>
      <c r="M36" s="18">
        <f>F36*'GS 50-999 Predicted Monthly'!$V$12</f>
        <v>0</v>
      </c>
      <c r="N36" s="18">
        <f>G36*'GS 50-999 Predicted Monthly'!$V$13</f>
        <v>0</v>
      </c>
      <c r="O36" s="18">
        <f>H36*'GS 50-999 Predicted Monthly'!$V$14</f>
        <v>5385027.045449432</v>
      </c>
      <c r="P36" s="18">
        <f>I36*'GS 50-999 Predicted Monthly'!$V$15</f>
        <v>22222857.190066528</v>
      </c>
      <c r="Q36" s="18">
        <f t="shared" si="4"/>
        <v>27541385.641314533</v>
      </c>
      <c r="R36" s="18">
        <f t="shared" si="5"/>
        <v>-1417259.2261321917</v>
      </c>
      <c r="S36" s="270">
        <f t="shared" si="6"/>
        <v>4.8940799288760058E-2</v>
      </c>
    </row>
    <row r="37" spans="1:19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Data'!N37</f>
        <v>32603693.979294565</v>
      </c>
      <c r="E37" s="269">
        <f>'Monthly Data'!BB37</f>
        <v>736.31250000000011</v>
      </c>
      <c r="F37" s="269">
        <f>'Monthly Data'!BI37</f>
        <v>0</v>
      </c>
      <c r="G37" s="269">
        <f>'Monthly Data'!CG37</f>
        <v>0</v>
      </c>
      <c r="H37" s="18">
        <f>'Monthly Data'!AL37</f>
        <v>771453</v>
      </c>
      <c r="I37" s="18">
        <f>'Monthly Data'!CD37</f>
        <v>31</v>
      </c>
      <c r="K37" s="18">
        <f>'GS 50-999 Predicted Monthly'!$V$10</f>
        <v>-8058676.5655863797</v>
      </c>
      <c r="L37" s="18">
        <f>E37*'GS 50-999 Predicted Monthly'!$V$11</f>
        <v>13295491.236459047</v>
      </c>
      <c r="M37" s="18">
        <f>F37*'GS 50-999 Predicted Monthly'!$V$12</f>
        <v>0</v>
      </c>
      <c r="N37" s="18">
        <f>G37*'GS 50-999 Predicted Monthly'!$V$13</f>
        <v>0</v>
      </c>
      <c r="O37" s="18">
        <f>H37*'GS 50-999 Predicted Monthly'!$V$14</f>
        <v>5385027.045449432</v>
      </c>
      <c r="P37" s="18">
        <f>I37*'GS 50-999 Predicted Monthly'!$V$15</f>
        <v>22963619.096402079</v>
      </c>
      <c r="Q37" s="18">
        <f t="shared" si="4"/>
        <v>33585460.812724173</v>
      </c>
      <c r="R37" s="18">
        <f t="shared" si="5"/>
        <v>981766.83342960849</v>
      </c>
      <c r="S37" s="270">
        <f t="shared" si="6"/>
        <v>3.0112134964004181E-2</v>
      </c>
    </row>
    <row r="38" spans="1:19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Data'!N38</f>
        <v>33872703.090109438</v>
      </c>
      <c r="E38" s="269">
        <f>'Monthly Data'!BB38</f>
        <v>750.53750000000002</v>
      </c>
      <c r="F38" s="269">
        <f>'Monthly Data'!BI38</f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-8058676.5655863797</v>
      </c>
      <c r="L38" s="18">
        <f>E38*'GS 50-999 Predicted Monthly'!$V$11</f>
        <v>13552350.060448358</v>
      </c>
      <c r="M38" s="18">
        <f>F38*'GS 50-999 Predicted Monthly'!$V$12</f>
        <v>0</v>
      </c>
      <c r="N38" s="18">
        <f>G38*'GS 50-999 Predicted Monthly'!$V$13</f>
        <v>0</v>
      </c>
      <c r="O38" s="18">
        <f>H38*'GS 50-999 Predicted Monthly'!$V$14</f>
        <v>5440911.8842223296</v>
      </c>
      <c r="P38" s="18">
        <f>I38*'GS 50-999 Predicted Monthly'!$V$15</f>
        <v>22963619.096402079</v>
      </c>
      <c r="Q38" s="18">
        <f t="shared" si="4"/>
        <v>33898204.475486383</v>
      </c>
      <c r="R38" s="18">
        <f t="shared" si="5"/>
        <v>25501.385376945138</v>
      </c>
      <c r="S38" s="270">
        <f t="shared" si="6"/>
        <v>7.5285947239301786E-4</v>
      </c>
    </row>
    <row r="39" spans="1:19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Data'!N39</f>
        <v>27039739.170188677</v>
      </c>
      <c r="E39" s="269">
        <f>'Monthly Data'!BB39</f>
        <v>576.49583333333317</v>
      </c>
      <c r="F39" s="269">
        <f>'Monthly Data'!BI39</f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-8058676.5655863797</v>
      </c>
      <c r="L39" s="18">
        <f>E39*'GS 50-999 Predicted Monthly'!$V$11</f>
        <v>10409704.167644152</v>
      </c>
      <c r="M39" s="18">
        <f>F39*'GS 50-999 Predicted Monthly'!$V$12</f>
        <v>0</v>
      </c>
      <c r="N39" s="18">
        <f>G39*'GS 50-999 Predicted Monthly'!$V$13</f>
        <v>0</v>
      </c>
      <c r="O39" s="18">
        <f>H39*'GS 50-999 Predicted Monthly'!$V$14</f>
        <v>5440911.8842223296</v>
      </c>
      <c r="P39" s="18">
        <f>I39*'GS 50-999 Predicted Monthly'!$V$15</f>
        <v>20741333.377395425</v>
      </c>
      <c r="Q39" s="18">
        <f t="shared" si="4"/>
        <v>28533272.863675527</v>
      </c>
      <c r="R39" s="18">
        <f t="shared" si="5"/>
        <v>1493533.6934868507</v>
      </c>
      <c r="S39" s="270">
        <f t="shared" si="6"/>
        <v>5.5234767025174276E-2</v>
      </c>
    </row>
    <row r="40" spans="1:19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Data'!N40</f>
        <v>28989337.312387191</v>
      </c>
      <c r="E40" s="269">
        <f>'Monthly Data'!BB40</f>
        <v>567.2791666666667</v>
      </c>
      <c r="F40" s="269">
        <f>'Monthly Data'!BI40</f>
        <v>0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-8058676.5655863797</v>
      </c>
      <c r="L40" s="18">
        <f>E40*'GS 50-999 Predicted Monthly'!$V$11</f>
        <v>10243280.114139657</v>
      </c>
      <c r="M40" s="18">
        <f>F40*'GS 50-999 Predicted Monthly'!$V$12</f>
        <v>0</v>
      </c>
      <c r="N40" s="18">
        <f>G40*'GS 50-999 Predicted Monthly'!$V$13</f>
        <v>0</v>
      </c>
      <c r="O40" s="18">
        <f>H40*'GS 50-999 Predicted Monthly'!$V$14</f>
        <v>5440911.8842223296</v>
      </c>
      <c r="P40" s="18">
        <f>I40*'GS 50-999 Predicted Monthly'!$V$15</f>
        <v>22963619.096402079</v>
      </c>
      <c r="Q40" s="18">
        <f t="shared" si="4"/>
        <v>30589134.529177688</v>
      </c>
      <c r="R40" s="18">
        <f t="shared" si="5"/>
        <v>1599797.2167904973</v>
      </c>
      <c r="S40" s="270">
        <f t="shared" si="6"/>
        <v>5.5185711889554005E-2</v>
      </c>
    </row>
    <row r="41" spans="1:19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Data'!N41</f>
        <v>27292635.35976962</v>
      </c>
      <c r="E41" s="269">
        <f>'Monthly Data'!BB41</f>
        <v>452.51666666666677</v>
      </c>
      <c r="F41" s="269">
        <f>'Monthly Data'!BI41</f>
        <v>0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-8058676.5655863797</v>
      </c>
      <c r="L41" s="18">
        <f>E41*'GS 50-999 Predicted Monthly'!$V$11</f>
        <v>8171029.7951186849</v>
      </c>
      <c r="M41" s="18">
        <f>F41*'GS 50-999 Predicted Monthly'!$V$12</f>
        <v>0</v>
      </c>
      <c r="N41" s="18">
        <f>G41*'GS 50-999 Predicted Monthly'!$V$13</f>
        <v>0</v>
      </c>
      <c r="O41" s="18">
        <f>H41*'GS 50-999 Predicted Monthly'!$V$14</f>
        <v>5478864.1535713477</v>
      </c>
      <c r="P41" s="18">
        <f>I41*'GS 50-999 Predicted Monthly'!$V$15</f>
        <v>22222857.190066528</v>
      </c>
      <c r="Q41" s="18">
        <f t="shared" si="4"/>
        <v>27814074.573170181</v>
      </c>
      <c r="R41" s="18">
        <f t="shared" si="5"/>
        <v>521439.21340056136</v>
      </c>
      <c r="S41" s="270">
        <f t="shared" si="6"/>
        <v>1.9105491519121769E-2</v>
      </c>
    </row>
    <row r="42" spans="1:19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Data'!N42</f>
        <v>23108874.049163755</v>
      </c>
      <c r="E42" s="269">
        <f>'Monthly Data'!BB42</f>
        <v>95.407196969696969</v>
      </c>
      <c r="F42" s="269">
        <f>'Monthly Data'!BI42</f>
        <v>127.46720779220779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-8058676.5655863797</v>
      </c>
      <c r="L42" s="18">
        <f>E42*'GS 50-999 Predicted Monthly'!$V$11</f>
        <v>1722754.334885973</v>
      </c>
      <c r="M42" s="18">
        <f>F42*'GS 50-999 Predicted Monthly'!$V$12</f>
        <v>3624095.6846357123</v>
      </c>
      <c r="N42" s="18">
        <f>G42*'GS 50-999 Predicted Monthly'!$V$13</f>
        <v>0</v>
      </c>
      <c r="O42" s="18">
        <f>H42*'GS 50-999 Predicted Monthly'!$V$14</f>
        <v>5478864.1535713477</v>
      </c>
      <c r="P42" s="18">
        <f>I42*'GS 50-999 Predicted Monthly'!$V$15</f>
        <v>22963619.096402079</v>
      </c>
      <c r="Q42" s="18">
        <f t="shared" si="4"/>
        <v>25730656.70390873</v>
      </c>
      <c r="R42" s="18">
        <f t="shared" si="5"/>
        <v>2621782.6547449753</v>
      </c>
      <c r="S42" s="270">
        <f t="shared" si="6"/>
        <v>0.11345350055425353</v>
      </c>
    </row>
    <row r="43" spans="1:19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Data'!N43</f>
        <v>26998818.891324371</v>
      </c>
      <c r="E43" s="269">
        <f>'Monthly Data'!BB43</f>
        <v>23.060227272727261</v>
      </c>
      <c r="F43" s="269">
        <f>'Monthly Data'!BI43</f>
        <v>198.19393939393944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-8058676.5655863797</v>
      </c>
      <c r="L43" s="18">
        <f>E43*'GS 50-999 Predicted Monthly'!$V$11</f>
        <v>416395.2800139875</v>
      </c>
      <c r="M43" s="18">
        <f>F43*'GS 50-999 Predicted Monthly'!$V$12</f>
        <v>5634969.2828404196</v>
      </c>
      <c r="N43" s="18">
        <f>G43*'GS 50-999 Predicted Monthly'!$V$13</f>
        <v>0</v>
      </c>
      <c r="O43" s="18">
        <f>H43*'GS 50-999 Predicted Monthly'!$V$14</f>
        <v>5478864.1535713477</v>
      </c>
      <c r="P43" s="18">
        <f>I43*'GS 50-999 Predicted Monthly'!$V$15</f>
        <v>22222857.190066528</v>
      </c>
      <c r="Q43" s="18">
        <f t="shared" si="4"/>
        <v>25694409.340905905</v>
      </c>
      <c r="R43" s="18">
        <f t="shared" si="5"/>
        <v>-1304409.5504184663</v>
      </c>
      <c r="S43" s="270">
        <f t="shared" si="6"/>
        <v>4.8313578296479372E-2</v>
      </c>
    </row>
    <row r="44" spans="1:19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Data'!N44</f>
        <v>29341632.11251267</v>
      </c>
      <c r="E44" s="269">
        <f>'Monthly Data'!BB44</f>
        <v>0.19999999999999574</v>
      </c>
      <c r="F44" s="269">
        <f>'Monthly Data'!BI44</f>
        <v>318.39861424807077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-8058676.5655863797</v>
      </c>
      <c r="L44" s="18">
        <f>E44*'GS 50-999 Predicted Monthly'!$V$11</f>
        <v>3611.3718662819829</v>
      </c>
      <c r="M44" s="18">
        <f>F44*'GS 50-999 Predicted Monthly'!$V$12</f>
        <v>9052579.5918545555</v>
      </c>
      <c r="N44" s="18">
        <f>G44*'GS 50-999 Predicted Monthly'!$V$13</f>
        <v>0</v>
      </c>
      <c r="O44" s="18">
        <f>H44*'GS 50-999 Predicted Monthly'!$V$14</f>
        <v>5543390.6898712059</v>
      </c>
      <c r="P44" s="18">
        <f>I44*'GS 50-999 Predicted Monthly'!$V$15</f>
        <v>22963619.096402079</v>
      </c>
      <c r="Q44" s="18">
        <f t="shared" si="4"/>
        <v>29504524.184407741</v>
      </c>
      <c r="R44" s="18">
        <f t="shared" si="5"/>
        <v>162892.07189507037</v>
      </c>
      <c r="S44" s="270">
        <f t="shared" si="6"/>
        <v>5.5515682041969786E-3</v>
      </c>
    </row>
    <row r="45" spans="1:19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Data'!N45</f>
        <v>26369450.398397464</v>
      </c>
      <c r="E45" s="269">
        <f>'Monthly Data'!BB45</f>
        <v>0.90833333333333144</v>
      </c>
      <c r="F45" s="269">
        <f>'Monthly Data'!BI45</f>
        <v>314.24583333333334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-8058676.5655863797</v>
      </c>
      <c r="L45" s="18">
        <f>E45*'GS 50-999 Predicted Monthly'!$V$11</f>
        <v>16401.647226030986</v>
      </c>
      <c r="M45" s="18">
        <f>F45*'GS 50-999 Predicted Monthly'!$V$12</f>
        <v>8934509.4179407153</v>
      </c>
      <c r="N45" s="18">
        <f>G45*'GS 50-999 Predicted Monthly'!$V$13</f>
        <v>0</v>
      </c>
      <c r="O45" s="18">
        <f>H45*'GS 50-999 Predicted Monthly'!$V$14</f>
        <v>5543390.6898712059</v>
      </c>
      <c r="P45" s="18">
        <f>I45*'GS 50-999 Predicted Monthly'!$V$15</f>
        <v>22963619.096402079</v>
      </c>
      <c r="Q45" s="18">
        <f t="shared" si="4"/>
        <v>29399244.28585365</v>
      </c>
      <c r="R45" s="18">
        <f t="shared" si="5"/>
        <v>3029793.8874561861</v>
      </c>
      <c r="S45" s="270">
        <f t="shared" si="6"/>
        <v>0.11489787772142245</v>
      </c>
    </row>
    <row r="46" spans="1:19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Data'!N46</f>
        <v>25218454.832945697</v>
      </c>
      <c r="E46" s="269">
        <f>'Monthly Data'!BB46</f>
        <v>59.1875</v>
      </c>
      <c r="F46" s="269">
        <f>'Monthly Data'!BI46</f>
        <v>183.48333333333329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-8058676.5655863797</v>
      </c>
      <c r="L46" s="18">
        <f>E46*'GS 50-999 Predicted Monthly'!$V$11</f>
        <v>1068740.3616778471</v>
      </c>
      <c r="M46" s="18">
        <f>F46*'GS 50-999 Predicted Monthly'!$V$12</f>
        <v>5216723.3287160695</v>
      </c>
      <c r="N46" s="18">
        <f>G46*'GS 50-999 Predicted Monthly'!$V$13</f>
        <v>0</v>
      </c>
      <c r="O46" s="18">
        <f>H46*'GS 50-999 Predicted Monthly'!$V$14</f>
        <v>5543390.6898712059</v>
      </c>
      <c r="P46" s="18">
        <f>I46*'GS 50-999 Predicted Monthly'!$V$15</f>
        <v>22222857.190066528</v>
      </c>
      <c r="Q46" s="18">
        <f t="shared" si="4"/>
        <v>25993035.004745271</v>
      </c>
      <c r="R46" s="18">
        <f t="shared" si="5"/>
        <v>774580.17179957405</v>
      </c>
      <c r="S46" s="270">
        <f t="shared" si="6"/>
        <v>3.0714814881824284E-2</v>
      </c>
    </row>
    <row r="47" spans="1:19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Data'!N47</f>
        <v>25367309.651391424</v>
      </c>
      <c r="E47" s="269">
        <f>'Monthly Data'!BB47</f>
        <v>305.10000000000002</v>
      </c>
      <c r="F47" s="269">
        <f>'Monthly Data'!BI47</f>
        <v>25.358333333333334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-8058676.5655863797</v>
      </c>
      <c r="L47" s="18">
        <f>E47*'GS 50-999 Predicted Monthly'!$V$11</f>
        <v>5509147.7820132822</v>
      </c>
      <c r="M47" s="18">
        <f>F47*'GS 50-999 Predicted Monthly'!$V$12</f>
        <v>720977.7949533565</v>
      </c>
      <c r="N47" s="18">
        <f>G47*'GS 50-999 Predicted Monthly'!$V$13</f>
        <v>0</v>
      </c>
      <c r="O47" s="18">
        <f>H47*'GS 50-999 Predicted Monthly'!$V$14</f>
        <v>5581726.8795465436</v>
      </c>
      <c r="P47" s="18">
        <f>I47*'GS 50-999 Predicted Monthly'!$V$15</f>
        <v>22963619.096402079</v>
      </c>
      <c r="Q47" s="18">
        <f t="shared" si="4"/>
        <v>26716794.98732888</v>
      </c>
      <c r="R47" s="18">
        <f t="shared" si="5"/>
        <v>1349485.3359374553</v>
      </c>
      <c r="S47" s="270">
        <f t="shared" si="6"/>
        <v>5.3197810665879364E-2</v>
      </c>
    </row>
    <row r="48" spans="1:19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Data'!N48</f>
        <v>28453365.92921941</v>
      </c>
      <c r="E48" s="269">
        <f>'Monthly Data'!BB48</f>
        <v>503.52500000000003</v>
      </c>
      <c r="F48" s="269">
        <f>'Monthly Data'!BI48</f>
        <v>0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-8058676.5655863797</v>
      </c>
      <c r="L48" s="18">
        <f>E48*'GS 50-999 Predicted Monthly'!$V$11</f>
        <v>9092080.0948483702</v>
      </c>
      <c r="M48" s="18">
        <f>F48*'GS 50-999 Predicted Monthly'!$V$12</f>
        <v>0</v>
      </c>
      <c r="N48" s="18">
        <f>G48*'GS 50-999 Predicted Monthly'!$V$13</f>
        <v>0</v>
      </c>
      <c r="O48" s="18">
        <f>H48*'GS 50-999 Predicted Monthly'!$V$14</f>
        <v>5581726.8795465436</v>
      </c>
      <c r="P48" s="18">
        <f>I48*'GS 50-999 Predicted Monthly'!$V$15</f>
        <v>22222857.190066528</v>
      </c>
      <c r="Q48" s="18">
        <f t="shared" si="4"/>
        <v>28837987.598875061</v>
      </c>
      <c r="R48" s="18">
        <f t="shared" si="5"/>
        <v>384621.66965565085</v>
      </c>
      <c r="S48" s="270">
        <f t="shared" si="6"/>
        <v>1.3517615828385144E-2</v>
      </c>
    </row>
    <row r="49" spans="1:21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Data'!N49</f>
        <v>29806855.699458219</v>
      </c>
      <c r="E49" s="269">
        <f>'Monthly Data'!BB49</f>
        <v>584.91666666666663</v>
      </c>
      <c r="F49" s="269">
        <f>'Monthly Data'!BI49</f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-8058676.5655863797</v>
      </c>
      <c r="L49" s="18">
        <f>E49*'GS 50-999 Predicted Monthly'!$V$11</f>
        <v>10561757.970597407</v>
      </c>
      <c r="M49" s="18">
        <f>F49*'GS 50-999 Predicted Monthly'!$V$12</f>
        <v>0</v>
      </c>
      <c r="N49" s="18">
        <f>G49*'GS 50-999 Predicted Monthly'!$V$13</f>
        <v>0</v>
      </c>
      <c r="O49" s="18">
        <f>H49*'GS 50-999 Predicted Monthly'!$V$14</f>
        <v>5581726.8795465436</v>
      </c>
      <c r="P49" s="18">
        <f>I49*'GS 50-999 Predicted Monthly'!$V$15</f>
        <v>22963619.096402079</v>
      </c>
      <c r="Q49" s="18">
        <f t="shared" si="4"/>
        <v>31048427.380959649</v>
      </c>
      <c r="R49" s="18">
        <f t="shared" si="5"/>
        <v>1241571.6815014295</v>
      </c>
      <c r="S49" s="270">
        <f t="shared" si="6"/>
        <v>4.1653896473353838E-2</v>
      </c>
    </row>
    <row r="50" spans="1:21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Data'!N50</f>
        <v>34592789.583499245</v>
      </c>
      <c r="E50" s="269">
        <f>'Monthly Data'!BB50</f>
        <v>779.93333333333351</v>
      </c>
      <c r="F50" s="269">
        <f>'Monthly Data'!BI50</f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-8058676.5655863797</v>
      </c>
      <c r="L50" s="18">
        <f>E50*'GS 50-999 Predicted Monthly'!$V$11</f>
        <v>14083146.487877943</v>
      </c>
      <c r="M50" s="18">
        <f>F50*'GS 50-999 Predicted Monthly'!$V$12</f>
        <v>0</v>
      </c>
      <c r="N50" s="18">
        <f>G50*'GS 50-999 Predicted Monthly'!$V$13</f>
        <v>0</v>
      </c>
      <c r="O50" s="18">
        <f>H50*'GS 50-999 Predicted Monthly'!$V$14</f>
        <v>5589349.4431163669</v>
      </c>
      <c r="P50" s="18">
        <f>I50*'GS 50-999 Predicted Monthly'!$V$15</f>
        <v>22963619.096402079</v>
      </c>
      <c r="Q50" s="18">
        <f t="shared" si="4"/>
        <v>34577438.461810008</v>
      </c>
      <c r="R50" s="18">
        <f t="shared" si="5"/>
        <v>-15351.121689237654</v>
      </c>
      <c r="S50" s="270">
        <f t="shared" si="6"/>
        <v>4.4376651533648318E-4</v>
      </c>
    </row>
    <row r="51" spans="1:21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Data'!N51</f>
        <v>30102232.581914391</v>
      </c>
      <c r="E51" s="269">
        <f>'Monthly Data'!BB51</f>
        <v>639.30416666666645</v>
      </c>
      <c r="F51" s="269">
        <f>'Monthly Data'!BI51</f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-8058676.5655863797</v>
      </c>
      <c r="L51" s="18">
        <f>E51*'GS 50-999 Predicted Monthly'!$V$11</f>
        <v>11543825.407484481</v>
      </c>
      <c r="M51" s="18">
        <f>F51*'GS 50-999 Predicted Monthly'!$V$12</f>
        <v>0</v>
      </c>
      <c r="N51" s="18">
        <f>G51*'GS 50-999 Predicted Monthly'!$V$13</f>
        <v>0</v>
      </c>
      <c r="O51" s="18">
        <f>H51*'GS 50-999 Predicted Monthly'!$V$14</f>
        <v>5589349.4431163669</v>
      </c>
      <c r="P51" s="18">
        <f>I51*'GS 50-999 Predicted Monthly'!$V$15</f>
        <v>20741333.377395425</v>
      </c>
      <c r="Q51" s="18">
        <f t="shared" si="4"/>
        <v>29815831.662409894</v>
      </c>
      <c r="R51" s="18">
        <f t="shared" si="5"/>
        <v>-286400.9195044972</v>
      </c>
      <c r="S51" s="270">
        <f t="shared" si="6"/>
        <v>9.5142750201381628E-3</v>
      </c>
    </row>
    <row r="52" spans="1:21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Data'!N52</f>
        <v>30690466.510151513</v>
      </c>
      <c r="E52" s="269">
        <f>'Monthly Data'!BB52</f>
        <v>611.45833333333337</v>
      </c>
      <c r="F52" s="269">
        <f>'Monthly Data'!BI52</f>
        <v>0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-8058676.5655863797</v>
      </c>
      <c r="L52" s="18">
        <f>E52*'GS 50-999 Predicted Monthly'!$V$11</f>
        <v>11041017.112018589</v>
      </c>
      <c r="M52" s="18">
        <f>F52*'GS 50-999 Predicted Monthly'!$V$12</f>
        <v>0</v>
      </c>
      <c r="N52" s="18">
        <f>G52*'GS 50-999 Predicted Monthly'!$V$13</f>
        <v>0</v>
      </c>
      <c r="O52" s="18">
        <f>H52*'GS 50-999 Predicted Monthly'!$V$14</f>
        <v>5589349.4431163669</v>
      </c>
      <c r="P52" s="18">
        <f>I52*'GS 50-999 Predicted Monthly'!$V$15</f>
        <v>22963619.096402079</v>
      </c>
      <c r="Q52" s="18">
        <f t="shared" si="4"/>
        <v>31535309.085950654</v>
      </c>
      <c r="R52" s="18">
        <f t="shared" si="5"/>
        <v>844842.57579914108</v>
      </c>
      <c r="S52" s="270">
        <f t="shared" si="6"/>
        <v>2.7527850562965271E-2</v>
      </c>
    </row>
    <row r="53" spans="1:21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Data'!N53</f>
        <v>25578026.449102744</v>
      </c>
      <c r="E53" s="269">
        <f>'Monthly Data'!BB53</f>
        <v>366.65416666666664</v>
      </c>
      <c r="F53" s="269">
        <f>'Monthly Data'!BI53</f>
        <v>0.84583333333333144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-8058676.5655863797</v>
      </c>
      <c r="L53" s="18">
        <f>E53*'GS 50-999 Predicted Monthly'!$V$11</f>
        <v>6620622.7107754666</v>
      </c>
      <c r="M53" s="18">
        <f>F53*'GS 50-999 Predicted Monthly'!$V$12</f>
        <v>24048.388494172039</v>
      </c>
      <c r="N53" s="18">
        <f>G53*'GS 50-999 Predicted Monthly'!$V$13</f>
        <v>0</v>
      </c>
      <c r="O53" s="18">
        <f>H53*'GS 50-999 Predicted Monthly'!$V$14</f>
        <v>5630575.5057934504</v>
      </c>
      <c r="P53" s="18">
        <f>I53*'GS 50-999 Predicted Monthly'!$V$15</f>
        <v>22222857.190066528</v>
      </c>
      <c r="Q53" s="18">
        <f t="shared" si="4"/>
        <v>26439427.229543239</v>
      </c>
      <c r="R53" s="18">
        <f t="shared" si="5"/>
        <v>861400.78044049442</v>
      </c>
      <c r="S53" s="270">
        <f t="shared" si="6"/>
        <v>3.3677374685438702E-2</v>
      </c>
    </row>
    <row r="54" spans="1:21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Data'!N54</f>
        <v>24776294.111912861</v>
      </c>
      <c r="E54" s="269">
        <f>'Monthly Data'!BB54</f>
        <v>205.53464912280697</v>
      </c>
      <c r="F54" s="269">
        <f>'Monthly Data'!BI54</f>
        <v>27.579166666666666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-8058676.5655863797</v>
      </c>
      <c r="L54" s="18">
        <f>E54*'GS 50-999 Predicted Monthly'!$V$11</f>
        <v>3711310.2469412982</v>
      </c>
      <c r="M54" s="18">
        <f>F54*'GS 50-999 Predicted Monthly'!$V$12</f>
        <v>784119.62287155213</v>
      </c>
      <c r="N54" s="18">
        <f>G54*'GS 50-999 Predicted Monthly'!$V$13</f>
        <v>0</v>
      </c>
      <c r="O54" s="18">
        <f>H54*'GS 50-999 Predicted Monthly'!$V$14</f>
        <v>5630575.5057934504</v>
      </c>
      <c r="P54" s="18">
        <f>I54*'GS 50-999 Predicted Monthly'!$V$15</f>
        <v>22963619.096402079</v>
      </c>
      <c r="Q54" s="18">
        <f t="shared" si="4"/>
        <v>25030947.906422</v>
      </c>
      <c r="R54" s="18">
        <f t="shared" si="5"/>
        <v>254653.79450913891</v>
      </c>
      <c r="S54" s="270">
        <f t="shared" si="6"/>
        <v>1.0278122844315811E-2</v>
      </c>
    </row>
    <row r="55" spans="1:21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Data'!N55</f>
        <v>24832534.618167989</v>
      </c>
      <c r="E55" s="269">
        <f>'Monthly Data'!BB55</f>
        <v>46.120833333333351</v>
      </c>
      <c r="F55" s="269">
        <f>'Monthly Data'!BI55</f>
        <v>173.67083333333326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-8058676.5655863797</v>
      </c>
      <c r="L55" s="18">
        <f>E55*'GS 50-999 Predicted Monthly'!$V$11</f>
        <v>832797.3997474194</v>
      </c>
      <c r="M55" s="18">
        <f>F55*'GS 50-999 Predicted Monthly'!$V$12</f>
        <v>4937738.3291900819</v>
      </c>
      <c r="N55" s="18">
        <f>G55*'GS 50-999 Predicted Monthly'!$V$13</f>
        <v>0</v>
      </c>
      <c r="O55" s="18">
        <f>H55*'GS 50-999 Predicted Monthly'!$V$14</f>
        <v>5630575.5057934504</v>
      </c>
      <c r="P55" s="18">
        <f>I55*'GS 50-999 Predicted Monthly'!$V$15</f>
        <v>22222857.190066528</v>
      </c>
      <c r="Q55" s="18">
        <f t="shared" si="4"/>
        <v>25565291.859211098</v>
      </c>
      <c r="R55" s="18">
        <f t="shared" si="5"/>
        <v>732757.24104310945</v>
      </c>
      <c r="S55" s="270">
        <f t="shared" si="6"/>
        <v>2.9507952060077239E-2</v>
      </c>
    </row>
    <row r="56" spans="1:21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Data'!N56</f>
        <v>29793419.238445286</v>
      </c>
      <c r="E56" s="269">
        <f>'Monthly Data'!BB56</f>
        <v>0</v>
      </c>
      <c r="F56" s="269">
        <f>'Monthly Data'!BI56</f>
        <v>321.60000000000002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-8058676.5655863797</v>
      </c>
      <c r="L56" s="18">
        <f>E56*'GS 50-999 Predicted Monthly'!$V$11</f>
        <v>0</v>
      </c>
      <c r="M56" s="18">
        <f>F56*'GS 50-999 Predicted Monthly'!$V$12</f>
        <v>9143600.0863752663</v>
      </c>
      <c r="N56" s="18">
        <f>G56*'GS 50-999 Predicted Monthly'!$V$13</f>
        <v>0</v>
      </c>
      <c r="O56" s="18">
        <f>H56*'GS 50-999 Predicted Monthly'!$V$14</f>
        <v>5656521.5394830415</v>
      </c>
      <c r="P56" s="18">
        <f>I56*'GS 50-999 Predicted Monthly'!$V$15</f>
        <v>22963619.096402079</v>
      </c>
      <c r="Q56" s="18">
        <f t="shared" si="4"/>
        <v>29705064.156674005</v>
      </c>
      <c r="R56" s="18">
        <f t="shared" si="5"/>
        <v>-88355.081771280617</v>
      </c>
      <c r="S56" s="270">
        <f t="shared" si="6"/>
        <v>2.9655905240063094E-3</v>
      </c>
    </row>
    <row r="57" spans="1:21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Data'!N57</f>
        <v>26285773.15454014</v>
      </c>
      <c r="E57" s="269">
        <f>'Monthly Data'!BB57</f>
        <v>4.645833333333325</v>
      </c>
      <c r="F57" s="269">
        <f>'Monthly Data'!BI57</f>
        <v>252.07083333333335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-8058676.5655863797</v>
      </c>
      <c r="L57" s="18">
        <f>E57*'GS 50-999 Predicted Monthly'!$V$11</f>
        <v>83889.158977176863</v>
      </c>
      <c r="M57" s="18">
        <f>F57*'GS 50-999 Predicted Monthly'!$V$12</f>
        <v>7166775.1661671391</v>
      </c>
      <c r="N57" s="18">
        <f>G57*'GS 50-999 Predicted Monthly'!$V$13</f>
        <v>0</v>
      </c>
      <c r="O57" s="18">
        <f>H57*'GS 50-999 Predicted Monthly'!$V$14</f>
        <v>5656521.5394830415</v>
      </c>
      <c r="P57" s="18">
        <f>I57*'GS 50-999 Predicted Monthly'!$V$15</f>
        <v>22963619.096402079</v>
      </c>
      <c r="Q57" s="18">
        <f t="shared" si="4"/>
        <v>27812128.395443056</v>
      </c>
      <c r="R57" s="18">
        <f t="shared" si="5"/>
        <v>1526355.2409029156</v>
      </c>
      <c r="S57" s="270">
        <f t="shared" si="6"/>
        <v>5.8067732378618661E-2</v>
      </c>
    </row>
    <row r="58" spans="1:21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Data'!N58</f>
        <v>24447792.044599112</v>
      </c>
      <c r="E58" s="269">
        <f>'Monthly Data'!BB58</f>
        <v>62.054166666666653</v>
      </c>
      <c r="F58" s="269">
        <f>'Monthly Data'!BI58</f>
        <v>131.93750000000003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-8058676.5655863797</v>
      </c>
      <c r="L58" s="18">
        <f>E58*'GS 50-999 Predicted Monthly'!$V$11</f>
        <v>1120503.3584278896</v>
      </c>
      <c r="M58" s="18">
        <f>F58*'GS 50-999 Predicted Monthly'!$V$12</f>
        <v>3751193.2101869928</v>
      </c>
      <c r="N58" s="18">
        <f>G58*'GS 50-999 Predicted Monthly'!$V$13</f>
        <v>0</v>
      </c>
      <c r="O58" s="18">
        <f>H58*'GS 50-999 Predicted Monthly'!$V$14</f>
        <v>5656521.5394830415</v>
      </c>
      <c r="P58" s="18">
        <f>I58*'GS 50-999 Predicted Monthly'!$V$15</f>
        <v>22222857.190066528</v>
      </c>
      <c r="Q58" s="18">
        <f t="shared" si="4"/>
        <v>24692398.732578073</v>
      </c>
      <c r="R58" s="18">
        <f t="shared" si="5"/>
        <v>244606.68797896057</v>
      </c>
      <c r="S58" s="270">
        <f t="shared" si="6"/>
        <v>1.0005267041405398E-2</v>
      </c>
    </row>
    <row r="59" spans="1:21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Data'!N59</f>
        <v>24249973.509908725</v>
      </c>
      <c r="E59" s="269">
        <f>'Monthly Data'!BB59</f>
        <v>243.77916666666664</v>
      </c>
      <c r="F59" s="269">
        <f>'Monthly Data'!BI59</f>
        <v>16.670833333333334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-8058676.5655863797</v>
      </c>
      <c r="L59" s="18">
        <f>E59*'GS 50-999 Predicted Monthly'!$V$11</f>
        <v>4401886.1204284262</v>
      </c>
      <c r="M59" s="18">
        <f>F59*'GS 50-999 Predicted Monthly'!$V$12</f>
        <v>473978.33677429828</v>
      </c>
      <c r="N59" s="18">
        <f>G59*'GS 50-999 Predicted Monthly'!$V$13</f>
        <v>0</v>
      </c>
      <c r="O59" s="18">
        <f>H59*'GS 50-999 Predicted Monthly'!$V$14</f>
        <v>5663850.9275309481</v>
      </c>
      <c r="P59" s="18">
        <f>I59*'GS 50-999 Predicted Monthly'!$V$15</f>
        <v>22963619.096402079</v>
      </c>
      <c r="Q59" s="18">
        <f t="shared" si="4"/>
        <v>25444657.915549371</v>
      </c>
      <c r="R59" s="18">
        <f t="shared" si="5"/>
        <v>1194684.4056406468</v>
      </c>
      <c r="S59" s="270">
        <f t="shared" si="6"/>
        <v>4.926539013135374E-2</v>
      </c>
    </row>
    <row r="60" spans="1:21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Data'!N60</f>
        <v>30825542.226426981</v>
      </c>
      <c r="E60" s="269">
        <f>'Monthly Data'!BB60</f>
        <v>529.72500000000002</v>
      </c>
      <c r="F60" s="269">
        <f>'Monthly Data'!BI60</f>
        <v>0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-8058676.5655863797</v>
      </c>
      <c r="L60" s="18">
        <f>E60*'GS 50-999 Predicted Monthly'!$V$11</f>
        <v>9565169.8093313202</v>
      </c>
      <c r="M60" s="18">
        <f>F60*'GS 50-999 Predicted Monthly'!$V$12</f>
        <v>0</v>
      </c>
      <c r="N60" s="18">
        <f>G60*'GS 50-999 Predicted Monthly'!$V$13</f>
        <v>0</v>
      </c>
      <c r="O60" s="18">
        <f>H60*'GS 50-999 Predicted Monthly'!$V$14</f>
        <v>5663850.9275309481</v>
      </c>
      <c r="P60" s="18">
        <f>I60*'GS 50-999 Predicted Monthly'!$V$15</f>
        <v>22222857.190066528</v>
      </c>
      <c r="Q60" s="18">
        <f t="shared" si="4"/>
        <v>29393201.361342415</v>
      </c>
      <c r="R60" s="18">
        <f t="shared" si="5"/>
        <v>-1432340.8650845662</v>
      </c>
      <c r="S60" s="270">
        <f t="shared" si="6"/>
        <v>4.6466039577289543E-2</v>
      </c>
    </row>
    <row r="61" spans="1:21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Data'!N61</f>
        <v>30515644.19160156</v>
      </c>
      <c r="E61" s="269">
        <f>'Monthly Data'!BB61</f>
        <v>614.42916666666667</v>
      </c>
      <c r="F61" s="269">
        <f>'Monthly Data'!BI61</f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-8058676.5655863797</v>
      </c>
      <c r="L61" s="18">
        <f>E61*'GS 50-999 Predicted Monthly'!$V$11</f>
        <v>11094661.031615654</v>
      </c>
      <c r="M61" s="18">
        <f>F61*'GS 50-999 Predicted Monthly'!$V$12</f>
        <v>0</v>
      </c>
      <c r="N61" s="18">
        <f>G61*'GS 50-999 Predicted Monthly'!$V$13</f>
        <v>0</v>
      </c>
      <c r="O61" s="18">
        <f>H61*'GS 50-999 Predicted Monthly'!$V$14</f>
        <v>5663850.9275309481</v>
      </c>
      <c r="P61" s="18">
        <f>I61*'GS 50-999 Predicted Monthly'!$V$15</f>
        <v>22963619.096402079</v>
      </c>
      <c r="Q61" s="18">
        <f t="shared" si="4"/>
        <v>31663454.489962302</v>
      </c>
      <c r="R61" s="18">
        <f t="shared" si="5"/>
        <v>1147810.2983607426</v>
      </c>
      <c r="S61" s="270">
        <f t="shared" si="6"/>
        <v>3.7613831487674776E-2</v>
      </c>
    </row>
    <row r="62" spans="1:21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Data'!N62</f>
        <v>31665184.615771491</v>
      </c>
      <c r="E62" s="269">
        <f>'Monthly Data'!BB62</f>
        <v>628.82083333333333</v>
      </c>
      <c r="F62" s="269">
        <f>'Monthly Data'!BI62</f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-8058676.5655863797</v>
      </c>
      <c r="L62" s="18">
        <f>E62*'GS 50-999 Predicted Monthly'!$V$11</f>
        <v>11354529.332160199</v>
      </c>
      <c r="M62" s="18">
        <f>F62*'GS 50-999 Predicted Monthly'!$V$12</f>
        <v>0</v>
      </c>
      <c r="N62" s="18">
        <f>G62*'GS 50-999 Predicted Monthly'!$V$13</f>
        <v>0</v>
      </c>
      <c r="O62" s="18">
        <f>H62*'GS 50-999 Predicted Monthly'!$V$14</f>
        <v>5585175.1821138449</v>
      </c>
      <c r="P62" s="18">
        <f>I62*'GS 50-999 Predicted Monthly'!$V$15</f>
        <v>22963619.096402079</v>
      </c>
      <c r="Q62" s="18">
        <f t="shared" si="4"/>
        <v>31844647.045089744</v>
      </c>
      <c r="R62" s="18">
        <f t="shared" si="5"/>
        <v>179462.42931825295</v>
      </c>
      <c r="S62" s="270">
        <f t="shared" si="6"/>
        <v>5.6674998581523516E-3</v>
      </c>
    </row>
    <row r="63" spans="1:21" x14ac:dyDescent="0.25">
      <c r="A63" s="3">
        <f>'Monthly Data'!A63</f>
        <v>43862</v>
      </c>
      <c r="B63" s="1">
        <f t="shared" ref="B63:B115" si="7">YEAR(A63)</f>
        <v>2020</v>
      </c>
      <c r="C63" s="1">
        <f t="shared" ref="C63:C115" si="8">MONTH(A63)</f>
        <v>2</v>
      </c>
      <c r="D63" s="24">
        <f>'Monthly Data'!N63</f>
        <v>28996456.425020933</v>
      </c>
      <c r="E63" s="269">
        <f>'Monthly Data'!BB63</f>
        <v>620.40000000000009</v>
      </c>
      <c r="F63" s="269">
        <f>'Monthly Data'!BI63</f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-8058676.5655863797</v>
      </c>
      <c r="L63" s="18">
        <f>E63*'GS 50-999 Predicted Monthly'!$V$11</f>
        <v>11202475.52920695</v>
      </c>
      <c r="M63" s="18">
        <f>F63*'GS 50-999 Predicted Monthly'!$V$12</f>
        <v>0</v>
      </c>
      <c r="N63" s="18">
        <f>G63*'GS 50-999 Predicted Monthly'!$V$13</f>
        <v>0</v>
      </c>
      <c r="O63" s="18">
        <f>H63*'GS 50-999 Predicted Monthly'!$V$14</f>
        <v>5585175.1821138449</v>
      </c>
      <c r="P63" s="18">
        <f>I63*'GS 50-999 Predicted Monthly'!$V$15</f>
        <v>21482095.283730976</v>
      </c>
      <c r="Q63" s="18">
        <f t="shared" si="4"/>
        <v>30211069.429465391</v>
      </c>
      <c r="R63" s="18">
        <f t="shared" si="5"/>
        <v>1214613.0044444576</v>
      </c>
      <c r="S63" s="270">
        <f t="shared" si="6"/>
        <v>4.1888325478156449E-2</v>
      </c>
    </row>
    <row r="64" spans="1:21" x14ac:dyDescent="0.2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4">
        <f>'Monthly Data'!N64</f>
        <v>27523984.230147589</v>
      </c>
      <c r="E64" s="269">
        <f>'Monthly Data'!BB64</f>
        <v>481.57083333333344</v>
      </c>
      <c r="F64" s="269">
        <f>'Monthly Data'!BI64</f>
        <v>0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-8058676.5655863797</v>
      </c>
      <c r="L64" s="18">
        <f>E64*'GS 50-999 Predicted Monthly'!$V$11</f>
        <v>8695656.7956100348</v>
      </c>
      <c r="M64" s="18">
        <f>F64*'GS 50-999 Predicted Monthly'!$V$12</f>
        <v>0</v>
      </c>
      <c r="N64" s="18">
        <f>G64*'GS 50-999 Predicted Monthly'!$V$13</f>
        <v>-1423825.2775062299</v>
      </c>
      <c r="O64" s="18">
        <f>H64*'GS 50-999 Predicted Monthly'!$V$14</f>
        <v>5585175.1821138449</v>
      </c>
      <c r="P64" s="18">
        <f>I64*'GS 50-999 Predicted Monthly'!$V$15</f>
        <v>22963619.096402079</v>
      </c>
      <c r="Q64" s="18">
        <f t="shared" si="4"/>
        <v>27761949.231033348</v>
      </c>
      <c r="R64" s="18">
        <f t="shared" si="5"/>
        <v>237965.00088575855</v>
      </c>
      <c r="S64" s="270">
        <f t="shared" si="6"/>
        <v>8.6457323509548656E-3</v>
      </c>
      <c r="U64" s="18"/>
    </row>
    <row r="65" spans="1:26" x14ac:dyDescent="0.2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4">
        <f>'Monthly Data'!N65</f>
        <v>22124574.074711651</v>
      </c>
      <c r="E65" s="269">
        <f>'Monthly Data'!BB65</f>
        <v>379.67500000000013</v>
      </c>
      <c r="F65" s="269">
        <f>'Monthly Data'!BI65</f>
        <v>0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-8058676.5655863797</v>
      </c>
      <c r="L65" s="18">
        <f>E65*'GS 50-999 Predicted Monthly'!$V$11</f>
        <v>6855738.0666532069</v>
      </c>
      <c r="M65" s="18">
        <f>F65*'GS 50-999 Predicted Monthly'!$V$12</f>
        <v>0</v>
      </c>
      <c r="N65" s="18">
        <f>G65*'GS 50-999 Predicted Monthly'!$V$13</f>
        <v>-2847650.5550124599</v>
      </c>
      <c r="O65" s="18">
        <f>H65*'GS 50-999 Predicted Monthly'!$V$14</f>
        <v>4931903.3352191206</v>
      </c>
      <c r="P65" s="18">
        <f>I65*'GS 50-999 Predicted Monthly'!$V$15</f>
        <v>22222857.190066528</v>
      </c>
      <c r="Q65" s="18">
        <f t="shared" si="4"/>
        <v>23104171.471340016</v>
      </c>
      <c r="R65" s="18">
        <f t="shared" si="5"/>
        <v>979597.39662836492</v>
      </c>
      <c r="S65" s="270">
        <f t="shared" si="6"/>
        <v>4.4276440907761609E-2</v>
      </c>
      <c r="U65" s="18"/>
    </row>
    <row r="66" spans="1:26" x14ac:dyDescent="0.2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4">
        <f>'Monthly Data'!N66</f>
        <v>21859678.942449689</v>
      </c>
      <c r="E66" s="269">
        <f>'Monthly Data'!BB66</f>
        <v>212.73690476190475</v>
      </c>
      <c r="F66" s="269">
        <f>'Monthly Data'!BI66</f>
        <v>77.750595238095229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-8058676.5655863797</v>
      </c>
      <c r="L66" s="18">
        <f>E66*'GS 50-999 Predicted Monthly'!$V$11</f>
        <v>3841360.3638853435</v>
      </c>
      <c r="M66" s="18">
        <f>F66*'GS 50-999 Predicted Monthly'!$V$12</f>
        <v>2210573.2255434571</v>
      </c>
      <c r="N66" s="18">
        <f>G66*'GS 50-999 Predicted Monthly'!$V$13</f>
        <v>-2847650.5550124599</v>
      </c>
      <c r="O66" s="18">
        <f>H66*'GS 50-999 Predicted Monthly'!$V$14</f>
        <v>4931903.3352191206</v>
      </c>
      <c r="P66" s="18">
        <f>I66*'GS 50-999 Predicted Monthly'!$V$15</f>
        <v>22963619.096402079</v>
      </c>
      <c r="Q66" s="18">
        <f t="shared" si="4"/>
        <v>23041128.900451161</v>
      </c>
      <c r="R66" s="18">
        <f t="shared" ref="R66:R97" si="9">Q66-D66</f>
        <v>1181449.9580014721</v>
      </c>
      <c r="S66" s="270">
        <f t="shared" ref="S66:S97" si="10">ABS(R66/D66)</f>
        <v>5.4046994977002792E-2</v>
      </c>
      <c r="U66" s="18"/>
    </row>
    <row r="67" spans="1:26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Data'!N67</f>
        <v>24219008.095878799</v>
      </c>
      <c r="E67" s="269">
        <f>'Monthly Data'!BB67</f>
        <v>29.733333333333348</v>
      </c>
      <c r="F67" s="269">
        <f>'Monthly Data'!BI67</f>
        <v>222.53623188405788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-8058676.5655863797</v>
      </c>
      <c r="L67" s="18">
        <f>E67*'GS 50-999 Predicted Monthly'!$V$11</f>
        <v>536890.61745393311</v>
      </c>
      <c r="M67" s="18">
        <f>F67*'GS 50-999 Predicted Monthly'!$V$12</f>
        <v>6327059.4187708264</v>
      </c>
      <c r="N67" s="18">
        <f>G67*'GS 50-999 Predicted Monthly'!$V$13</f>
        <v>-1423825.2775062299</v>
      </c>
      <c r="O67" s="18">
        <f>H67*'GS 50-999 Predicted Monthly'!$V$14</f>
        <v>4931903.3352191206</v>
      </c>
      <c r="P67" s="18">
        <f>I67*'GS 50-999 Predicted Monthly'!$V$15</f>
        <v>22222857.190066528</v>
      </c>
      <c r="Q67" s="18">
        <f t="shared" ref="Q67:Q121" si="11">SUM(K67:P67)</f>
        <v>24536208.718417797</v>
      </c>
      <c r="R67" s="18">
        <f t="shared" si="9"/>
        <v>317200.62253899872</v>
      </c>
      <c r="S67" s="270">
        <f t="shared" si="10"/>
        <v>1.3097176452613468E-2</v>
      </c>
      <c r="U67" s="18"/>
    </row>
    <row r="68" spans="1:26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Data'!N68</f>
        <v>28888464.206618078</v>
      </c>
      <c r="E68" s="269">
        <f>'Monthly Data'!BB68</f>
        <v>0</v>
      </c>
      <c r="F68" s="269">
        <f>'Monthly Data'!BI68</f>
        <v>370.88750000000005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-8058676.5655863797</v>
      </c>
      <c r="L68" s="18">
        <f>E68*'GS 50-999 Predicted Monthly'!$V$11</f>
        <v>0</v>
      </c>
      <c r="M68" s="18">
        <f>F68*'GS 50-999 Predicted Monthly'!$V$12</f>
        <v>10544922.192274585</v>
      </c>
      <c r="N68" s="18">
        <f>G68*'GS 50-999 Predicted Monthly'!$V$13</f>
        <v>-1423825.2775062299</v>
      </c>
      <c r="O68" s="18">
        <f>H68*'GS 50-999 Predicted Monthly'!$V$14</f>
        <v>5425317.7386042112</v>
      </c>
      <c r="P68" s="18">
        <f>I68*'GS 50-999 Predicted Monthly'!$V$15</f>
        <v>22963619.096402079</v>
      </c>
      <c r="Q68" s="18">
        <f t="shared" si="11"/>
        <v>29451357.184188265</v>
      </c>
      <c r="R68" s="18">
        <f t="shared" si="9"/>
        <v>562892.9775701873</v>
      </c>
      <c r="S68" s="270">
        <f t="shared" si="10"/>
        <v>1.9485043356553159E-2</v>
      </c>
      <c r="U68" s="18"/>
    </row>
    <row r="69" spans="1:26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Data'!N69</f>
        <v>26919034.292032495</v>
      </c>
      <c r="E69" s="269">
        <f>'Monthly Data'!BB69</f>
        <v>3.4874999999999972</v>
      </c>
      <c r="F69" s="269">
        <f>'Monthly Data'!BI69</f>
        <v>278.93106060606061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-8058676.5655863797</v>
      </c>
      <c r="L69" s="18">
        <f>E69*'GS 50-999 Predicted Monthly'!$V$11</f>
        <v>62973.296918293367</v>
      </c>
      <c r="M69" s="18">
        <f>F69*'GS 50-999 Predicted Monthly'!$V$12</f>
        <v>7930454.1972957719</v>
      </c>
      <c r="N69" s="18">
        <f>G69*'GS 50-999 Predicted Monthly'!$V$13</f>
        <v>-1423825.2775062299</v>
      </c>
      <c r="O69" s="18">
        <f>H69*'GS 50-999 Predicted Monthly'!$V$14</f>
        <v>5425317.7386042112</v>
      </c>
      <c r="P69" s="18">
        <f>I69*'GS 50-999 Predicted Monthly'!$V$15</f>
        <v>22963619.096402079</v>
      </c>
      <c r="Q69" s="18">
        <f t="shared" si="11"/>
        <v>26899862.486127745</v>
      </c>
      <c r="R69" s="18">
        <f t="shared" si="9"/>
        <v>-19171.805904749781</v>
      </c>
      <c r="S69" s="270">
        <f t="shared" si="10"/>
        <v>7.1220258857593039E-4</v>
      </c>
      <c r="U69" s="18"/>
    </row>
    <row r="70" spans="1:26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Data'!N70</f>
        <v>22899887.372774672</v>
      </c>
      <c r="E70" s="269">
        <f>'Monthly Data'!BB70</f>
        <v>85.042028985507244</v>
      </c>
      <c r="F70" s="269">
        <f>'Monthly Data'!BI70</f>
        <v>120.81213768115938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-8058676.5655863797</v>
      </c>
      <c r="L70" s="18">
        <f>E70*'GS 50-999 Predicted Monthly'!$V$11</f>
        <v>1535591.9546490216</v>
      </c>
      <c r="M70" s="18">
        <f>F70*'GS 50-999 Predicted Monthly'!$V$12</f>
        <v>3434881.4444546937</v>
      </c>
      <c r="N70" s="18">
        <f>G70*'GS 50-999 Predicted Monthly'!$V$13</f>
        <v>-1423825.2775062299</v>
      </c>
      <c r="O70" s="18">
        <f>H70*'GS 50-999 Predicted Monthly'!$V$14</f>
        <v>5425317.7386042112</v>
      </c>
      <c r="P70" s="18">
        <f>I70*'GS 50-999 Predicted Monthly'!$V$15</f>
        <v>22222857.190066528</v>
      </c>
      <c r="Q70" s="18">
        <f t="shared" si="11"/>
        <v>23136146.484681845</v>
      </c>
      <c r="R70" s="18">
        <f t="shared" si="9"/>
        <v>236259.11190717295</v>
      </c>
      <c r="S70" s="270">
        <f t="shared" si="10"/>
        <v>1.0317042527818622E-2</v>
      </c>
      <c r="U70" s="18"/>
    </row>
    <row r="71" spans="1:26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Data'!N71</f>
        <v>22361323.862121925</v>
      </c>
      <c r="E71" s="269">
        <f>'Monthly Data'!BB71</f>
        <v>287.83333333333331</v>
      </c>
      <c r="F71" s="269">
        <f>'Monthly Data'!BI71</f>
        <v>10.262500000000003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-8058676.5655863797</v>
      </c>
      <c r="L71" s="18">
        <f>E71*'GS 50-999 Predicted Monthly'!$V$11</f>
        <v>5197366.0108909309</v>
      </c>
      <c r="M71" s="18">
        <f>F71*'GS 50-999 Predicted Monthly'!$V$12</f>
        <v>291779.21606475807</v>
      </c>
      <c r="N71" s="18">
        <f>G71*'GS 50-999 Predicted Monthly'!$V$13</f>
        <v>-1423825.2775062299</v>
      </c>
      <c r="O71" s="18">
        <f>H71*'GS 50-999 Predicted Monthly'!$V$14</f>
        <v>5555529.5525524542</v>
      </c>
      <c r="P71" s="18">
        <f>I71*'GS 50-999 Predicted Monthly'!$V$15</f>
        <v>22963619.096402079</v>
      </c>
      <c r="Q71" s="18">
        <f t="shared" si="11"/>
        <v>24525792.032817613</v>
      </c>
      <c r="R71" s="18">
        <f t="shared" si="9"/>
        <v>2164468.1706956886</v>
      </c>
      <c r="S71" s="270">
        <f t="shared" si="10"/>
        <v>9.6795171164355945E-2</v>
      </c>
      <c r="U71" s="18"/>
    </row>
    <row r="72" spans="1:26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Data'!N72</f>
        <v>23101196.568596739</v>
      </c>
      <c r="E72" s="269">
        <f>'Monthly Data'!BB72</f>
        <v>366.30072463768118</v>
      </c>
      <c r="F72" s="269">
        <f>'Monthly Data'!BI72</f>
        <v>1.8291666666666622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-8058676.5655863797</v>
      </c>
      <c r="L72" s="18">
        <f>E72*'GS 50-999 Predicted Monthly'!$V$11</f>
        <v>6614240.6577762673</v>
      </c>
      <c r="M72" s="18">
        <f>F72*'GS 50-999 Predicted Monthly'!$V$12</f>
        <v>52006.120930746423</v>
      </c>
      <c r="N72" s="18">
        <f>G72*'GS 50-999 Predicted Monthly'!$V$13</f>
        <v>-1423825.2775062299</v>
      </c>
      <c r="O72" s="18">
        <f>H72*'GS 50-999 Predicted Monthly'!$V$14</f>
        <v>5555529.5525524542</v>
      </c>
      <c r="P72" s="18">
        <f>I72*'GS 50-999 Predicted Monthly'!$V$15</f>
        <v>22222857.190066528</v>
      </c>
      <c r="Q72" s="18">
        <f t="shared" si="11"/>
        <v>24962131.678233385</v>
      </c>
      <c r="R72" s="18">
        <f t="shared" si="9"/>
        <v>1860935.1096366458</v>
      </c>
      <c r="S72" s="270">
        <f t="shared" si="10"/>
        <v>8.0555788706043061E-2</v>
      </c>
      <c r="U72" s="18"/>
    </row>
    <row r="73" spans="1:26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Data'!N73</f>
        <v>31742077.27981564</v>
      </c>
      <c r="E73" s="269">
        <f>'Monthly Data'!BB73</f>
        <v>582.90416666666681</v>
      </c>
      <c r="F73" s="269">
        <f>'Monthly Data'!BI73</f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-8058676.5655863797</v>
      </c>
      <c r="L73" s="18">
        <f>E73*'GS 50-999 Predicted Monthly'!$V$11</f>
        <v>10525418.541192947</v>
      </c>
      <c r="M73" s="18">
        <f>F73*'GS 50-999 Predicted Monthly'!$V$12</f>
        <v>0</v>
      </c>
      <c r="N73" s="18">
        <f>G73*'GS 50-999 Predicted Monthly'!$V$13</f>
        <v>-1423825.2775062299</v>
      </c>
      <c r="O73" s="18">
        <f>H73*'GS 50-999 Predicted Monthly'!$V$14</f>
        <v>5555529.5525524542</v>
      </c>
      <c r="P73" s="18">
        <f>I73*'GS 50-999 Predicted Monthly'!$V$15</f>
        <v>22963619.096402079</v>
      </c>
      <c r="Q73" s="18">
        <f t="shared" si="11"/>
        <v>29562065.347054869</v>
      </c>
      <c r="R73" s="18">
        <f t="shared" si="9"/>
        <v>-2180011.9327607714</v>
      </c>
      <c r="S73" s="270">
        <f t="shared" si="10"/>
        <v>6.8678930920094874E-2</v>
      </c>
      <c r="U73" s="18"/>
    </row>
    <row r="74" spans="1:26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 ca="1">'Monthly Data'!N74</f>
        <v>29798844.243443634</v>
      </c>
      <c r="E74" s="269">
        <f>'Monthly Data'!BB74</f>
        <v>653.50416666666661</v>
      </c>
      <c r="F74" s="269">
        <f>'Monthly Data'!BI74</f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-8058676.5655863797</v>
      </c>
      <c r="L74" s="18">
        <f>E74*'GS 50-999 Predicted Monthly'!$V$11</f>
        <v>11800232.80999051</v>
      </c>
      <c r="M74" s="18">
        <f>F74*'GS 50-999 Predicted Monthly'!$V$12</f>
        <v>0</v>
      </c>
      <c r="N74" s="18">
        <f>G74*'GS 50-999 Predicted Monthly'!$V$13</f>
        <v>-1423825.2775062299</v>
      </c>
      <c r="O74" s="18">
        <f>H74*'GS 50-999 Predicted Monthly'!$V$14</f>
        <v>5644215.1479321271</v>
      </c>
      <c r="P74" s="18">
        <f>I74*'GS 50-999 Predicted Monthly'!$V$15</f>
        <v>22963619.096402079</v>
      </c>
      <c r="Q74" s="18">
        <f t="shared" si="11"/>
        <v>30925565.211232107</v>
      </c>
      <c r="R74" s="18">
        <f t="shared" ca="1" si="9"/>
        <v>1126720.9677884728</v>
      </c>
      <c r="S74" s="270">
        <f t="shared" ca="1" si="10"/>
        <v>3.7810894898595765E-2</v>
      </c>
      <c r="U74" s="18"/>
    </row>
    <row r="75" spans="1:26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 ca="1">'Monthly Data'!N75</f>
        <v>25706093.351383086</v>
      </c>
      <c r="E75" s="269">
        <f>'Monthly Data'!BB75</f>
        <v>653.45416666666654</v>
      </c>
      <c r="F75" s="269">
        <f>'Monthly Data'!BI75</f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-8058676.5655863797</v>
      </c>
      <c r="L75" s="18">
        <f>E75*'GS 50-999 Predicted Monthly'!$V$11</f>
        <v>11799329.967023937</v>
      </c>
      <c r="M75" s="18">
        <f>F75*'GS 50-999 Predicted Monthly'!$V$12</f>
        <v>0</v>
      </c>
      <c r="N75" s="18">
        <f>G75*'GS 50-999 Predicted Monthly'!$V$13</f>
        <v>-1423825.2775062299</v>
      </c>
      <c r="O75" s="18">
        <f>H75*'GS 50-999 Predicted Monthly'!$V$14</f>
        <v>5644215.1479321271</v>
      </c>
      <c r="P75" s="18">
        <f>I75*'GS 50-999 Predicted Monthly'!$V$15</f>
        <v>20741333.377395425</v>
      </c>
      <c r="Q75" s="18">
        <f t="shared" si="11"/>
        <v>28702376.649258882</v>
      </c>
      <c r="R75" s="18">
        <f t="shared" ca="1" si="9"/>
        <v>2996283.2978757955</v>
      </c>
      <c r="S75" s="270">
        <f t="shared" ca="1" si="10"/>
        <v>0.11655926308672586</v>
      </c>
      <c r="U75" s="18"/>
    </row>
    <row r="76" spans="1:26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 ca="1">'Monthly Data'!N76</f>
        <v>29786403.420041516</v>
      </c>
      <c r="E76" s="269">
        <f>'Monthly Data'!BB76</f>
        <v>492.59637681159415</v>
      </c>
      <c r="F76" s="269">
        <f>'Monthly Data'!BI76</f>
        <v>0.29583333333332895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-8058676.5655863797</v>
      </c>
      <c r="L76" s="18">
        <f>E76*'GS 50-999 Predicted Monthly'!$V$11</f>
        <v>8894743.4832493365</v>
      </c>
      <c r="M76" s="18">
        <f>F76*'GS 50-999 Predicted Monthly'!$V$12</f>
        <v>8411.0127245625299</v>
      </c>
      <c r="N76" s="18">
        <f>G76*'GS 50-999 Predicted Monthly'!$V$13</f>
        <v>-1423825.2775062299</v>
      </c>
      <c r="O76" s="18">
        <f>H76*'GS 50-999 Predicted Monthly'!$V$14</f>
        <v>5644215.1479321271</v>
      </c>
      <c r="P76" s="18">
        <f>I76*'GS 50-999 Predicted Monthly'!$V$15</f>
        <v>22963619.096402079</v>
      </c>
      <c r="Q76" s="18">
        <f t="shared" si="11"/>
        <v>28028486.897215493</v>
      </c>
      <c r="R76" s="18">
        <f t="shared" ca="1" si="9"/>
        <v>-1757916.5228260234</v>
      </c>
      <c r="S76" s="270">
        <f t="shared" ca="1" si="10"/>
        <v>5.9017414692074735E-2</v>
      </c>
    </row>
    <row r="77" spans="1:26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 ca="1">'Monthly Data'!N77</f>
        <v>23602654.788700633</v>
      </c>
      <c r="E77" s="269">
        <f>'Monthly Data'!BB77</f>
        <v>319.79583333333329</v>
      </c>
      <c r="F77" s="269">
        <f>'Monthly Data'!BI77</f>
        <v>11.054166666666664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-8058676.5655863797</v>
      </c>
      <c r="L77" s="18">
        <f>E77*'GS 50-999 Predicted Monthly'!$V$11</f>
        <v>5774508.3772711316</v>
      </c>
      <c r="M77" s="18">
        <f>F77*'GS 50-999 Predicted Monthly'!$V$12</f>
        <v>314287.55997555936</v>
      </c>
      <c r="N77" s="18">
        <f>G77*'GS 50-999 Predicted Monthly'!$V$13</f>
        <v>-1423825.2775062299</v>
      </c>
      <c r="O77" s="18">
        <f>H77*'GS 50-999 Predicted Monthly'!$V$14</f>
        <v>5601872.2261239337</v>
      </c>
      <c r="P77" s="18">
        <f>I77*'GS 50-999 Predicted Monthly'!$V$15</f>
        <v>22222857.190066528</v>
      </c>
      <c r="Q77" s="18">
        <f t="shared" si="11"/>
        <v>24431023.510344543</v>
      </c>
      <c r="R77" s="18">
        <f t="shared" ca="1" si="9"/>
        <v>828368.72164390981</v>
      </c>
      <c r="S77" s="270">
        <f t="shared" ca="1" si="10"/>
        <v>3.5096421527991722E-2</v>
      </c>
      <c r="U77" s="18"/>
    </row>
    <row r="78" spans="1:26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 ca="1">'Monthly Data'!N78</f>
        <v>23210470.667977381</v>
      </c>
      <c r="E78" s="269">
        <f>'Monthly Data'!BB78</f>
        <v>173.64305555555555</v>
      </c>
      <c r="F78" s="269">
        <f>'Monthly Data'!BI78</f>
        <v>83.256944444444414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-8058676.5655863797</v>
      </c>
      <c r="L78" s="18">
        <f>E78*'GS 50-999 Predicted Monthly'!$V$11</f>
        <v>3135448.2280429299</v>
      </c>
      <c r="M78" s="18">
        <f>F78*'GS 50-999 Predicted Monthly'!$V$12</f>
        <v>2367127.5012859534</v>
      </c>
      <c r="N78" s="18">
        <f>G78*'GS 50-999 Predicted Monthly'!$V$13</f>
        <v>-1423825.2775062299</v>
      </c>
      <c r="O78" s="18">
        <f>H78*'GS 50-999 Predicted Monthly'!$V$14</f>
        <v>5601872.2261239337</v>
      </c>
      <c r="P78" s="18">
        <f>I78*'GS 50-999 Predicted Monthly'!$V$15</f>
        <v>22963619.096402079</v>
      </c>
      <c r="Q78" s="18">
        <f t="shared" si="11"/>
        <v>24585565.208762284</v>
      </c>
      <c r="R78" s="18">
        <f t="shared" ca="1" si="9"/>
        <v>1375094.5407849029</v>
      </c>
      <c r="S78" s="270">
        <f t="shared" ca="1" si="10"/>
        <v>5.9244578037879664E-2</v>
      </c>
      <c r="U78" s="18"/>
      <c r="X78" s="18"/>
      <c r="Y78" s="18"/>
      <c r="Z78" s="231"/>
    </row>
    <row r="79" spans="1:26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 ca="1">'Monthly Data'!N79</f>
        <v>25279139.756389167</v>
      </c>
      <c r="E79" s="269">
        <f>'Monthly Data'!BB79</f>
        <v>14.254166666666677</v>
      </c>
      <c r="F79" s="269">
        <f>'Monthly Data'!BI79</f>
        <v>241.67500000000001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-8058676.5655863797</v>
      </c>
      <c r="L79" s="18">
        <f>E79*'GS 50-999 Predicted Monthly'!$V$11</f>
        <v>257385.48238647782</v>
      </c>
      <c r="M79" s="18">
        <f>F79*'GS 50-999 Predicted Monthly'!$V$12</f>
        <v>6871205.0711279307</v>
      </c>
      <c r="N79" s="18">
        <f>G79*'GS 50-999 Predicted Monthly'!$V$13</f>
        <v>-1423825.2775062299</v>
      </c>
      <c r="O79" s="18">
        <f>H79*'GS 50-999 Predicted Monthly'!$V$14</f>
        <v>5601872.2261239337</v>
      </c>
      <c r="P79" s="18">
        <f>I79*'GS 50-999 Predicted Monthly'!$V$15</f>
        <v>22222857.190066528</v>
      </c>
      <c r="Q79" s="18">
        <f t="shared" si="11"/>
        <v>25470818.126612261</v>
      </c>
      <c r="R79" s="18">
        <f t="shared" ca="1" si="9"/>
        <v>191678.37022309378</v>
      </c>
      <c r="S79" s="270">
        <f t="shared" ca="1" si="10"/>
        <v>7.5824720330781069E-3</v>
      </c>
      <c r="U79" s="18"/>
      <c r="X79" s="18"/>
      <c r="Y79" s="18"/>
      <c r="Z79" s="231"/>
    </row>
    <row r="80" spans="1:26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 ca="1">'Monthly Data'!N80</f>
        <v>26273466.379551142</v>
      </c>
      <c r="E80" s="269">
        <f>'Monthly Data'!BB80</f>
        <v>5.3541666666666572</v>
      </c>
      <c r="F80" s="269">
        <f>'Monthly Data'!BI80</f>
        <v>254.87499999999994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-8058676.5655863797</v>
      </c>
      <c r="L80" s="18">
        <f>E80*'GS 50-999 Predicted Monthly'!$V$11</f>
        <v>96679.434336925799</v>
      </c>
      <c r="M80" s="18">
        <f>F80*'GS 50-999 Predicted Monthly'!$V$12</f>
        <v>7246502.0895985551</v>
      </c>
      <c r="N80" s="18">
        <f>G80*'GS 50-999 Predicted Monthly'!$V$13</f>
        <v>-1423825.2775062299</v>
      </c>
      <c r="O80" s="18">
        <f>H80*'GS 50-999 Predicted Monthly'!$V$14</f>
        <v>5720859.6058045244</v>
      </c>
      <c r="P80" s="18">
        <f>I80*'GS 50-999 Predicted Monthly'!$V$15</f>
        <v>22963619.096402079</v>
      </c>
      <c r="Q80" s="18">
        <f t="shared" si="11"/>
        <v>26545158.383049473</v>
      </c>
      <c r="R80" s="18">
        <f t="shared" ca="1" si="9"/>
        <v>271692.00349833071</v>
      </c>
      <c r="S80" s="270">
        <f t="shared" ca="1" si="10"/>
        <v>1.0340927214301302E-2</v>
      </c>
      <c r="U80" s="18"/>
      <c r="X80" s="18"/>
      <c r="Y80" s="18"/>
      <c r="Z80" s="231"/>
    </row>
    <row r="81" spans="1:26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 ca="1">'Monthly Data'!N81</f>
        <v>29378242.468364421</v>
      </c>
      <c r="E81" s="269">
        <f>'Monthly Data'!BB81</f>
        <v>0.69166666666666643</v>
      </c>
      <c r="F81" s="269">
        <f>'Monthly Data'!BI81</f>
        <v>328.06249999999989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-8058676.5655863797</v>
      </c>
      <c r="L81" s="18">
        <f>E81*'GS 50-999 Predicted Monthly'!$V$11</f>
        <v>12489.327704225452</v>
      </c>
      <c r="M81" s="18">
        <f>F81*'GS 50-999 Predicted Monthly'!$V$12</f>
        <v>9327339.2516681738</v>
      </c>
      <c r="N81" s="18">
        <f>G81*'GS 50-999 Predicted Monthly'!$V$13</f>
        <v>-1423825.2775062299</v>
      </c>
      <c r="O81" s="18">
        <f>H81*'GS 50-999 Predicted Monthly'!$V$14</f>
        <v>5720859.6058045244</v>
      </c>
      <c r="P81" s="18">
        <f>I81*'GS 50-999 Predicted Monthly'!$V$15</f>
        <v>22963619.096402079</v>
      </c>
      <c r="Q81" s="18">
        <f t="shared" si="11"/>
        <v>28541805.438486394</v>
      </c>
      <c r="R81" s="18">
        <f t="shared" ca="1" si="9"/>
        <v>-836437.02987802774</v>
      </c>
      <c r="S81" s="270">
        <f t="shared" ca="1" si="10"/>
        <v>2.8471309363680759E-2</v>
      </c>
      <c r="U81" s="18"/>
      <c r="X81" s="18"/>
      <c r="Y81" s="18"/>
      <c r="Z81" s="231"/>
    </row>
    <row r="82" spans="1:26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 ca="1">'Monthly Data'!N82</f>
        <v>22144788.873658702</v>
      </c>
      <c r="E82" s="269">
        <f>'Monthly Data'!BB82</f>
        <v>45.679166666666674</v>
      </c>
      <c r="F82" s="269">
        <f>'Monthly Data'!BI82</f>
        <v>149.55833333333328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-8058676.5655863797</v>
      </c>
      <c r="L82" s="18">
        <f>E82*'GS 50-999 Predicted Monthly'!$V$11</f>
        <v>824822.28687604633</v>
      </c>
      <c r="M82" s="18">
        <f>F82*'GS 50-999 Predicted Monthly'!$V$12</f>
        <v>4252181.5596542507</v>
      </c>
      <c r="N82" s="18">
        <f>G82*'GS 50-999 Predicted Monthly'!$V$13</f>
        <v>-1423825.2775062299</v>
      </c>
      <c r="O82" s="18">
        <f>H82*'GS 50-999 Predicted Monthly'!$V$14</f>
        <v>5720859.6058045244</v>
      </c>
      <c r="P82" s="18">
        <f>I82*'GS 50-999 Predicted Monthly'!$V$15</f>
        <v>22222857.190066528</v>
      </c>
      <c r="Q82" s="18">
        <f t="shared" si="11"/>
        <v>23538218.79930874</v>
      </c>
      <c r="R82" s="18">
        <f t="shared" ca="1" si="9"/>
        <v>1393429.9256500378</v>
      </c>
      <c r="S82" s="270">
        <f t="shared" ca="1" si="10"/>
        <v>6.2923603995499247E-2</v>
      </c>
      <c r="U82" s="18"/>
      <c r="X82" s="18"/>
      <c r="Y82" s="18"/>
      <c r="Z82" s="231"/>
    </row>
    <row r="83" spans="1:26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 ca="1">'Monthly Data'!N83</f>
        <v>26549272.757541277</v>
      </c>
      <c r="E83" s="269">
        <f>'Monthly Data'!BB83</f>
        <v>153.47499999999997</v>
      </c>
      <c r="F83" s="269">
        <f>'Monthly Data'!BI83</f>
        <v>77.979166666666686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-8058676.5655863797</v>
      </c>
      <c r="L83" s="18">
        <f>E83*'GS 50-999 Predicted Monthly'!$V$11</f>
        <v>2771276.4858881948</v>
      </c>
      <c r="M83" s="18">
        <f>F83*'GS 50-999 Predicted Monthly'!$V$12</f>
        <v>2217071.8752139453</v>
      </c>
      <c r="N83" s="18">
        <f>G83*'GS 50-999 Predicted Monthly'!$V$13</f>
        <v>-1423825.2775062299</v>
      </c>
      <c r="O83" s="18">
        <f>H83*'GS 50-999 Predicted Monthly'!$V$14</f>
        <v>5852320.9059056966</v>
      </c>
      <c r="P83" s="18">
        <f>I83*'GS 50-999 Predicted Monthly'!$V$15</f>
        <v>22963619.096402079</v>
      </c>
      <c r="Q83" s="18">
        <f t="shared" si="11"/>
        <v>24321786.520317305</v>
      </c>
      <c r="R83" s="18">
        <f t="shared" ca="1" si="9"/>
        <v>-2227486.2372239716</v>
      </c>
      <c r="S83" s="270">
        <f t="shared" ca="1" si="10"/>
        <v>8.3900084856044041E-2</v>
      </c>
      <c r="U83" s="18"/>
      <c r="X83" s="18"/>
      <c r="Y83" s="18"/>
      <c r="Z83" s="231"/>
    </row>
    <row r="84" spans="1:26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 ca="1">'Monthly Data'!N84</f>
        <v>26220542.418517999</v>
      </c>
      <c r="E84" s="269">
        <f>'Monthly Data'!BB84</f>
        <v>446.3126035196687</v>
      </c>
      <c r="F84" s="269">
        <f>'Monthly Data'!BI84</f>
        <v>0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-8058676.5655863797</v>
      </c>
      <c r="L84" s="18">
        <f>E84*'GS 50-999 Predicted Monthly'!$V$11</f>
        <v>8059003.8995901542</v>
      </c>
      <c r="M84" s="18">
        <f>F84*'GS 50-999 Predicted Monthly'!$V$12</f>
        <v>0</v>
      </c>
      <c r="N84" s="18">
        <f>G84*'GS 50-999 Predicted Monthly'!$V$13</f>
        <v>-1423825.2775062299</v>
      </c>
      <c r="O84" s="18">
        <f>H84*'GS 50-999 Predicted Monthly'!$V$14</f>
        <v>5852320.9059056966</v>
      </c>
      <c r="P84" s="18">
        <f>I84*'GS 50-999 Predicted Monthly'!$V$15</f>
        <v>22222857.190066528</v>
      </c>
      <c r="Q84" s="18">
        <f t="shared" si="11"/>
        <v>26651680.152469769</v>
      </c>
      <c r="R84" s="18">
        <f t="shared" ca="1" si="9"/>
        <v>431137.73395176977</v>
      </c>
      <c r="S84" s="270">
        <f t="shared" ca="1" si="10"/>
        <v>1.6442746571378439E-2</v>
      </c>
      <c r="U84" s="18"/>
      <c r="X84" s="18"/>
      <c r="Y84" s="18"/>
      <c r="Z84" s="231"/>
    </row>
    <row r="85" spans="1:26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 ca="1">'Monthly Data'!N85</f>
        <v>31156263.187342376</v>
      </c>
      <c r="E85" s="269">
        <f>'Monthly Data'!BB85</f>
        <v>533.04583333333346</v>
      </c>
      <c r="F85" s="269">
        <f>'Monthly Data'!BI85</f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-8058676.5655863797</v>
      </c>
      <c r="L85" s="18">
        <f>E85*'GS 50-999 Predicted Monthly'!$V$11</f>
        <v>9625133.6296943817</v>
      </c>
      <c r="M85" s="18">
        <f>F85*'GS 50-999 Predicted Monthly'!$V$12</f>
        <v>0</v>
      </c>
      <c r="N85" s="18">
        <f>G85*'GS 50-999 Predicted Monthly'!$V$13</f>
        <v>-1423825.2775062299</v>
      </c>
      <c r="O85" s="18">
        <f>H85*'GS 50-999 Predicted Monthly'!$V$14</f>
        <v>5852320.9059056966</v>
      </c>
      <c r="P85" s="18">
        <f>I85*'GS 50-999 Predicted Monthly'!$V$15</f>
        <v>22963619.096402079</v>
      </c>
      <c r="Q85" s="18">
        <f t="shared" si="11"/>
        <v>28958571.788909547</v>
      </c>
      <c r="R85" s="18">
        <f t="shared" ca="1" si="9"/>
        <v>-2197691.3984328285</v>
      </c>
      <c r="S85" s="270">
        <f t="shared" ca="1" si="10"/>
        <v>7.0537708107616337E-2</v>
      </c>
      <c r="U85" s="18"/>
      <c r="X85" s="18"/>
      <c r="Y85" s="18"/>
      <c r="Z85" s="231"/>
    </row>
    <row r="86" spans="1:26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 ca="1">'Monthly Data'!N86</f>
        <v>35176801.96527338</v>
      </c>
      <c r="E86" s="269">
        <f>'Monthly Data'!BB86</f>
        <v>825.49166666666656</v>
      </c>
      <c r="F86" s="269">
        <f>'Monthly Data'!BI86</f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-8058676.5655863797</v>
      </c>
      <c r="L86" s="18">
        <f>E86*'GS 50-999 Predicted Monthly'!$V$11</f>
        <v>14905786.904251438</v>
      </c>
      <c r="M86" s="18">
        <f>F86*'GS 50-999 Predicted Monthly'!$V$12</f>
        <v>0</v>
      </c>
      <c r="N86" s="18">
        <f>G86*'GS 50-999 Predicted Monthly'!$V$13</f>
        <v>-711912.63875311497</v>
      </c>
      <c r="O86" s="18">
        <f>H86*'GS 50-999 Predicted Monthly'!$V$14</f>
        <v>5899934.0067388136</v>
      </c>
      <c r="P86" s="18">
        <f>I86*'GS 50-999 Predicted Monthly'!$V$15</f>
        <v>22963619.096402079</v>
      </c>
      <c r="Q86" s="18">
        <f t="shared" si="11"/>
        <v>34998750.803052835</v>
      </c>
      <c r="R86" s="18">
        <f t="shared" ca="1" si="9"/>
        <v>-178051.16222054511</v>
      </c>
      <c r="S86" s="270">
        <f t="shared" ca="1" si="10"/>
        <v>5.0616074308380173E-3</v>
      </c>
      <c r="U86" s="18"/>
      <c r="X86" s="18"/>
      <c r="Y86" s="18"/>
      <c r="Z86" s="231"/>
    </row>
    <row r="87" spans="1:26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 ca="1">'Monthly Data'!N87</f>
        <v>33408771.139714204</v>
      </c>
      <c r="E87" s="269">
        <f>'Monthly Data'!BB87</f>
        <v>636.84999999999991</v>
      </c>
      <c r="F87" s="269">
        <f>'Monthly Data'!BI87</f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-8058676.5655863797</v>
      </c>
      <c r="L87" s="18">
        <f>E87*'GS 50-999 Predicted Monthly'!$V$11</f>
        <v>11499510.865208646</v>
      </c>
      <c r="M87" s="18">
        <f>F87*'GS 50-999 Predicted Monthly'!$V$12</f>
        <v>0</v>
      </c>
      <c r="N87" s="18">
        <f>G87*'GS 50-999 Predicted Monthly'!$V$13</f>
        <v>-711912.63875311497</v>
      </c>
      <c r="O87" s="18">
        <f>H87*'GS 50-999 Predicted Monthly'!$V$14</f>
        <v>5899934.0067388136</v>
      </c>
      <c r="P87" s="18">
        <f>I87*'GS 50-999 Predicted Monthly'!$V$15</f>
        <v>20741333.377395425</v>
      </c>
      <c r="Q87" s="18">
        <f t="shared" si="11"/>
        <v>29370189.045003392</v>
      </c>
      <c r="R87" s="18">
        <f t="shared" ca="1" si="9"/>
        <v>-4038582.094710812</v>
      </c>
      <c r="S87" s="270">
        <f t="shared" ca="1" si="10"/>
        <v>0.12088388638485432</v>
      </c>
      <c r="U87" s="18"/>
      <c r="X87" s="18"/>
      <c r="Y87" s="18"/>
      <c r="Z87" s="231"/>
    </row>
    <row r="88" spans="1:26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 ca="1">'Monthly Data'!N88</f>
        <v>30298393.215115838</v>
      </c>
      <c r="E88" s="269">
        <f>'Monthly Data'!BB88</f>
        <v>544.7208333333333</v>
      </c>
      <c r="F88" s="269">
        <f>'Monthly Data'!BI88</f>
        <v>0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-8058676.5655863797</v>
      </c>
      <c r="L88" s="18">
        <f>E88*'GS 50-999 Predicted Monthly'!$V$11</f>
        <v>9835947.4623885937</v>
      </c>
      <c r="M88" s="18">
        <f>F88*'GS 50-999 Predicted Monthly'!$V$12</f>
        <v>0</v>
      </c>
      <c r="N88" s="18">
        <f>G88*'GS 50-999 Predicted Monthly'!$V$13</f>
        <v>-711912.63875311497</v>
      </c>
      <c r="O88" s="18">
        <f>H88*'GS 50-999 Predicted Monthly'!$V$14</f>
        <v>5899934.0067388136</v>
      </c>
      <c r="P88" s="18">
        <f>I88*'GS 50-999 Predicted Monthly'!$V$15</f>
        <v>22963619.096402079</v>
      </c>
      <c r="Q88" s="18">
        <f t="shared" si="11"/>
        <v>29928911.361189991</v>
      </c>
      <c r="R88" s="18">
        <f t="shared" ca="1" si="9"/>
        <v>-369481.85392584652</v>
      </c>
      <c r="S88" s="270">
        <f t="shared" ca="1" si="10"/>
        <v>1.2194767270414604E-2</v>
      </c>
      <c r="U88" s="18"/>
    </row>
    <row r="89" spans="1:26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 ca="1">'Monthly Data'!N89</f>
        <v>27521169.928174544</v>
      </c>
      <c r="E89" s="269">
        <f>'Monthly Data'!BB89</f>
        <v>354.33333333333331</v>
      </c>
      <c r="F89" s="269">
        <f>'Monthly Data'!BI89</f>
        <v>2.2541666666666629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-8058676.5655863797</v>
      </c>
      <c r="L89" s="18">
        <f>E89*'GS 50-999 Predicted Monthly'!$V$11</f>
        <v>6398147.1564297155</v>
      </c>
      <c r="M89" s="18">
        <f>F89*'GS 50-999 Predicted Monthly'!$V$12</f>
        <v>64089.547661808283</v>
      </c>
      <c r="N89" s="18">
        <f>G89*'GS 50-999 Predicted Monthly'!$V$13</f>
        <v>-711912.63875311497</v>
      </c>
      <c r="O89" s="18">
        <f>H89*'GS 50-999 Predicted Monthly'!$V$14</f>
        <v>5944629.3130919067</v>
      </c>
      <c r="P89" s="18">
        <f>I89*'GS 50-999 Predicted Monthly'!$V$15</f>
        <v>22222857.190066528</v>
      </c>
      <c r="Q89" s="18">
        <f t="shared" si="11"/>
        <v>25859134.002910465</v>
      </c>
      <c r="R89" s="18">
        <f t="shared" ca="1" si="9"/>
        <v>-1662035.9252640791</v>
      </c>
      <c r="S89" s="270">
        <f t="shared" ca="1" si="10"/>
        <v>6.0391179938996169E-2</v>
      </c>
      <c r="Z89" s="277"/>
    </row>
    <row r="90" spans="1:26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 ca="1">'Monthly Data'!N90</f>
        <v>25761255.044132829</v>
      </c>
      <c r="E90" s="269">
        <f>'Monthly Data'!BB90</f>
        <v>109.50833333333333</v>
      </c>
      <c r="F90" s="269">
        <f>'Monthly Data'!BI90</f>
        <v>109.43749999999997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-8058676.5655863797</v>
      </c>
      <c r="L90" s="18">
        <f>E90*'GS 50-999 Predicted Monthly'!$V$11</f>
        <v>1977376.5706171892</v>
      </c>
      <c r="M90" s="18">
        <f>F90*'GS 50-999 Predicted Monthly'!$V$12</f>
        <v>3111482.3832484232</v>
      </c>
      <c r="N90" s="18">
        <f>G90*'GS 50-999 Predicted Monthly'!$V$13</f>
        <v>-711912.63875311497</v>
      </c>
      <c r="O90" s="18">
        <f>H90*'GS 50-999 Predicted Monthly'!$V$14</f>
        <v>5944629.3130919067</v>
      </c>
      <c r="P90" s="18">
        <f>I90*'GS 50-999 Predicted Monthly'!$V$15</f>
        <v>22963619.096402079</v>
      </c>
      <c r="Q90" s="18">
        <f t="shared" si="11"/>
        <v>25226518.159020104</v>
      </c>
      <c r="R90" s="18">
        <f t="shared" ca="1" si="9"/>
        <v>-534736.8851127252</v>
      </c>
      <c r="S90" s="270">
        <f t="shared" ca="1" si="10"/>
        <v>2.0757408138564758E-2</v>
      </c>
    </row>
    <row r="91" spans="1:26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 ca="1">'Monthly Data'!N91</f>
        <v>27040158.176146176</v>
      </c>
      <c r="E91" s="269">
        <f>'Monthly Data'!BB91</f>
        <v>36.166510989010987</v>
      </c>
      <c r="F91" s="269">
        <f>'Monthly Data'!BI91</f>
        <v>180.92250416250408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-8058676.5655863797</v>
      </c>
      <c r="L91" s="18">
        <f>E91*'GS 50-999 Predicted Monthly'!$V$11</f>
        <v>653053.60143647611</v>
      </c>
      <c r="M91" s="18">
        <f>F91*'GS 50-999 Predicted Monthly'!$V$12</f>
        <v>5143914.8777596448</v>
      </c>
      <c r="N91" s="18">
        <f>G91*'GS 50-999 Predicted Monthly'!$V$13</f>
        <v>-711912.63875311497</v>
      </c>
      <c r="O91" s="18">
        <f>H91*'GS 50-999 Predicted Monthly'!$V$14</f>
        <v>5944629.3130919067</v>
      </c>
      <c r="P91" s="18">
        <f>I91*'GS 50-999 Predicted Monthly'!$V$15</f>
        <v>22222857.190066528</v>
      </c>
      <c r="Q91" s="18">
        <f t="shared" si="11"/>
        <v>25193865.778015062</v>
      </c>
      <c r="R91" s="18">
        <f t="shared" ca="1" si="9"/>
        <v>-1846292.3981311135</v>
      </c>
      <c r="S91" s="270">
        <f t="shared" ca="1" si="10"/>
        <v>6.8279644893491934E-2</v>
      </c>
    </row>
    <row r="92" spans="1:26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 ca="1">'Monthly Data'!N92</f>
        <v>30484938.389494199</v>
      </c>
      <c r="E92" s="269">
        <f>'Monthly Data'!BB92</f>
        <v>0.62083333333333357</v>
      </c>
      <c r="F92" s="269">
        <f>'Monthly Data'!BI92</f>
        <v>283.8543382913806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-8058676.5655863797</v>
      </c>
      <c r="L92" s="18">
        <f>E92*'GS 50-999 Predicted Monthly'!$V$11</f>
        <v>11210.300168250564</v>
      </c>
      <c r="M92" s="18">
        <f>F92*'GS 50-999 Predicted Monthly'!$V$12</f>
        <v>8070430.8212657385</v>
      </c>
      <c r="N92" s="18">
        <f>G92*'GS 50-999 Predicted Monthly'!$V$13</f>
        <v>-711912.63875311497</v>
      </c>
      <c r="O92" s="18">
        <f>H92*'GS 50-999 Predicted Monthly'!$V$14</f>
        <v>5954108.6549671991</v>
      </c>
      <c r="P92" s="18">
        <f>I92*'GS 50-999 Predicted Monthly'!$V$15</f>
        <v>22963619.096402079</v>
      </c>
      <c r="Q92" s="18">
        <f t="shared" si="11"/>
        <v>28228779.668463774</v>
      </c>
      <c r="R92" s="18">
        <f t="shared" ca="1" si="9"/>
        <v>-2256158.7210304253</v>
      </c>
      <c r="S92" s="270">
        <f t="shared" ca="1" si="10"/>
        <v>7.4008964433661076E-2</v>
      </c>
    </row>
    <row r="93" spans="1:26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 ca="1">'Monthly Data'!N93</f>
        <v>28259452.094492789</v>
      </c>
      <c r="E93" s="269">
        <f>'Monthly Data'!BB93</f>
        <v>0.76250000000000284</v>
      </c>
      <c r="F93" s="269">
        <f>'Monthly Data'!BI93</f>
        <v>290.28333333333336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-8058676.5655863797</v>
      </c>
      <c r="L93" s="18">
        <f>E93*'GS 50-999 Predicted Monthly'!$V$11</f>
        <v>13768.355240200404</v>
      </c>
      <c r="M93" s="18">
        <f>F93*'GS 50-999 Predicted Monthly'!$V$12</f>
        <v>8253217.3872511405</v>
      </c>
      <c r="N93" s="18">
        <f>G93*'GS 50-999 Predicted Monthly'!$V$13</f>
        <v>-711912.63875311497</v>
      </c>
      <c r="O93" s="18">
        <f>H93*'GS 50-999 Predicted Monthly'!$V$14</f>
        <v>5954108.6549671991</v>
      </c>
      <c r="P93" s="18">
        <f>I93*'GS 50-999 Predicted Monthly'!$V$15</f>
        <v>22963619.096402079</v>
      </c>
      <c r="Q93" s="18">
        <f t="shared" si="11"/>
        <v>28414124.289521124</v>
      </c>
      <c r="R93" s="18">
        <f t="shared" ca="1" si="9"/>
        <v>154672.19502833486</v>
      </c>
      <c r="S93" s="270">
        <f t="shared" ca="1" si="10"/>
        <v>5.4732906537305944E-3</v>
      </c>
    </row>
    <row r="94" spans="1:26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 ca="1">'Monthly Data'!N94</f>
        <v>27495717.611174747</v>
      </c>
      <c r="E94" s="269">
        <f>'Monthly Data'!BB94</f>
        <v>71.412499999999994</v>
      </c>
      <c r="F94" s="269">
        <f>'Monthly Data'!BI94</f>
        <v>139.79166666666663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-8058676.5655863797</v>
      </c>
      <c r="L94" s="18">
        <f>E94*'GS 50-999 Predicted Monthly'!$V$11</f>
        <v>1289485.4670043378</v>
      </c>
      <c r="M94" s="18">
        <f>F94*'GS 50-999 Predicted Monthly'!$V$12</f>
        <v>3974499.6747757317</v>
      </c>
      <c r="N94" s="18">
        <f>G94*'GS 50-999 Predicted Monthly'!$V$13</f>
        <v>-711912.63875311497</v>
      </c>
      <c r="O94" s="18">
        <f>H94*'GS 50-999 Predicted Monthly'!$V$14</f>
        <v>5954108.6549671991</v>
      </c>
      <c r="P94" s="18">
        <f>I94*'GS 50-999 Predicted Monthly'!$V$15</f>
        <v>22222857.190066528</v>
      </c>
      <c r="Q94" s="18">
        <f t="shared" si="11"/>
        <v>24670361.782474302</v>
      </c>
      <c r="R94" s="18">
        <f t="shared" ca="1" si="9"/>
        <v>-2825355.8287004456</v>
      </c>
      <c r="S94" s="270">
        <f t="shared" ca="1" si="10"/>
        <v>0.10275621348221044</v>
      </c>
    </row>
    <row r="95" spans="1:26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 ca="1">'Monthly Data'!N95</f>
        <v>26748748.465016764</v>
      </c>
      <c r="E95" s="269">
        <f>'Monthly Data'!BB95</f>
        <v>268.85561594202898</v>
      </c>
      <c r="F95" s="269">
        <f>'Monthly Data'!BI95</f>
        <v>11.604166666666668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-8058676.5655863797</v>
      </c>
      <c r="L95" s="18">
        <f>E95*'GS 50-999 Predicted Monthly'!$V$11</f>
        <v>4854688.0375248892</v>
      </c>
      <c r="M95" s="18">
        <f>F95*'GS 50-999 Predicted Monthly'!$V$12</f>
        <v>329924.93574516888</v>
      </c>
      <c r="N95" s="18">
        <f>G95*'GS 50-999 Predicted Monthly'!$V$13</f>
        <v>-711912.63875311497</v>
      </c>
      <c r="O95" s="18">
        <f>H95*'GS 50-999 Predicted Monthly'!$V$14</f>
        <v>5947477.3038762361</v>
      </c>
      <c r="P95" s="18">
        <f>I95*'GS 50-999 Predicted Monthly'!$V$15</f>
        <v>22963619.096402079</v>
      </c>
      <c r="Q95" s="18">
        <f t="shared" si="11"/>
        <v>25325120.169208877</v>
      </c>
      <c r="R95" s="18">
        <f t="shared" ca="1" si="9"/>
        <v>-1423628.2958078869</v>
      </c>
      <c r="S95" s="270">
        <f t="shared" ca="1" si="10"/>
        <v>5.3222239450558706E-2</v>
      </c>
    </row>
    <row r="96" spans="1:26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 ca="1">'Monthly Data'!N96</f>
        <v>27275002.248175103</v>
      </c>
      <c r="E96" s="269">
        <f>'Monthly Data'!BB96</f>
        <v>411.83333333333348</v>
      </c>
      <c r="F96" s="269">
        <f>'Monthly Data'!BI96</f>
        <v>6.5791666666666675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-8058676.5655863797</v>
      </c>
      <c r="L96" s="18">
        <f>E96*'GS 50-999 Predicted Monthly'!$V$11</f>
        <v>7436416.5679858103</v>
      </c>
      <c r="M96" s="18">
        <f>F96*'GS 50-999 Predicted Monthly'!$V$12</f>
        <v>187056.18439555538</v>
      </c>
      <c r="N96" s="18">
        <f>G96*'GS 50-999 Predicted Monthly'!$V$13</f>
        <v>-711912.63875311497</v>
      </c>
      <c r="O96" s="18">
        <f>H96*'GS 50-999 Predicted Monthly'!$V$14</f>
        <v>5947477.3038762361</v>
      </c>
      <c r="P96" s="18">
        <f>I96*'GS 50-999 Predicted Monthly'!$V$15</f>
        <v>22222857.190066528</v>
      </c>
      <c r="Q96" s="18">
        <f t="shared" si="11"/>
        <v>27023218.041984633</v>
      </c>
      <c r="R96" s="18">
        <f t="shared" ca="1" si="9"/>
        <v>-251784.20619047061</v>
      </c>
      <c r="S96" s="270">
        <f t="shared" ca="1" si="10"/>
        <v>9.2313175228910128E-3</v>
      </c>
    </row>
    <row r="97" spans="1:19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 ca="1">'Monthly Data'!N97</f>
        <v>33271813.999341901</v>
      </c>
      <c r="E97" s="269">
        <f>'Monthly Data'!BB97</f>
        <v>585.12083333333328</v>
      </c>
      <c r="F97" s="269">
        <f>'Monthly Data'!BI97</f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-8058676.5655863797</v>
      </c>
      <c r="L97" s="18">
        <f>E97*'GS 50-999 Predicted Monthly'!$V$11</f>
        <v>10565444.579377569</v>
      </c>
      <c r="M97" s="18">
        <f>F97*'GS 50-999 Predicted Monthly'!$V$12</f>
        <v>0</v>
      </c>
      <c r="N97" s="18">
        <f>G97*'GS 50-999 Predicted Monthly'!$V$13</f>
        <v>-711912.63875311497</v>
      </c>
      <c r="O97" s="18">
        <f>H97*'GS 50-999 Predicted Monthly'!$V$14</f>
        <v>5947477.3038762361</v>
      </c>
      <c r="P97" s="18">
        <f>I97*'GS 50-999 Predicted Monthly'!$V$15</f>
        <v>22963619.096402079</v>
      </c>
      <c r="Q97" s="18">
        <f t="shared" si="11"/>
        <v>30705951.775316387</v>
      </c>
      <c r="R97" s="18">
        <f t="shared" ca="1" si="9"/>
        <v>-2565862.224025514</v>
      </c>
      <c r="S97" s="270">
        <f t="shared" ca="1" si="10"/>
        <v>7.7118194519729677E-2</v>
      </c>
    </row>
    <row r="98" spans="1:19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 ca="1">'Monthly Data'!N98</f>
        <v>33661587.019219451</v>
      </c>
      <c r="E98" s="269">
        <f>'Monthly Data'!BB98</f>
        <v>604.07083333333344</v>
      </c>
      <c r="F98" s="269">
        <f>'Monthly Data'!BI98</f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-8058676.5655863797</v>
      </c>
      <c r="L98" s="18">
        <f>E98*'GS 50-999 Predicted Monthly'!$V$11</f>
        <v>10907622.063707797</v>
      </c>
      <c r="M98" s="18">
        <f>F98*'GS 50-999 Predicted Monthly'!$V$12</f>
        <v>0</v>
      </c>
      <c r="N98" s="18">
        <f>G98*'GS 50-999 Predicted Monthly'!$V$13</f>
        <v>0</v>
      </c>
      <c r="O98" s="18">
        <f>H98*'GS 50-999 Predicted Monthly'!$V$14</f>
        <v>6007710.9128908915</v>
      </c>
      <c r="P98" s="18">
        <f>I98*'GS 50-999 Predicted Monthly'!$V$15</f>
        <v>22963619.096402079</v>
      </c>
      <c r="Q98" s="18">
        <f t="shared" si="11"/>
        <v>31820275.507414386</v>
      </c>
      <c r="R98" s="18">
        <f t="shared" ref="R98:R121" ca="1" si="12">Q98-D98</f>
        <v>-1841311.511805065</v>
      </c>
      <c r="S98" s="270">
        <f t="shared" ref="S98:S121" ca="1" si="13">ABS(R98/D98)</f>
        <v>5.4700674414243991E-2</v>
      </c>
    </row>
    <row r="99" spans="1:19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 ca="1">'Monthly Data'!N99</f>
        <v>29222997.72258636</v>
      </c>
      <c r="E99" s="269">
        <f>'Monthly Data'!BB99</f>
        <v>573.43333333333328</v>
      </c>
      <c r="F99" s="269">
        <f>'Monthly Data'!BI99</f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-8058676.5655863797</v>
      </c>
      <c r="L99" s="18">
        <f>E99*'GS 50-999 Predicted Monthly'!$V$11</f>
        <v>10354405.035941711</v>
      </c>
      <c r="M99" s="18">
        <f>F99*'GS 50-999 Predicted Monthly'!$V$12</f>
        <v>0</v>
      </c>
      <c r="N99" s="18">
        <f>G99*'GS 50-999 Predicted Monthly'!$V$13</f>
        <v>0</v>
      </c>
      <c r="O99" s="18">
        <f>H99*'GS 50-999 Predicted Monthly'!$V$14</f>
        <v>6007710.9128908915</v>
      </c>
      <c r="P99" s="18">
        <f>I99*'GS 50-999 Predicted Monthly'!$V$15</f>
        <v>20741333.377395425</v>
      </c>
      <c r="Q99" s="18">
        <f t="shared" si="11"/>
        <v>29044772.760641649</v>
      </c>
      <c r="R99" s="18">
        <f t="shared" ca="1" si="12"/>
        <v>-178224.96194471046</v>
      </c>
      <c r="S99" s="270">
        <f t="shared" ca="1" si="13"/>
        <v>6.0987912204147681E-3</v>
      </c>
    </row>
    <row r="100" spans="1:19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 ca="1">'Monthly Data'!N100</f>
        <v>28904938.26976084</v>
      </c>
      <c r="E100" s="269">
        <f>'Monthly Data'!BB100</f>
        <v>551.03333333333342</v>
      </c>
      <c r="F100" s="269">
        <f>'Monthly Data'!BI100</f>
        <v>0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-8058676.5655863797</v>
      </c>
      <c r="L100" s="18">
        <f>E100*'GS 50-999 Predicted Monthly'!$V$11</f>
        <v>9949931.3869181219</v>
      </c>
      <c r="M100" s="18">
        <f>F100*'GS 50-999 Predicted Monthly'!$V$12</f>
        <v>0</v>
      </c>
      <c r="N100" s="18">
        <f>G100*'GS 50-999 Predicted Monthly'!$V$13</f>
        <v>0</v>
      </c>
      <c r="O100" s="18">
        <f>H100*'GS 50-999 Predicted Monthly'!$V$14</f>
        <v>6007710.9128908915</v>
      </c>
      <c r="P100" s="18">
        <f>I100*'GS 50-999 Predicted Monthly'!$V$15</f>
        <v>22963619.096402079</v>
      </c>
      <c r="Q100" s="18">
        <f t="shared" si="11"/>
        <v>30862584.830624714</v>
      </c>
      <c r="R100" s="18">
        <f t="shared" ca="1" si="12"/>
        <v>1957646.5608638749</v>
      </c>
      <c r="S100" s="270">
        <f t="shared" ca="1" si="13"/>
        <v>6.7727062503775845E-2</v>
      </c>
    </row>
    <row r="101" spans="1:19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 ca="1">'Monthly Data'!N101</f>
        <v>25571616.771525819</v>
      </c>
      <c r="E101" s="269">
        <f>'Monthly Data'!BB101</f>
        <v>301.39999999999998</v>
      </c>
      <c r="F101" s="269">
        <f>'Monthly Data'!BI101</f>
        <v>22.716666666666676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-8058676.5655863797</v>
      </c>
      <c r="L101" s="18">
        <f>E101*'GS 50-999 Predicted Monthly'!$V$11</f>
        <v>5442337.4024870638</v>
      </c>
      <c r="M101" s="18">
        <f>F101*'GS 50-999 Predicted Monthly'!$V$12</f>
        <v>645871.00527205074</v>
      </c>
      <c r="N101" s="18">
        <f>G101*'GS 50-999 Predicted Monthly'!$V$13</f>
        <v>0</v>
      </c>
      <c r="O101" s="18">
        <f>H101*'GS 50-999 Predicted Monthly'!$V$14</f>
        <v>6041530.8034548042</v>
      </c>
      <c r="P101" s="18">
        <f>I101*'GS 50-999 Predicted Monthly'!$V$15</f>
        <v>22222857.190066528</v>
      </c>
      <c r="Q101" s="18">
        <f t="shared" si="11"/>
        <v>26293919.835694067</v>
      </c>
      <c r="R101" s="18">
        <f t="shared" ca="1" si="12"/>
        <v>722303.06416824833</v>
      </c>
      <c r="S101" s="270">
        <f t="shared" ca="1" si="13"/>
        <v>2.8246280656471359E-2</v>
      </c>
    </row>
    <row r="102" spans="1:19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 ca="1">'Monthly Data'!N102</f>
        <v>26149280.443362694</v>
      </c>
      <c r="E102" s="269">
        <f>'Monthly Data'!BB102</f>
        <v>163.56416666666669</v>
      </c>
      <c r="F102" s="269">
        <f>'Monthly Data'!BI102</f>
        <v>68.049999999999983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-8058676.5655863797</v>
      </c>
      <c r="L102" s="18">
        <f>E102*'GS 50-999 Predicted Monthly'!$V$11</f>
        <v>2953455.1491593495</v>
      </c>
      <c r="M102" s="18">
        <f>F102*'GS 50-999 Predicted Monthly'!$V$12</f>
        <v>1934769.8565853131</v>
      </c>
      <c r="N102" s="18">
        <f>G102*'GS 50-999 Predicted Monthly'!$V$13</f>
        <v>0</v>
      </c>
      <c r="O102" s="18">
        <f>H102*'GS 50-999 Predicted Monthly'!$V$14</f>
        <v>6041530.8034548042</v>
      </c>
      <c r="P102" s="18">
        <f>I102*'GS 50-999 Predicted Monthly'!$V$15</f>
        <v>22963619.096402079</v>
      </c>
      <c r="Q102" s="18">
        <f t="shared" si="11"/>
        <v>25834698.340015166</v>
      </c>
      <c r="R102" s="18">
        <f t="shared" ca="1" si="12"/>
        <v>-314582.10334752873</v>
      </c>
      <c r="S102" s="270">
        <f t="shared" ca="1" si="13"/>
        <v>1.2030239379966461E-2</v>
      </c>
    </row>
    <row r="103" spans="1:19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 ca="1">'Monthly Data'!N103</f>
        <v>26011151.457731459</v>
      </c>
      <c r="E103" s="269">
        <f>'Monthly Data'!BB103</f>
        <v>21.441666666666659</v>
      </c>
      <c r="F103" s="269">
        <f>'Monthly Data'!BI103</f>
        <v>205.54166666666669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-8058676.5655863797</v>
      </c>
      <c r="L103" s="18">
        <f>E103*'GS 50-999 Predicted Monthly'!$V$11</f>
        <v>387169.15883098904</v>
      </c>
      <c r="M103" s="18">
        <f>F103*'GS 50-999 Predicted Monthly'!$V$12</f>
        <v>5843876.8690517712</v>
      </c>
      <c r="N103" s="18">
        <f>G103*'GS 50-999 Predicted Monthly'!$V$13</f>
        <v>0</v>
      </c>
      <c r="O103" s="18">
        <f>H103*'GS 50-999 Predicted Monthly'!$V$14</f>
        <v>6041530.8034548042</v>
      </c>
      <c r="P103" s="18">
        <f>I103*'GS 50-999 Predicted Monthly'!$V$15</f>
        <v>22222857.190066528</v>
      </c>
      <c r="Q103" s="18">
        <f t="shared" si="11"/>
        <v>26436757.455817714</v>
      </c>
      <c r="R103" s="18">
        <f t="shared" ca="1" si="12"/>
        <v>425605.99808625504</v>
      </c>
      <c r="S103" s="270">
        <f t="shared" ca="1" si="13"/>
        <v>1.6362443576474178E-2</v>
      </c>
    </row>
    <row r="104" spans="1:19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 ca="1">'Monthly Data'!N104</f>
        <v>29221325.233950596</v>
      </c>
      <c r="E104" s="269">
        <f>'Monthly Data'!BB104</f>
        <v>0.12499999999999645</v>
      </c>
      <c r="F104" s="269">
        <f>'Monthly Data'!BI104</f>
        <v>285.78333333333342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-8058676.5655863797</v>
      </c>
      <c r="L104" s="18">
        <f>E104*'GS 50-999 Predicted Monthly'!$V$11</f>
        <v>2257.1074164262232</v>
      </c>
      <c r="M104" s="18">
        <f>F104*'GS 50-999 Predicted Monthly'!$V$12</f>
        <v>8125275.2218634291</v>
      </c>
      <c r="N104" s="18">
        <f>G104*'GS 50-999 Predicted Monthly'!$V$13</f>
        <v>0</v>
      </c>
      <c r="O104" s="18">
        <f>H104*'GS 50-999 Predicted Monthly'!$V$14</f>
        <v>6056873.6557684233</v>
      </c>
      <c r="P104" s="18">
        <f>I104*'GS 50-999 Predicted Monthly'!$V$15</f>
        <v>22963619.096402079</v>
      </c>
      <c r="Q104" s="18">
        <f t="shared" si="11"/>
        <v>29089348.515863977</v>
      </c>
      <c r="R104" s="18">
        <f t="shared" ca="1" si="12"/>
        <v>-131976.71808661893</v>
      </c>
      <c r="S104" s="270">
        <f t="shared" ca="1" si="13"/>
        <v>4.5164521810695524E-3</v>
      </c>
    </row>
    <row r="105" spans="1:19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 ca="1">'Monthly Data'!N105</f>
        <v>27248513.558368277</v>
      </c>
      <c r="E105" s="269">
        <f>'Monthly Data'!BB105</f>
        <v>9.274999999999995</v>
      </c>
      <c r="F105" s="269">
        <f>'Monthly Data'!BI105</f>
        <v>227.80489130434788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-8058676.5655863797</v>
      </c>
      <c r="L105" s="18">
        <f>E105*'GS 50-999 Predicted Monthly'!$V$11</f>
        <v>167477.37029883041</v>
      </c>
      <c r="M105" s="18">
        <f>F105*'GS 50-999 Predicted Monthly'!$V$12</f>
        <v>6476855.795420222</v>
      </c>
      <c r="N105" s="18">
        <f>G105*'GS 50-999 Predicted Monthly'!$V$13</f>
        <v>0</v>
      </c>
      <c r="O105" s="18">
        <f>H105*'GS 50-999 Predicted Monthly'!$V$14</f>
        <v>6056873.6557684233</v>
      </c>
      <c r="P105" s="18">
        <f>I105*'GS 50-999 Predicted Monthly'!$V$15</f>
        <v>22963619.096402079</v>
      </c>
      <c r="Q105" s="18">
        <f t="shared" si="11"/>
        <v>27606149.352303177</v>
      </c>
      <c r="R105" s="18">
        <f t="shared" ca="1" si="12"/>
        <v>357635.79393490031</v>
      </c>
      <c r="S105" s="270">
        <f t="shared" ca="1" si="13"/>
        <v>1.31249652634746E-2</v>
      </c>
    </row>
    <row r="106" spans="1:19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 ca="1">'Monthly Data'!N106</f>
        <v>25834097.328989398</v>
      </c>
      <c r="E106" s="269">
        <f>'Monthly Data'!BB106</f>
        <v>47.591666666666676</v>
      </c>
      <c r="F106" s="269">
        <f>'Monthly Data'!BI106</f>
        <v>162.99166666666662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-8058676.5655863797</v>
      </c>
      <c r="L106" s="18">
        <f>E106*'GS 50-999 Predicted Monthly'!$V$11</f>
        <v>859356.03034736856</v>
      </c>
      <c r="M106" s="18">
        <f>F106*'GS 50-999 Predicted Monthly'!$V$12</f>
        <v>4634112.6163301663</v>
      </c>
      <c r="N106" s="18">
        <f>G106*'GS 50-999 Predicted Monthly'!$V$13</f>
        <v>0</v>
      </c>
      <c r="O106" s="18">
        <f>H106*'GS 50-999 Predicted Monthly'!$V$14</f>
        <v>6056873.6557684233</v>
      </c>
      <c r="P106" s="18">
        <f>I106*'GS 50-999 Predicted Monthly'!$V$15</f>
        <v>22222857.190066528</v>
      </c>
      <c r="Q106" s="18">
        <f t="shared" si="11"/>
        <v>25714522.926926106</v>
      </c>
      <c r="R106" s="18">
        <f t="shared" ca="1" si="12"/>
        <v>-119574.40206329152</v>
      </c>
      <c r="S106" s="270">
        <f t="shared" ca="1" si="13"/>
        <v>4.6285496466374563E-3</v>
      </c>
    </row>
    <row r="107" spans="1:19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 ca="1">'Monthly Data'!N107</f>
        <v>25438509.770386744</v>
      </c>
      <c r="E107" s="269">
        <f>'Monthly Data'!BB107</f>
        <v>207.15416666666667</v>
      </c>
      <c r="F107" s="269">
        <f>'Monthly Data'!BI107</f>
        <v>54.625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-8058676.5655863797</v>
      </c>
      <c r="L107" s="18">
        <f>E107*'GS 50-999 Predicted Monthly'!$V$11</f>
        <v>3740553.6474155243</v>
      </c>
      <c r="M107" s="18">
        <f>F107*'GS 50-999 Predicted Monthly'!$V$12</f>
        <v>1553075.7298453012</v>
      </c>
      <c r="N107" s="18">
        <f>G107*'GS 50-999 Predicted Monthly'!$V$13</f>
        <v>0</v>
      </c>
      <c r="O107" s="18">
        <f>H107*'GS 50-999 Predicted Monthly'!$V$14</f>
        <v>6069961.8487111134</v>
      </c>
      <c r="P107" s="18">
        <f>I107*'GS 50-999 Predicted Monthly'!$V$15</f>
        <v>22963619.096402079</v>
      </c>
      <c r="Q107" s="18">
        <f t="shared" si="11"/>
        <v>26268533.756787639</v>
      </c>
      <c r="R107" s="18">
        <f t="shared" ca="1" si="12"/>
        <v>830023.98640089482</v>
      </c>
      <c r="S107" s="270">
        <f t="shared" ca="1" si="13"/>
        <v>3.2628640352475959E-2</v>
      </c>
    </row>
    <row r="108" spans="1:19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 ca="1">'Monthly Data'!N108</f>
        <v>27643217.62062512</v>
      </c>
      <c r="E108" s="269">
        <f>'Monthly Data'!BB108</f>
        <v>450.59311594202899</v>
      </c>
      <c r="F108" s="269">
        <f>'Monthly Data'!BI108</f>
        <v>0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-8058676.5655863797</v>
      </c>
      <c r="L108" s="18">
        <f>E108*'GS 50-999 Predicted Monthly'!$V$11</f>
        <v>8136296.5102670686</v>
      </c>
      <c r="M108" s="18">
        <f>F108*'GS 50-999 Predicted Monthly'!$V$12</f>
        <v>0</v>
      </c>
      <c r="N108" s="18">
        <f>G108*'GS 50-999 Predicted Monthly'!$V$13</f>
        <v>0</v>
      </c>
      <c r="O108" s="18">
        <f>H108*'GS 50-999 Predicted Monthly'!$V$14</f>
        <v>6069961.8487111134</v>
      </c>
      <c r="P108" s="18">
        <f>I108*'GS 50-999 Predicted Monthly'!$V$15</f>
        <v>22222857.190066528</v>
      </c>
      <c r="Q108" s="18">
        <f t="shared" si="11"/>
        <v>28370438.983458329</v>
      </c>
      <c r="R108" s="18">
        <f t="shared" ca="1" si="12"/>
        <v>727221.36283320934</v>
      </c>
      <c r="S108" s="270">
        <f t="shared" ca="1" si="13"/>
        <v>2.6307406497086502E-2</v>
      </c>
    </row>
    <row r="109" spans="1:19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 ca="1">'Monthly Data'!N109</f>
        <v>28937646.579592828</v>
      </c>
      <c r="E109" s="269">
        <f>'Monthly Data'!BB109</f>
        <v>489.67916666666667</v>
      </c>
      <c r="F109" s="269">
        <f>'Monthly Data'!BI109</f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-8058676.5655863797</v>
      </c>
      <c r="L109" s="18">
        <f>E109*'GS 50-999 Predicted Monthly'!$V$11</f>
        <v>8842067.8300222196</v>
      </c>
      <c r="M109" s="18">
        <f>F109*'GS 50-999 Predicted Monthly'!$V$12</f>
        <v>0</v>
      </c>
      <c r="N109" s="18">
        <f>G109*'GS 50-999 Predicted Monthly'!$V$13</f>
        <v>0</v>
      </c>
      <c r="O109" s="18">
        <f>H109*'GS 50-999 Predicted Monthly'!$V$14</f>
        <v>6069961.8487111134</v>
      </c>
      <c r="P109" s="18">
        <f>I109*'GS 50-999 Predicted Monthly'!$V$15</f>
        <v>22963619.096402079</v>
      </c>
      <c r="Q109" s="18">
        <f t="shared" si="11"/>
        <v>29816972.209549032</v>
      </c>
      <c r="R109" s="18">
        <f t="shared" ca="1" si="12"/>
        <v>879325.62995620444</v>
      </c>
      <c r="S109" s="270">
        <f t="shared" ca="1" si="13"/>
        <v>3.0386908884854354E-2</v>
      </c>
    </row>
    <row r="110" spans="1:19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 ca="1">'Monthly Data'!N110</f>
        <v>32762071.883867092</v>
      </c>
      <c r="E110" s="269">
        <f>'Monthly Data'!BB110</f>
        <v>636.99583333333339</v>
      </c>
      <c r="F110" s="269">
        <f>'Monthly Data'!BI110</f>
        <v>0</v>
      </c>
      <c r="G110" s="269">
        <f>'Monthly Data'!CG110</f>
        <v>0</v>
      </c>
      <c r="H110" s="18">
        <f>'Monthly Data'!AL110</f>
        <v>874402</v>
      </c>
      <c r="I110" s="18">
        <f>'Monthly Data'!CD110</f>
        <v>31</v>
      </c>
      <c r="K110" s="18">
        <f>'GS 50-999 Predicted Monthly'!$V$10</f>
        <v>-8058676.5655863797</v>
      </c>
      <c r="L110" s="18">
        <f>E110*'GS 50-999 Predicted Monthly'!$V$11</f>
        <v>11502144.15719448</v>
      </c>
      <c r="M110" s="18">
        <f>F110*'GS 50-999 Predicted Monthly'!$V$12</f>
        <v>0</v>
      </c>
      <c r="N110" s="18">
        <f>G110*'GS 50-999 Predicted Monthly'!$V$13</f>
        <v>0</v>
      </c>
      <c r="O110" s="18">
        <f>H110*'GS 50-999 Predicted Monthly'!$V$14</f>
        <v>6103649.1122532077</v>
      </c>
      <c r="P110" s="18">
        <f>I110*'GS 50-999 Predicted Monthly'!$V$15</f>
        <v>22963619.096402079</v>
      </c>
      <c r="Q110" s="18">
        <f t="shared" si="11"/>
        <v>32510735.800263386</v>
      </c>
      <c r="R110" s="18">
        <f t="shared" ca="1" si="12"/>
        <v>-251336.08360370621</v>
      </c>
      <c r="S110" s="270">
        <f t="shared" ca="1" si="13"/>
        <v>7.6715564416873988E-3</v>
      </c>
    </row>
    <row r="111" spans="1:19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 ca="1">'Monthly Data'!N111</f>
        <v>28308241.473781988</v>
      </c>
      <c r="E111" s="269">
        <f>'Monthly Data'!BB111</f>
        <v>542.96666666666658</v>
      </c>
      <c r="F111" s="269">
        <f>'Monthly Data'!BI111</f>
        <v>0</v>
      </c>
      <c r="G111" s="269">
        <f>'Monthly Data'!CG111</f>
        <v>0</v>
      </c>
      <c r="H111" s="18">
        <f>'Monthly Data'!AL111</f>
        <v>874402</v>
      </c>
      <c r="I111" s="18">
        <f>'Monthly Data'!CD111</f>
        <v>29</v>
      </c>
      <c r="K111" s="18">
        <f>'GS 50-999 Predicted Monthly'!$V$10</f>
        <v>-8058676.5655863797</v>
      </c>
      <c r="L111" s="18">
        <f>E111*'GS 50-999 Predicted Monthly'!$V$11</f>
        <v>9804272.7216447443</v>
      </c>
      <c r="M111" s="18">
        <f>F111*'GS 50-999 Predicted Monthly'!$V$12</f>
        <v>0</v>
      </c>
      <c r="N111" s="18">
        <f>G111*'GS 50-999 Predicted Monthly'!$V$13</f>
        <v>0</v>
      </c>
      <c r="O111" s="18">
        <f>H111*'GS 50-999 Predicted Monthly'!$V$14</f>
        <v>6103649.1122532077</v>
      </c>
      <c r="P111" s="18">
        <f>I111*'GS 50-999 Predicted Monthly'!$V$15</f>
        <v>21482095.283730976</v>
      </c>
      <c r="Q111" s="18">
        <f t="shared" si="11"/>
        <v>29331340.552042548</v>
      </c>
      <c r="R111" s="18">
        <f t="shared" ca="1" si="12"/>
        <v>1023099.0782605596</v>
      </c>
      <c r="S111" s="270">
        <f t="shared" ca="1" si="13"/>
        <v>3.6141385864894321E-2</v>
      </c>
    </row>
    <row r="112" spans="1:19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 ca="1">'Monthly Data'!N112</f>
        <v>27974502.183322255</v>
      </c>
      <c r="E112" s="269">
        <f>'Monthly Data'!BB112</f>
        <v>460.11250000000001</v>
      </c>
      <c r="F112" s="269">
        <f>'Monthly Data'!BI112</f>
        <v>0</v>
      </c>
      <c r="G112" s="269">
        <f>'Monthly Data'!CG112</f>
        <v>0</v>
      </c>
      <c r="H112" s="18">
        <f>'Monthly Data'!AL112</f>
        <v>874402</v>
      </c>
      <c r="I112" s="18">
        <f>'Monthly Data'!CD112</f>
        <v>31</v>
      </c>
      <c r="K112" s="18">
        <f>'GS 50-999 Predicted Monthly'!$V$10</f>
        <v>-8058676.5655863797</v>
      </c>
      <c r="L112" s="18">
        <f>E112*'GS 50-999 Predicted Monthly'!$V$11</f>
        <v>8308186.6891235206</v>
      </c>
      <c r="M112" s="18">
        <f>F112*'GS 50-999 Predicted Monthly'!$V$12</f>
        <v>0</v>
      </c>
      <c r="N112" s="18">
        <f>G112*'GS 50-999 Predicted Monthly'!$V$13</f>
        <v>0</v>
      </c>
      <c r="O112" s="18">
        <f>H112*'GS 50-999 Predicted Monthly'!$V$14</f>
        <v>6103649.1122532077</v>
      </c>
      <c r="P112" s="18">
        <f>I112*'GS 50-999 Predicted Monthly'!$V$15</f>
        <v>22963619.096402079</v>
      </c>
      <c r="Q112" s="18">
        <f t="shared" si="11"/>
        <v>29316778.332192428</v>
      </c>
      <c r="R112" s="18">
        <f t="shared" ca="1" si="12"/>
        <v>1342276.1488701738</v>
      </c>
      <c r="S112" s="270">
        <f t="shared" ca="1" si="13"/>
        <v>4.7982128156346872E-2</v>
      </c>
    </row>
    <row r="113" spans="1:19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 ca="1">'Monthly Data'!N113</f>
        <v>23880897.692670103</v>
      </c>
      <c r="E113" s="269">
        <f>'Monthly Data'!BB113</f>
        <v>308.29791666666665</v>
      </c>
      <c r="F113" s="269">
        <f>'Monthly Data'!BI113</f>
        <v>2.3833333333333346</v>
      </c>
      <c r="G113" s="269">
        <f>'Monthly Data'!CG113</f>
        <v>0</v>
      </c>
      <c r="H113" s="18">
        <f>'Monthly Data'!AL113</f>
        <v>877135</v>
      </c>
      <c r="I113" s="18">
        <f>'Monthly Data'!CD113</f>
        <v>30</v>
      </c>
      <c r="K113" s="18">
        <f>'GS 50-999 Predicted Monthly'!$V$10</f>
        <v>-8058676.5655863797</v>
      </c>
      <c r="L113" s="18">
        <f>E113*'GS 50-999 Predicted Monthly'!$V$11</f>
        <v>5566892.1134168543</v>
      </c>
      <c r="M113" s="18">
        <f>F113*'GS 50-999 Predicted Monthly'!$V$12</f>
        <v>67761.961668307616</v>
      </c>
      <c r="N113" s="18">
        <f>G113*'GS 50-999 Predicted Monthly'!$V$13</f>
        <v>0</v>
      </c>
      <c r="O113" s="18">
        <f>H113*'GS 50-999 Predicted Monthly'!$V$14</f>
        <v>6122726.4622864742</v>
      </c>
      <c r="P113" s="18">
        <f>I113*'GS 50-999 Predicted Monthly'!$V$15</f>
        <v>22222857.190066528</v>
      </c>
      <c r="Q113" s="18">
        <f t="shared" si="11"/>
        <v>25921561.161851782</v>
      </c>
      <c r="R113" s="18">
        <f t="shared" ca="1" si="12"/>
        <v>2040663.4691816792</v>
      </c>
      <c r="S113" s="270">
        <f t="shared" ca="1" si="13"/>
        <v>8.5451706859748053E-2</v>
      </c>
    </row>
    <row r="114" spans="1:19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 ca="1">'Monthly Data'!N114</f>
        <v>25683253.31217394</v>
      </c>
      <c r="E114" s="269">
        <f>'Monthly Data'!BB114</f>
        <v>89.52916666666664</v>
      </c>
      <c r="F114" s="269">
        <f>'Monthly Data'!BI114</f>
        <v>110.05000000000001</v>
      </c>
      <c r="G114" s="269">
        <f>'Monthly Data'!CG114</f>
        <v>0</v>
      </c>
      <c r="H114" s="18">
        <f>'Monthly Data'!AL114</f>
        <v>877135</v>
      </c>
      <c r="I114" s="18">
        <f>'Monthly Data'!CD114</f>
        <v>31</v>
      </c>
      <c r="K114" s="18">
        <f>'GS 50-999 Predicted Monthly'!$V$10</f>
        <v>-8058676.5655863797</v>
      </c>
      <c r="L114" s="18">
        <f>E114*'GS 50-999 Predicted Monthly'!$V$11</f>
        <v>1616615.5685583875</v>
      </c>
      <c r="M114" s="18">
        <f>F114*'GS 50-999 Predicted Monthly'!$V$12</f>
        <v>3128896.7335373075</v>
      </c>
      <c r="N114" s="18">
        <f>G114*'GS 50-999 Predicted Monthly'!$V$13</f>
        <v>0</v>
      </c>
      <c r="O114" s="18">
        <f>H114*'GS 50-999 Predicted Monthly'!$V$14</f>
        <v>6122726.4622864742</v>
      </c>
      <c r="P114" s="18">
        <f>I114*'GS 50-999 Predicted Monthly'!$V$15</f>
        <v>22963619.096402079</v>
      </c>
      <c r="Q114" s="18">
        <f t="shared" si="11"/>
        <v>25773181.295197867</v>
      </c>
      <c r="R114" s="18">
        <f t="shared" ca="1" si="12"/>
        <v>89927.983023926616</v>
      </c>
      <c r="S114" s="270">
        <f t="shared" ca="1" si="13"/>
        <v>3.5014249141599391E-3</v>
      </c>
    </row>
    <row r="115" spans="1:19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 ca="1">'Monthly Data'!N115</f>
        <v>27231708.21783587</v>
      </c>
      <c r="E115" s="269">
        <f>'Monthly Data'!BB115</f>
        <v>31.570833333333319</v>
      </c>
      <c r="F115" s="269">
        <f>'Monthly Data'!BI115</f>
        <v>204.15416666666667</v>
      </c>
      <c r="G115" s="269">
        <f>'Monthly Data'!CG115</f>
        <v>0</v>
      </c>
      <c r="H115" s="18">
        <f>'Monthly Data'!AL115</f>
        <v>877135</v>
      </c>
      <c r="I115" s="18">
        <f>'Monthly Data'!CD115</f>
        <v>30</v>
      </c>
      <c r="K115" s="18">
        <f>'GS 50-999 Predicted Monthly'!$V$10</f>
        <v>-8058676.5655863797</v>
      </c>
      <c r="L115" s="18">
        <f>E115*'GS 50-999 Predicted Monthly'!$V$11</f>
        <v>570070.09647539898</v>
      </c>
      <c r="M115" s="18">
        <f>F115*'GS 50-999 Predicted Monthly'!$V$12</f>
        <v>5804428.0347238919</v>
      </c>
      <c r="N115" s="18">
        <f>G115*'GS 50-999 Predicted Monthly'!$V$13</f>
        <v>0</v>
      </c>
      <c r="O115" s="18">
        <f>H115*'GS 50-999 Predicted Monthly'!$V$14</f>
        <v>6122726.4622864742</v>
      </c>
      <c r="P115" s="18">
        <f>I115*'GS 50-999 Predicted Monthly'!$V$15</f>
        <v>22222857.190066528</v>
      </c>
      <c r="Q115" s="18">
        <f t="shared" si="11"/>
        <v>26661405.217965912</v>
      </c>
      <c r="R115" s="18">
        <f t="shared" ca="1" si="12"/>
        <v>-570302.99986995757</v>
      </c>
      <c r="S115" s="270">
        <f t="shared" ca="1" si="13"/>
        <v>2.0942608348617216E-2</v>
      </c>
    </row>
    <row r="116" spans="1:19" x14ac:dyDescent="0.25">
      <c r="A116" s="3">
        <f>'Monthly Data'!A116</f>
        <v>45474</v>
      </c>
      <c r="B116" s="1">
        <f t="shared" ref="B116:B121" si="14">YEAR(A116)</f>
        <v>2024</v>
      </c>
      <c r="C116" s="1">
        <f t="shared" ref="C116:C121" si="15">MONTH(A116)</f>
        <v>7</v>
      </c>
      <c r="D116" s="24">
        <f ca="1">'Monthly Data'!N116</f>
        <v>29591654.186304532</v>
      </c>
      <c r="E116" s="269">
        <f>'Monthly Data'!BB116</f>
        <v>0.32916666666666927</v>
      </c>
      <c r="F116" s="269">
        <f>'Monthly Data'!BI116</f>
        <v>303.14166666666665</v>
      </c>
      <c r="G116" s="269">
        <f>'Monthly Data'!CG116</f>
        <v>0</v>
      </c>
      <c r="H116" s="18">
        <f>'Monthly Data'!AL116</f>
        <v>877865</v>
      </c>
      <c r="I116" s="18">
        <f>'Monthly Data'!CD116</f>
        <v>31</v>
      </c>
      <c r="K116" s="18">
        <f>'GS 50-999 Predicted Monthly'!$V$10</f>
        <v>-8058676.5655863797</v>
      </c>
      <c r="L116" s="18">
        <f>E116*'GS 50-999 Predicted Monthly'!$V$11</f>
        <v>5943.7161965892701</v>
      </c>
      <c r="M116" s="18">
        <f>F116*'GS 50-999 Predicted Monthly'!$V$12</f>
        <v>8618800.2783497367</v>
      </c>
      <c r="N116" s="18">
        <f>G116*'GS 50-999 Predicted Monthly'!$V$13</f>
        <v>0</v>
      </c>
      <c r="O116" s="18">
        <f>H116*'GS 50-999 Predicted Monthly'!$V$14</f>
        <v>6127822.1320721619</v>
      </c>
      <c r="P116" s="18">
        <f>I116*'GS 50-999 Predicted Monthly'!$V$15</f>
        <v>22963619.096402079</v>
      </c>
      <c r="Q116" s="18">
        <f t="shared" si="11"/>
        <v>29657508.657434188</v>
      </c>
      <c r="R116" s="18">
        <f t="shared" ca="1" si="12"/>
        <v>65854.471129655838</v>
      </c>
      <c r="S116" s="270">
        <f t="shared" ca="1" si="13"/>
        <v>2.2254406838849274E-3</v>
      </c>
    </row>
    <row r="117" spans="1:19" x14ac:dyDescent="0.25">
      <c r="A117" s="3">
        <f>'Monthly Data'!A117</f>
        <v>45505</v>
      </c>
      <c r="B117" s="1">
        <f t="shared" si="14"/>
        <v>2024</v>
      </c>
      <c r="C117" s="1">
        <f t="shared" si="15"/>
        <v>8</v>
      </c>
      <c r="D117" s="24">
        <f ca="1">'Monthly Data'!N117</f>
        <v>24509168.77534771</v>
      </c>
      <c r="E117" s="269">
        <f>'Monthly Data'!BB117</f>
        <v>8.2333333333333432</v>
      </c>
      <c r="F117" s="269">
        <f>'Monthly Data'!BI117</f>
        <v>262.86666666666667</v>
      </c>
      <c r="G117" s="269">
        <f>'Monthly Data'!CG117</f>
        <v>0</v>
      </c>
      <c r="H117" s="18">
        <f>'Monthly Data'!AL117</f>
        <v>877865</v>
      </c>
      <c r="I117" s="18">
        <f>'Monthly Data'!CD117</f>
        <v>31</v>
      </c>
      <c r="K117" s="18">
        <f>'GS 50-999 Predicted Monthly'!$V$10</f>
        <v>-8058676.5655863797</v>
      </c>
      <c r="L117" s="18">
        <f>E117*'GS 50-999 Predicted Monthly'!$V$11</f>
        <v>148668.14182861164</v>
      </c>
      <c r="M117" s="18">
        <f>F117*'GS 50-999 Predicted Monthly'!$V$12</f>
        <v>7473717.8981296998</v>
      </c>
      <c r="N117" s="18">
        <f>G117*'GS 50-999 Predicted Monthly'!$V$13</f>
        <v>0</v>
      </c>
      <c r="O117" s="18">
        <f>H117*'GS 50-999 Predicted Monthly'!$V$14</f>
        <v>6127822.1320721619</v>
      </c>
      <c r="P117" s="18">
        <f>I117*'GS 50-999 Predicted Monthly'!$V$15</f>
        <v>22963619.096402079</v>
      </c>
      <c r="Q117" s="18">
        <f t="shared" si="11"/>
        <v>28655150.702846173</v>
      </c>
      <c r="R117" s="18">
        <f t="shared" ca="1" si="12"/>
        <v>4145981.9274984635</v>
      </c>
      <c r="S117" s="270">
        <f t="shared" ca="1" si="13"/>
        <v>0.16916044625995869</v>
      </c>
    </row>
    <row r="118" spans="1:19" x14ac:dyDescent="0.25">
      <c r="A118" s="3">
        <f>'Monthly Data'!A118</f>
        <v>45536</v>
      </c>
      <c r="B118" s="1">
        <f t="shared" si="14"/>
        <v>2024</v>
      </c>
      <c r="C118" s="1">
        <f t="shared" si="15"/>
        <v>9</v>
      </c>
      <c r="D118" s="24">
        <f ca="1">'Monthly Data'!N118</f>
        <v>23905544.421330396</v>
      </c>
      <c r="E118" s="269">
        <f>'Monthly Data'!BB118</f>
        <v>29.36666666666666</v>
      </c>
      <c r="F118" s="269">
        <f>'Monthly Data'!BI118</f>
        <v>171.29999999999998</v>
      </c>
      <c r="G118" s="269">
        <f>'Monthly Data'!CG118</f>
        <v>0</v>
      </c>
      <c r="H118" s="18">
        <f>'Monthly Data'!AL118</f>
        <v>877865</v>
      </c>
      <c r="I118" s="18">
        <f>'Monthly Data'!CD118</f>
        <v>30</v>
      </c>
      <c r="K118" s="18">
        <f>'GS 50-999 Predicted Monthly'!$V$10</f>
        <v>-8058676.5655863797</v>
      </c>
      <c r="L118" s="18">
        <f>E118*'GS 50-999 Predicted Monthly'!$V$11</f>
        <v>530269.76903241558</v>
      </c>
      <c r="M118" s="18">
        <f>F118*'GS 50-999 Predicted Monthly'!$V$12</f>
        <v>4870331.7624256304</v>
      </c>
      <c r="N118" s="18">
        <f>G118*'GS 50-999 Predicted Monthly'!$V$13</f>
        <v>0</v>
      </c>
      <c r="O118" s="18">
        <f>H118*'GS 50-999 Predicted Monthly'!$V$14</f>
        <v>6127822.1320721619</v>
      </c>
      <c r="P118" s="18">
        <f>I118*'GS 50-999 Predicted Monthly'!$V$15</f>
        <v>22222857.190066528</v>
      </c>
      <c r="Q118" s="18">
        <f t="shared" si="11"/>
        <v>25692604.288010355</v>
      </c>
      <c r="R118" s="18">
        <f t="shared" ca="1" si="12"/>
        <v>1787059.866679959</v>
      </c>
      <c r="S118" s="270">
        <f t="shared" ca="1" si="13"/>
        <v>7.4755037374735725E-2</v>
      </c>
    </row>
    <row r="119" spans="1:19" x14ac:dyDescent="0.25">
      <c r="A119" s="3">
        <f>'Monthly Data'!A119</f>
        <v>45566</v>
      </c>
      <c r="B119" s="1">
        <f t="shared" si="14"/>
        <v>2024</v>
      </c>
      <c r="C119" s="1">
        <f t="shared" si="15"/>
        <v>10</v>
      </c>
      <c r="D119" s="24">
        <f ca="1">'Monthly Data'!N119</f>
        <v>25133313.896704752</v>
      </c>
      <c r="E119" s="269">
        <f>'Monthly Data'!BB119</f>
        <v>233.94166666666658</v>
      </c>
      <c r="F119" s="269">
        <f>'Monthly Data'!BI119</f>
        <v>31.104166666666679</v>
      </c>
      <c r="G119" s="269">
        <f>'Monthly Data'!CG119</f>
        <v>0</v>
      </c>
      <c r="H119" s="18">
        <f>'Monthly Data'!AL119</f>
        <v>882184.85199999996</v>
      </c>
      <c r="I119" s="18">
        <f>'Monthly Data'!CD119</f>
        <v>31</v>
      </c>
      <c r="K119" s="18">
        <f>'GS 50-999 Predicted Monthly'!$V$10</f>
        <v>-8058676.5655863797</v>
      </c>
      <c r="L119" s="18">
        <f>E119*'GS 50-999 Predicted Monthly'!$V$11</f>
        <v>4224251.7667556759</v>
      </c>
      <c r="M119" s="18">
        <f>F119*'GS 50-999 Predicted Monthly'!$V$12</f>
        <v>884340.98575859482</v>
      </c>
      <c r="N119" s="18">
        <f>G119*'GS 50-999 Predicted Monthly'!$V$13</f>
        <v>0</v>
      </c>
      <c r="O119" s="18">
        <f>H119*'GS 50-999 Predicted Monthly'!$V$14</f>
        <v>6157976.2955174251</v>
      </c>
      <c r="P119" s="18">
        <f>I119*'GS 50-999 Predicted Monthly'!$V$15</f>
        <v>22963619.096402079</v>
      </c>
      <c r="Q119" s="18">
        <f t="shared" si="11"/>
        <v>26171511.578847393</v>
      </c>
      <c r="R119" s="18">
        <f t="shared" ca="1" si="12"/>
        <v>1038197.6821426414</v>
      </c>
      <c r="S119" s="270">
        <f t="shared" ca="1" si="13"/>
        <v>4.1307632030122388E-2</v>
      </c>
    </row>
    <row r="120" spans="1:19" x14ac:dyDescent="0.25">
      <c r="A120" s="3">
        <f>'Monthly Data'!A120</f>
        <v>45597</v>
      </c>
      <c r="B120" s="1">
        <f t="shared" si="14"/>
        <v>2024</v>
      </c>
      <c r="C120" s="1">
        <f t="shared" si="15"/>
        <v>11</v>
      </c>
      <c r="D120" s="24">
        <f ca="1">'Monthly Data'!N120</f>
        <v>28104665.798465267</v>
      </c>
      <c r="E120" s="269">
        <f>'Monthly Data'!BB120</f>
        <v>366.29166666666663</v>
      </c>
      <c r="F120" s="269">
        <f>'Monthly Data'!BI120</f>
        <v>9.5041666666666629</v>
      </c>
      <c r="G120" s="269">
        <f>'Monthly Data'!CG120</f>
        <v>0</v>
      </c>
      <c r="H120" s="18">
        <f>'Monthly Data'!AL120</f>
        <v>882184.85199999996</v>
      </c>
      <c r="I120" s="18">
        <f>'Monthly Data'!CD120</f>
        <v>30</v>
      </c>
      <c r="K120" s="18">
        <f>'GS 50-999 Predicted Monthly'!$V$10</f>
        <v>-8058676.5655863797</v>
      </c>
      <c r="L120" s="18">
        <f>E120*'GS 50-999 Predicted Monthly'!$V$11</f>
        <v>6614077.0992678301</v>
      </c>
      <c r="M120" s="18">
        <f>F120*'GS 50-999 Predicted Monthly'!$V$12</f>
        <v>270218.59189756907</v>
      </c>
      <c r="N120" s="18">
        <f>G120*'GS 50-999 Predicted Monthly'!$V$13</f>
        <v>0</v>
      </c>
      <c r="O120" s="18">
        <f>H120*'GS 50-999 Predicted Monthly'!$V$14</f>
        <v>6157976.2955174251</v>
      </c>
      <c r="P120" s="18">
        <f>I120*'GS 50-999 Predicted Monthly'!$V$15</f>
        <v>22222857.190066528</v>
      </c>
      <c r="Q120" s="18">
        <f t="shared" si="11"/>
        <v>27206452.611162972</v>
      </c>
      <c r="R120" s="18">
        <f t="shared" ca="1" si="12"/>
        <v>-898213.18730229512</v>
      </c>
      <c r="S120" s="270">
        <f t="shared" ca="1" si="13"/>
        <v>3.1959575457799767E-2</v>
      </c>
    </row>
    <row r="121" spans="1:19" x14ac:dyDescent="0.25">
      <c r="A121" s="3">
        <f>'Monthly Data'!A121</f>
        <v>45627</v>
      </c>
      <c r="B121" s="1">
        <f t="shared" si="14"/>
        <v>2024</v>
      </c>
      <c r="C121" s="1">
        <f t="shared" si="15"/>
        <v>12</v>
      </c>
      <c r="D121" s="24">
        <f ca="1">'Monthly Data'!N121</f>
        <v>33772187.196194738</v>
      </c>
      <c r="E121" s="269">
        <f>'Monthly Data'!BB121</f>
        <v>598.57499999999993</v>
      </c>
      <c r="F121" s="269">
        <f>'Monthly Data'!BI121</f>
        <v>0</v>
      </c>
      <c r="G121" s="269">
        <f>'Monthly Data'!CG121</f>
        <v>0</v>
      </c>
      <c r="H121" s="18">
        <f>'Monthly Data'!AL121</f>
        <v>882184.85199999996</v>
      </c>
      <c r="I121" s="18">
        <f>'Monthly Data'!CD121</f>
        <v>31</v>
      </c>
      <c r="K121" s="18">
        <f>'GS 50-999 Predicted Monthly'!$V$10</f>
        <v>-8058676.5655863797</v>
      </c>
      <c r="L121" s="18">
        <f>E121*'GS 50-999 Predicted Monthly'!$V$11</f>
        <v>10808384.574298918</v>
      </c>
      <c r="M121" s="18">
        <f>F121*'GS 50-999 Predicted Monthly'!$V$12</f>
        <v>0</v>
      </c>
      <c r="N121" s="18">
        <f>G121*'GS 50-999 Predicted Monthly'!$V$13</f>
        <v>0</v>
      </c>
      <c r="O121" s="18">
        <f>H121*'GS 50-999 Predicted Monthly'!$V$14</f>
        <v>6157976.2955174251</v>
      </c>
      <c r="P121" s="18">
        <f>I121*'GS 50-999 Predicted Monthly'!$V$15</f>
        <v>22963619.096402079</v>
      </c>
      <c r="Q121" s="18">
        <f t="shared" si="11"/>
        <v>31871303.400632042</v>
      </c>
      <c r="R121" s="18">
        <f t="shared" ca="1" si="12"/>
        <v>-1900883.7955626957</v>
      </c>
      <c r="S121" s="270">
        <f t="shared" ca="1" si="13"/>
        <v>5.6285480846111048E-2</v>
      </c>
    </row>
    <row r="122" spans="1:19" x14ac:dyDescent="0.25">
      <c r="A122" s="3"/>
      <c r="S122" s="395">
        <f ca="1">AVERAGE(S2:S121)</f>
        <v>3.8416715152794566E-2</v>
      </c>
    </row>
    <row r="123" spans="1:19" x14ac:dyDescent="0.25">
      <c r="A123" s="3"/>
    </row>
    <row r="124" spans="1:19" x14ac:dyDescent="0.25">
      <c r="A124" s="3"/>
    </row>
    <row r="125" spans="1:19" x14ac:dyDescent="0.25">
      <c r="A125" s="3"/>
    </row>
    <row r="126" spans="1:19" x14ac:dyDescent="0.25">
      <c r="A126" s="3"/>
    </row>
    <row r="127" spans="1:19" x14ac:dyDescent="0.25">
      <c r="A127" s="3"/>
    </row>
    <row r="128" spans="1:19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X141"/>
  <sheetViews>
    <sheetView topLeftCell="J1" workbookViewId="0">
      <selection activeCell="T10" sqref="T10:W15"/>
    </sheetView>
  </sheetViews>
  <sheetFormatPr defaultColWidth="9.33203125" defaultRowHeight="13.2" x14ac:dyDescent="0.25"/>
  <cols>
    <col min="1" max="1" width="10.44140625" style="1" bestFit="1" customWidth="1"/>
    <col min="2" max="3" width="9.33203125" style="1"/>
    <col min="4" max="4" width="20.109375" style="1" bestFit="1" customWidth="1"/>
    <col min="5" max="9" width="9.33203125" style="1"/>
    <col min="10" max="10" width="14.6640625" style="1" bestFit="1" customWidth="1"/>
    <col min="11" max="11" width="12.77734375" style="1" bestFit="1" customWidth="1"/>
    <col min="12" max="12" width="13.77734375" style="1" bestFit="1" customWidth="1"/>
    <col min="13" max="14" width="13.77734375" style="1" customWidth="1"/>
    <col min="15" max="15" width="18.109375" style="1" customWidth="1"/>
    <col min="16" max="16" width="13.77734375" style="1" customWidth="1"/>
    <col min="17" max="18" width="9.33203125" style="1"/>
    <col min="19" max="19" width="13.77734375" style="1" bestFit="1" customWidth="1"/>
    <col min="20" max="20" width="13.44140625" style="1" customWidth="1"/>
    <col min="21" max="21" width="13.77734375" style="1" bestFit="1" customWidth="1"/>
    <col min="22" max="22" width="12.77734375" style="1" bestFit="1" customWidth="1"/>
    <col min="23" max="23" width="12.6640625" style="1" bestFit="1" customWidth="1"/>
    <col min="24" max="24" width="18" style="1" bestFit="1" customWidth="1"/>
    <col min="25" max="25" width="12.77734375" style="1" bestFit="1" customWidth="1"/>
    <col min="26" max="16384" width="9.33203125" style="1"/>
  </cols>
  <sheetData>
    <row r="1" spans="1:23" x14ac:dyDescent="0.25">
      <c r="A1" s="264" t="str">
        <f>'Monthly Data'!A1</f>
        <v>Date</v>
      </c>
      <c r="B1" s="265" t="s">
        <v>1</v>
      </c>
      <c r="C1" s="265" t="s">
        <v>2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152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196</v>
      </c>
      <c r="P1" s="265" t="s">
        <v>197</v>
      </c>
    </row>
    <row r="2" spans="1:23" x14ac:dyDescent="0.2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4">
        <f>'Monthly Data'!S2</f>
        <v>6697602.8367803404</v>
      </c>
      <c r="E2" s="269">
        <f>'Monthly Data'!BE2</f>
        <v>0</v>
      </c>
      <c r="F2" s="269">
        <f>'Monthly Data'!CG2</f>
        <v>0</v>
      </c>
      <c r="G2" s="269">
        <f>'Monthly Data'!AQ2</f>
        <v>201.9</v>
      </c>
      <c r="H2" s="269">
        <f>'Monthly Data'!CD2</f>
        <v>31</v>
      </c>
      <c r="J2" s="18">
        <f>'GS 1k-4,999 Predicted Monthly'!$T$10</f>
        <v>1375460.7545834701</v>
      </c>
      <c r="K2" s="18">
        <f>E2*'GS 1k-4,999 Predicted Monthly'!$T$11</f>
        <v>0</v>
      </c>
      <c r="L2" s="18">
        <f>F2*'GS 1k-4,999 Predicted Monthly'!$T$12</f>
        <v>0</v>
      </c>
      <c r="M2" s="18">
        <f>G2*'GS 1k-4,999 Predicted Monthly'!$T$13</f>
        <v>2212653.93847065</v>
      </c>
      <c r="N2" s="18">
        <f>H2*'GS 1k-4,999 Predicted Monthly'!$T$14</f>
        <v>3509355.4704038892</v>
      </c>
      <c r="O2" s="18">
        <f>SUM(J2:N2)</f>
        <v>7097470.1634580093</v>
      </c>
      <c r="P2" s="18">
        <f t="shared" ref="P2:P33" si="2">O2-D2</f>
        <v>399867.32667766884</v>
      </c>
      <c r="Q2" s="270">
        <f t="shared" ref="Q2:Q33" si="3">ABS(P2/D2)</f>
        <v>5.970305143831018E-2</v>
      </c>
    </row>
    <row r="3" spans="1:23" x14ac:dyDescent="0.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Data'!S3</f>
        <v>6292256.0165867163</v>
      </c>
      <c r="E3" s="269">
        <f>'Monthly Data'!BE3</f>
        <v>0</v>
      </c>
      <c r="F3" s="269">
        <f>'Monthly Data'!CG3</f>
        <v>0</v>
      </c>
      <c r="G3" s="269">
        <f>'Monthly Data'!AQ3</f>
        <v>200.2</v>
      </c>
      <c r="H3" s="269">
        <f>'Monthly Data'!CD3</f>
        <v>28</v>
      </c>
      <c r="J3" s="18">
        <f>'GS 1k-4,999 Predicted Monthly'!$T$10</f>
        <v>1375460.7545834701</v>
      </c>
      <c r="K3" s="18">
        <f>E3*'GS 1k-4,999 Predicted Monthly'!$T$11</f>
        <v>0</v>
      </c>
      <c r="L3" s="18">
        <f>F3*'GS 1k-4,999 Predicted Monthly'!$T$12</f>
        <v>0</v>
      </c>
      <c r="M3" s="18">
        <f>G3*'GS 1k-4,999 Predicted Monthly'!$T$13</f>
        <v>2194023.3703904115</v>
      </c>
      <c r="N3" s="18">
        <f>H3*'GS 1k-4,999 Predicted Monthly'!$T$14</f>
        <v>3169740.4248809321</v>
      </c>
      <c r="O3" s="18">
        <f t="shared" ref="O3:O66" si="4">SUM(J3:N3)</f>
        <v>6739224.5498548131</v>
      </c>
      <c r="P3" s="18">
        <f t="shared" si="2"/>
        <v>446968.53326809686</v>
      </c>
      <c r="Q3" s="270">
        <f t="shared" si="3"/>
        <v>7.1034702353156703E-2</v>
      </c>
    </row>
    <row r="4" spans="1:23" x14ac:dyDescent="0.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Data'!S4</f>
        <v>6879107.4130763644</v>
      </c>
      <c r="E4" s="269">
        <f>'Monthly Data'!BE4</f>
        <v>0</v>
      </c>
      <c r="F4" s="269">
        <f>'Monthly Data'!CG4</f>
        <v>0</v>
      </c>
      <c r="G4" s="269">
        <f>'Monthly Data'!AQ4</f>
        <v>198.4</v>
      </c>
      <c r="H4" s="269">
        <f>'Monthly Data'!CD4</f>
        <v>31</v>
      </c>
      <c r="J4" s="18">
        <f>'GS 1k-4,999 Predicted Monthly'!$T$10</f>
        <v>1375460.7545834701</v>
      </c>
      <c r="K4" s="18">
        <f>E4*'GS 1k-4,999 Predicted Monthly'!$T$11</f>
        <v>0</v>
      </c>
      <c r="L4" s="18">
        <f>F4*'GS 1k-4,999 Predicted Monthly'!$T$12</f>
        <v>0</v>
      </c>
      <c r="M4" s="18">
        <f>G4*'GS 1k-4,999 Predicted Monthly'!$T$13</f>
        <v>2174296.8865407472</v>
      </c>
      <c r="N4" s="18">
        <f>H4*'GS 1k-4,999 Predicted Monthly'!$T$14</f>
        <v>3509355.4704038892</v>
      </c>
      <c r="O4" s="18">
        <f t="shared" si="4"/>
        <v>7059113.111528106</v>
      </c>
      <c r="P4" s="18">
        <f t="shared" si="2"/>
        <v>180005.6984517416</v>
      </c>
      <c r="Q4" s="270">
        <f t="shared" si="3"/>
        <v>2.6167013777044997E-2</v>
      </c>
    </row>
    <row r="5" spans="1:23" x14ac:dyDescent="0.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Data'!S5</f>
        <v>6556816.3103235476</v>
      </c>
      <c r="E5" s="269">
        <f>'Monthly Data'!BE5</f>
        <v>0</v>
      </c>
      <c r="F5" s="269">
        <f>'Monthly Data'!CG5</f>
        <v>0</v>
      </c>
      <c r="G5" s="269">
        <f>'Monthly Data'!AQ5</f>
        <v>195.5</v>
      </c>
      <c r="H5" s="269">
        <f>'Monthly Data'!CD5</f>
        <v>30</v>
      </c>
      <c r="J5" s="18">
        <f>'GS 1k-4,999 Predicted Monthly'!$T$10</f>
        <v>1375460.7545834701</v>
      </c>
      <c r="K5" s="18">
        <f>E5*'GS 1k-4,999 Predicted Monthly'!$T$11</f>
        <v>0</v>
      </c>
      <c r="L5" s="18">
        <f>F5*'GS 1k-4,999 Predicted Monthly'!$T$12</f>
        <v>0</v>
      </c>
      <c r="M5" s="18">
        <f>G5*'GS 1k-4,999 Predicted Monthly'!$T$13</f>
        <v>2142515.3292274</v>
      </c>
      <c r="N5" s="18">
        <f>H5*'GS 1k-4,999 Predicted Monthly'!$T$14</f>
        <v>3396150.4552295702</v>
      </c>
      <c r="O5" s="18">
        <f t="shared" si="4"/>
        <v>6914126.5390404407</v>
      </c>
      <c r="P5" s="18">
        <f t="shared" si="2"/>
        <v>357310.22871689312</v>
      </c>
      <c r="Q5" s="270">
        <f t="shared" si="3"/>
        <v>5.449446984725146E-2</v>
      </c>
      <c r="S5" s="1" t="s">
        <v>579</v>
      </c>
    </row>
    <row r="6" spans="1:23" x14ac:dyDescent="0.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Data'!S6</f>
        <v>7230750.9949512845</v>
      </c>
      <c r="E6" s="269">
        <f>'Monthly Data'!BE6</f>
        <v>32.514880952380949</v>
      </c>
      <c r="F6" s="269">
        <f>'Monthly Data'!CG6</f>
        <v>0</v>
      </c>
      <c r="G6" s="269">
        <f>'Monthly Data'!AQ6</f>
        <v>193.3</v>
      </c>
      <c r="H6" s="269">
        <f>'Monthly Data'!CD6</f>
        <v>31</v>
      </c>
      <c r="J6" s="18">
        <f>'GS 1k-4,999 Predicted Monthly'!$T$10</f>
        <v>1375460.7545834701</v>
      </c>
      <c r="K6" s="18">
        <f>E6*'GS 1k-4,999 Predicted Monthly'!$T$11</f>
        <v>290527.69981687068</v>
      </c>
      <c r="L6" s="18">
        <f>F6*'GS 1k-4,999 Predicted Monthly'!$T$12</f>
        <v>0</v>
      </c>
      <c r="M6" s="18">
        <f>G6*'GS 1k-4,999 Predicted Monthly'!$T$13</f>
        <v>2118405.1823000326</v>
      </c>
      <c r="N6" s="18">
        <f>H6*'GS 1k-4,999 Predicted Monthly'!$T$14</f>
        <v>3509355.4704038892</v>
      </c>
      <c r="O6" s="18">
        <f t="shared" si="4"/>
        <v>7293749.1071042623</v>
      </c>
      <c r="P6" s="18">
        <f t="shared" si="2"/>
        <v>62998.112152977847</v>
      </c>
      <c r="Q6" s="270">
        <f t="shared" si="3"/>
        <v>8.7125268449936826E-3</v>
      </c>
      <c r="S6" s="1" t="s">
        <v>182</v>
      </c>
    </row>
    <row r="7" spans="1:23" x14ac:dyDescent="0.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Data'!S7</f>
        <v>7609612.6560106054</v>
      </c>
      <c r="E7" s="269">
        <f>'Monthly Data'!BE7</f>
        <v>47.337499999999999</v>
      </c>
      <c r="F7" s="269">
        <f>'Monthly Data'!CG7</f>
        <v>0</v>
      </c>
      <c r="G7" s="269">
        <f>'Monthly Data'!AQ7</f>
        <v>190.8</v>
      </c>
      <c r="H7" s="269">
        <f>'Monthly Data'!CD7</f>
        <v>30</v>
      </c>
      <c r="J7" s="18">
        <f>'GS 1k-4,999 Predicted Monthly'!$T$10</f>
        <v>1375460.7545834701</v>
      </c>
      <c r="K7" s="18">
        <f>E7*'GS 1k-4,999 Predicted Monthly'!$T$11</f>
        <v>422971.10083910805</v>
      </c>
      <c r="L7" s="18">
        <f>F7*'GS 1k-4,999 Predicted Monthly'!$T$12</f>
        <v>0</v>
      </c>
      <c r="M7" s="18">
        <f>G7*'GS 1k-4,999 Predicted Monthly'!$T$13</f>
        <v>2091007.2880643883</v>
      </c>
      <c r="N7" s="18">
        <f>H7*'GS 1k-4,999 Predicted Monthly'!$T$14</f>
        <v>3396150.4552295702</v>
      </c>
      <c r="O7" s="18">
        <f t="shared" si="4"/>
        <v>7285589.5987165365</v>
      </c>
      <c r="P7" s="18">
        <f t="shared" si="2"/>
        <v>-324023.05729406886</v>
      </c>
      <c r="Q7" s="270">
        <f t="shared" si="3"/>
        <v>4.2580755675932169E-2</v>
      </c>
      <c r="S7" s="1" t="s">
        <v>580</v>
      </c>
    </row>
    <row r="8" spans="1:23" x14ac:dyDescent="0.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Data'!S8</f>
        <v>7942122.611520865</v>
      </c>
      <c r="E8" s="269">
        <f>'Monthly Data'!BE8</f>
        <v>143.53749999999999</v>
      </c>
      <c r="F8" s="269">
        <f>'Monthly Data'!CG8</f>
        <v>0</v>
      </c>
      <c r="G8" s="269">
        <f>'Monthly Data'!AQ8</f>
        <v>185.9</v>
      </c>
      <c r="H8" s="269">
        <f>'Monthly Data'!CD8</f>
        <v>31</v>
      </c>
      <c r="J8" s="18">
        <f>'GS 1k-4,999 Predicted Monthly'!$T$10</f>
        <v>1375460.7545834701</v>
      </c>
      <c r="K8" s="18">
        <f>E8*'GS 1k-4,999 Predicted Monthly'!$T$11</f>
        <v>1282539.5170149135</v>
      </c>
      <c r="L8" s="18">
        <f>F8*'GS 1k-4,999 Predicted Monthly'!$T$12</f>
        <v>0</v>
      </c>
      <c r="M8" s="18">
        <f>G8*'GS 1k-4,999 Predicted Monthly'!$T$13</f>
        <v>2037307.415362525</v>
      </c>
      <c r="N8" s="18">
        <f>H8*'GS 1k-4,999 Predicted Monthly'!$T$14</f>
        <v>3509355.4704038892</v>
      </c>
      <c r="O8" s="18">
        <f t="shared" si="4"/>
        <v>8204663.1573647978</v>
      </c>
      <c r="P8" s="18">
        <f t="shared" si="2"/>
        <v>262540.54584393278</v>
      </c>
      <c r="Q8" s="270">
        <f t="shared" si="3"/>
        <v>3.305672282912011E-2</v>
      </c>
    </row>
    <row r="9" spans="1:23" x14ac:dyDescent="0.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Data'!S9</f>
        <v>8021740.0875366963</v>
      </c>
      <c r="E9" s="269">
        <f>'Monthly Data'!BE9</f>
        <v>106.43333333333335</v>
      </c>
      <c r="F9" s="269">
        <f>'Monthly Data'!CG9</f>
        <v>0</v>
      </c>
      <c r="G9" s="269">
        <f>'Monthly Data'!AQ9</f>
        <v>183</v>
      </c>
      <c r="H9" s="269">
        <f>'Monthly Data'!CD9</f>
        <v>31</v>
      </c>
      <c r="J9" s="18">
        <f>'GS 1k-4,999 Predicted Monthly'!$T$10</f>
        <v>1375460.7545834701</v>
      </c>
      <c r="K9" s="18">
        <f>E9*'GS 1k-4,999 Predicted Monthly'!$T$11</f>
        <v>951005.52766782651</v>
      </c>
      <c r="L9" s="18">
        <f>F9*'GS 1k-4,999 Predicted Monthly'!$T$12</f>
        <v>0</v>
      </c>
      <c r="M9" s="18">
        <f>G9*'GS 1k-4,999 Predicted Monthly'!$T$13</f>
        <v>2005525.8580491773</v>
      </c>
      <c r="N9" s="18">
        <f>H9*'GS 1k-4,999 Predicted Monthly'!$T$14</f>
        <v>3509355.4704038892</v>
      </c>
      <c r="O9" s="18">
        <f t="shared" si="4"/>
        <v>7841347.6107043633</v>
      </c>
      <c r="P9" s="18">
        <f t="shared" si="2"/>
        <v>-180392.47683233302</v>
      </c>
      <c r="Q9" s="270">
        <f t="shared" si="3"/>
        <v>2.2487948358312825E-2</v>
      </c>
      <c r="T9" s="1" t="s">
        <v>148</v>
      </c>
      <c r="U9" s="1" t="s">
        <v>149</v>
      </c>
      <c r="V9" s="1" t="s">
        <v>150</v>
      </c>
      <c r="W9" s="1" t="s">
        <v>151</v>
      </c>
    </row>
    <row r="10" spans="1:23" x14ac:dyDescent="0.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Data'!S10</f>
        <v>8078291.6631567953</v>
      </c>
      <c r="E10" s="269">
        <f>'Monthly Data'!BE10</f>
        <v>87.618452380952391</v>
      </c>
      <c r="F10" s="269">
        <f>'Monthly Data'!CG10</f>
        <v>0</v>
      </c>
      <c r="G10" s="269">
        <f>'Monthly Data'!AQ10</f>
        <v>181.7</v>
      </c>
      <c r="H10" s="269">
        <f>'Monthly Data'!CD10</f>
        <v>30</v>
      </c>
      <c r="J10" s="18">
        <f>'GS 1k-4,999 Predicted Monthly'!$T$10</f>
        <v>1375460.7545834701</v>
      </c>
      <c r="K10" s="18">
        <f>E10*'GS 1k-4,999 Predicted Monthly'!$T$11</f>
        <v>782890.3777637264</v>
      </c>
      <c r="L10" s="18">
        <f>F10*'GS 1k-4,999 Predicted Monthly'!$T$12</f>
        <v>0</v>
      </c>
      <c r="M10" s="18">
        <f>G10*'GS 1k-4,999 Predicted Monthly'!$T$13</f>
        <v>1991278.953046642</v>
      </c>
      <c r="N10" s="18">
        <f>H10*'GS 1k-4,999 Predicted Monthly'!$T$14</f>
        <v>3396150.4552295702</v>
      </c>
      <c r="O10" s="18">
        <f t="shared" si="4"/>
        <v>7545780.5406234087</v>
      </c>
      <c r="P10" s="18">
        <f t="shared" si="2"/>
        <v>-532511.12253338657</v>
      </c>
      <c r="Q10" s="270">
        <f t="shared" si="3"/>
        <v>6.5918778961899294E-2</v>
      </c>
      <c r="S10" s="1" t="s">
        <v>152</v>
      </c>
      <c r="T10" s="18">
        <v>1375460.7545834701</v>
      </c>
      <c r="U10" s="18">
        <v>1519306.3577712199</v>
      </c>
      <c r="V10" s="588">
        <v>0.90532152883321404</v>
      </c>
      <c r="W10" s="588">
        <v>0.36718788341028602</v>
      </c>
    </row>
    <row r="11" spans="1:23" x14ac:dyDescent="0.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Data'!S11</f>
        <v>7283096.8853974789</v>
      </c>
      <c r="E11" s="269">
        <f>'Monthly Data'!BE11</f>
        <v>1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1375460.7545834701</v>
      </c>
      <c r="K11" s="18">
        <f>E11*'GS 1k-4,999 Predicted Monthly'!$T$11</f>
        <v>8935.2226213701197</v>
      </c>
      <c r="L11" s="18">
        <f>F11*'GS 1k-4,999 Predicted Monthly'!$T$12</f>
        <v>0</v>
      </c>
      <c r="M11" s="18">
        <f>G11*'GS 1k-4,999 Predicted Monthly'!$T$13</f>
        <v>2050458.4045956342</v>
      </c>
      <c r="N11" s="18">
        <f>H11*'GS 1k-4,999 Predicted Monthly'!$T$14</f>
        <v>3509355.4704038892</v>
      </c>
      <c r="O11" s="18">
        <f t="shared" si="4"/>
        <v>6944209.8522043638</v>
      </c>
      <c r="P11" s="18">
        <f t="shared" si="2"/>
        <v>-338887.03319311514</v>
      </c>
      <c r="Q11" s="270">
        <f t="shared" si="3"/>
        <v>4.6530622690545219E-2</v>
      </c>
      <c r="S11" s="1" t="s">
        <v>56</v>
      </c>
      <c r="T11" s="18">
        <v>8935.2226213701197</v>
      </c>
      <c r="U11" s="18">
        <v>740.21396084664002</v>
      </c>
      <c r="V11" s="588">
        <v>12.0711349609648</v>
      </c>
      <c r="W11" s="588">
        <v>3.5886863466163502E-22</v>
      </c>
    </row>
    <row r="12" spans="1:23" x14ac:dyDescent="0.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Data'!S12</f>
        <v>7062113.5949656768</v>
      </c>
      <c r="E12" s="269">
        <f>'Monthly Data'!BE12</f>
        <v>0</v>
      </c>
      <c r="F12" s="269">
        <f>'Monthly Data'!CG12</f>
        <v>0</v>
      </c>
      <c r="G12" s="269">
        <f>'Monthly Data'!AQ12</f>
        <v>192.5</v>
      </c>
      <c r="H12" s="269">
        <f>'Monthly Data'!CD12</f>
        <v>30</v>
      </c>
      <c r="J12" s="18">
        <f>'GS 1k-4,999 Predicted Monthly'!$T$10</f>
        <v>1375460.7545834701</v>
      </c>
      <c r="K12" s="18">
        <f>E12*'GS 1k-4,999 Predicted Monthly'!$T$11</f>
        <v>0</v>
      </c>
      <c r="L12" s="18">
        <f>F12*'GS 1k-4,999 Predicted Monthly'!$T$12</f>
        <v>0</v>
      </c>
      <c r="M12" s="18">
        <f>G12*'GS 1k-4,999 Predicted Monthly'!$T$13</f>
        <v>2109637.8561446266</v>
      </c>
      <c r="N12" s="18">
        <f>H12*'GS 1k-4,999 Predicted Monthly'!$T$14</f>
        <v>3396150.4552295702</v>
      </c>
      <c r="O12" s="18">
        <f t="shared" si="4"/>
        <v>6881249.0659576673</v>
      </c>
      <c r="P12" s="18">
        <f t="shared" si="2"/>
        <v>-180864.52900800947</v>
      </c>
      <c r="Q12" s="270">
        <f t="shared" si="3"/>
        <v>2.5610538060013819E-2</v>
      </c>
      <c r="S12" s="1" t="s">
        <v>84</v>
      </c>
      <c r="T12" s="18">
        <v>-1370475.0357401399</v>
      </c>
      <c r="U12" s="18">
        <v>256403.04122192599</v>
      </c>
      <c r="V12" s="588">
        <v>-5.3450030436805198</v>
      </c>
      <c r="W12" s="588">
        <v>4.6398667927699601E-7</v>
      </c>
    </row>
    <row r="13" spans="1:23" x14ac:dyDescent="0.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Data'!S13</f>
        <v>6433930.9578759233</v>
      </c>
      <c r="E13" s="269">
        <f>'Monthly Data'!BE13</f>
        <v>0</v>
      </c>
      <c r="F13" s="269">
        <f>'Monthly Data'!CG13</f>
        <v>0</v>
      </c>
      <c r="G13" s="269">
        <f>'Monthly Data'!AQ13</f>
        <v>199.4</v>
      </c>
      <c r="H13" s="269">
        <f>'Monthly Data'!CD13</f>
        <v>31</v>
      </c>
      <c r="J13" s="18">
        <f>'GS 1k-4,999 Predicted Monthly'!$T$10</f>
        <v>1375460.7545834701</v>
      </c>
      <c r="K13" s="18">
        <f>E13*'GS 1k-4,999 Predicted Monthly'!$T$11</f>
        <v>0</v>
      </c>
      <c r="L13" s="18">
        <f>F13*'GS 1k-4,999 Predicted Monthly'!$T$12</f>
        <v>0</v>
      </c>
      <c r="M13" s="18">
        <f>G13*'GS 1k-4,999 Predicted Monthly'!$T$13</f>
        <v>2185256.044235005</v>
      </c>
      <c r="N13" s="18">
        <f>H13*'GS 1k-4,999 Predicted Monthly'!$T$14</f>
        <v>3509355.4704038892</v>
      </c>
      <c r="O13" s="18">
        <f t="shared" si="4"/>
        <v>7070072.2692223638</v>
      </c>
      <c r="P13" s="18">
        <f t="shared" si="2"/>
        <v>636141.31134644058</v>
      </c>
      <c r="Q13" s="270">
        <f t="shared" si="3"/>
        <v>9.8872884323964544E-2</v>
      </c>
      <c r="S13" s="1" t="s">
        <v>42</v>
      </c>
      <c r="T13" s="18">
        <v>10959.157694257799</v>
      </c>
      <c r="U13" s="18">
        <v>5109.4906632805096</v>
      </c>
      <c r="V13" s="588">
        <v>2.14486304339805</v>
      </c>
      <c r="W13" s="588">
        <v>3.4067813610480099E-2</v>
      </c>
    </row>
    <row r="14" spans="1:23" x14ac:dyDescent="0.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Data'!S14</f>
        <v>7305107.8312721383</v>
      </c>
      <c r="E14" s="269">
        <f>'Monthly Data'!BE14</f>
        <v>0</v>
      </c>
      <c r="F14" s="269">
        <f>'Monthly Data'!CG14</f>
        <v>0</v>
      </c>
      <c r="G14" s="269">
        <f>'Monthly Data'!AQ14</f>
        <v>204.2</v>
      </c>
      <c r="H14" s="269">
        <f>'Monthly Data'!CD14</f>
        <v>31</v>
      </c>
      <c r="J14" s="18">
        <f>'GS 1k-4,999 Predicted Monthly'!$T$10</f>
        <v>1375460.7545834701</v>
      </c>
      <c r="K14" s="18">
        <f>E14*'GS 1k-4,999 Predicted Monthly'!$T$11</f>
        <v>0</v>
      </c>
      <c r="L14" s="18">
        <f>F14*'GS 1k-4,999 Predicted Monthly'!$T$12</f>
        <v>0</v>
      </c>
      <c r="M14" s="18">
        <f>G14*'GS 1k-4,999 Predicted Monthly'!$T$13</f>
        <v>2237860.0011674426</v>
      </c>
      <c r="N14" s="18">
        <f>H14*'GS 1k-4,999 Predicted Monthly'!$T$14</f>
        <v>3509355.4704038892</v>
      </c>
      <c r="O14" s="18">
        <f t="shared" si="4"/>
        <v>7122676.2261548024</v>
      </c>
      <c r="P14" s="18">
        <f t="shared" si="2"/>
        <v>-182431.60511733592</v>
      </c>
      <c r="Q14" s="270">
        <f t="shared" si="3"/>
        <v>2.4973157047233702E-2</v>
      </c>
      <c r="S14" s="1" t="s">
        <v>201</v>
      </c>
      <c r="T14" s="18">
        <v>113205.01517431901</v>
      </c>
      <c r="U14" s="18">
        <v>35071.410148130897</v>
      </c>
      <c r="V14" s="588">
        <v>3.2278432688099898</v>
      </c>
      <c r="W14" s="588">
        <v>1.6254126061297401E-3</v>
      </c>
    </row>
    <row r="15" spans="1:23" x14ac:dyDescent="0.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Data'!S15</f>
        <v>7115237.8781808047</v>
      </c>
      <c r="E15" s="269">
        <f>'Monthly Data'!BE15</f>
        <v>0</v>
      </c>
      <c r="F15" s="269">
        <f>'Monthly Data'!CG15</f>
        <v>0</v>
      </c>
      <c r="G15" s="269">
        <f>'Monthly Data'!AQ15</f>
        <v>205.6</v>
      </c>
      <c r="H15" s="269">
        <f>'Monthly Data'!CD15</f>
        <v>29</v>
      </c>
      <c r="J15" s="18">
        <f>'GS 1k-4,999 Predicted Monthly'!$T$10</f>
        <v>1375460.7545834701</v>
      </c>
      <c r="K15" s="18">
        <f>E15*'GS 1k-4,999 Predicted Monthly'!$T$11</f>
        <v>0</v>
      </c>
      <c r="L15" s="18">
        <f>F15*'GS 1k-4,999 Predicted Monthly'!$T$12</f>
        <v>0</v>
      </c>
      <c r="M15" s="18">
        <f>G15*'GS 1k-4,999 Predicted Monthly'!$T$13</f>
        <v>2253202.8219394037</v>
      </c>
      <c r="N15" s="18">
        <f>H15*'GS 1k-4,999 Predicted Monthly'!$T$14</f>
        <v>3282945.4400552511</v>
      </c>
      <c r="O15" s="18">
        <f t="shared" si="4"/>
        <v>6911609.0165781248</v>
      </c>
      <c r="P15" s="18">
        <f t="shared" si="2"/>
        <v>-203628.86160267983</v>
      </c>
      <c r="Q15" s="270">
        <f t="shared" si="3"/>
        <v>2.8618700469188366E-2</v>
      </c>
      <c r="T15" s="18"/>
      <c r="U15" s="18"/>
      <c r="V15" s="588"/>
      <c r="W15" s="588"/>
    </row>
    <row r="16" spans="1:23" x14ac:dyDescent="0.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Data'!S16</f>
        <v>7251476.8371827444</v>
      </c>
      <c r="E16" s="269">
        <f>'Monthly Data'!BE16</f>
        <v>0</v>
      </c>
      <c r="F16" s="269">
        <f>'Monthly Data'!CG16</f>
        <v>0</v>
      </c>
      <c r="G16" s="269">
        <f>'Monthly Data'!AQ16</f>
        <v>206.5</v>
      </c>
      <c r="H16" s="269">
        <f>'Monthly Data'!CD16</f>
        <v>31</v>
      </c>
      <c r="J16" s="18">
        <f>'GS 1k-4,999 Predicted Monthly'!$T$10</f>
        <v>1375460.7545834701</v>
      </c>
      <c r="K16" s="18">
        <f>E16*'GS 1k-4,999 Predicted Monthly'!$T$11</f>
        <v>0</v>
      </c>
      <c r="L16" s="18">
        <f>F16*'GS 1k-4,999 Predicted Monthly'!$T$12</f>
        <v>0</v>
      </c>
      <c r="M16" s="18">
        <f>G16*'GS 1k-4,999 Predicted Monthly'!$T$13</f>
        <v>2263066.0638642358</v>
      </c>
      <c r="N16" s="18">
        <f>H16*'GS 1k-4,999 Predicted Monthly'!$T$14</f>
        <v>3509355.4704038892</v>
      </c>
      <c r="O16" s="18">
        <f t="shared" si="4"/>
        <v>7147882.2888515946</v>
      </c>
      <c r="P16" s="18">
        <f t="shared" si="2"/>
        <v>-103594.54833114985</v>
      </c>
      <c r="Q16" s="270">
        <f t="shared" si="3"/>
        <v>1.4285993137281695E-2</v>
      </c>
      <c r="S16" s="1" t="s">
        <v>153</v>
      </c>
      <c r="T16" s="18"/>
      <c r="U16" s="18"/>
      <c r="V16" s="273"/>
    </row>
    <row r="17" spans="1:22" x14ac:dyDescent="0.25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Data'!S17</f>
        <v>7163584.4082842655</v>
      </c>
      <c r="E17" s="269">
        <f>'Monthly Data'!BE17</f>
        <v>0</v>
      </c>
      <c r="F17" s="269">
        <f>'Monthly Data'!CG17</f>
        <v>0</v>
      </c>
      <c r="G17" s="269">
        <f>'Monthly Data'!AQ17</f>
        <v>205.8</v>
      </c>
      <c r="H17" s="269">
        <f>'Monthly Data'!CD17</f>
        <v>30</v>
      </c>
      <c r="J17" s="18">
        <f>'GS 1k-4,999 Predicted Monthly'!$T$10</f>
        <v>1375460.7545834701</v>
      </c>
      <c r="K17" s="18">
        <f>E17*'GS 1k-4,999 Predicted Monthly'!$T$11</f>
        <v>0</v>
      </c>
      <c r="L17" s="18">
        <f>F17*'GS 1k-4,999 Predicted Monthly'!$T$12</f>
        <v>0</v>
      </c>
      <c r="M17" s="18">
        <f>G17*'GS 1k-4,999 Predicted Monthly'!$T$13</f>
        <v>2255394.653478255</v>
      </c>
      <c r="N17" s="18">
        <f>H17*'GS 1k-4,999 Predicted Monthly'!$T$14</f>
        <v>3396150.4552295702</v>
      </c>
      <c r="O17" s="18">
        <f t="shared" si="4"/>
        <v>7027005.8632912952</v>
      </c>
      <c r="P17" s="18">
        <f t="shared" si="2"/>
        <v>-136578.5449929703</v>
      </c>
      <c r="Q17" s="270">
        <f t="shared" si="3"/>
        <v>1.9065671207143902E-2</v>
      </c>
      <c r="S17" s="1" t="s">
        <v>154</v>
      </c>
      <c r="T17" s="1">
        <v>17135465264044.301</v>
      </c>
      <c r="U17" s="1" t="s">
        <v>155</v>
      </c>
      <c r="V17" s="18">
        <v>386010.42184674001</v>
      </c>
    </row>
    <row r="18" spans="1:22" x14ac:dyDescent="0.25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Data'!S18</f>
        <v>7587662.1759159202</v>
      </c>
      <c r="E18" s="269">
        <f>'Monthly Data'!BE18</f>
        <v>40.95416666666668</v>
      </c>
      <c r="F18" s="269">
        <f>'Monthly Data'!CG18</f>
        <v>0</v>
      </c>
      <c r="G18" s="269">
        <f>'Monthly Data'!AQ18</f>
        <v>206.1</v>
      </c>
      <c r="H18" s="269">
        <f>'Monthly Data'!CD18</f>
        <v>31</v>
      </c>
      <c r="J18" s="18">
        <f>'GS 1k-4,999 Predicted Monthly'!$T$10</f>
        <v>1375460.7545834701</v>
      </c>
      <c r="K18" s="18">
        <f>E18*'GS 1k-4,999 Predicted Monthly'!$T$11</f>
        <v>365934.59643936221</v>
      </c>
      <c r="L18" s="18">
        <f>F18*'GS 1k-4,999 Predicted Monthly'!$T$12</f>
        <v>0</v>
      </c>
      <c r="M18" s="18">
        <f>G18*'GS 1k-4,999 Predicted Monthly'!$T$13</f>
        <v>2258682.4007865326</v>
      </c>
      <c r="N18" s="18">
        <f>H18*'GS 1k-4,999 Predicted Monthly'!$T$14</f>
        <v>3509355.4704038892</v>
      </c>
      <c r="O18" s="18">
        <f t="shared" si="4"/>
        <v>7509433.2222132543</v>
      </c>
      <c r="P18" s="18">
        <f t="shared" si="2"/>
        <v>-78228.953702665865</v>
      </c>
      <c r="Q18" s="270">
        <f t="shared" si="3"/>
        <v>1.0310020647858206E-2</v>
      </c>
      <c r="S18" s="1" t="s">
        <v>156</v>
      </c>
      <c r="T18" s="275">
        <v>0.78053447379900498</v>
      </c>
      <c r="U18" s="1" t="s">
        <v>157</v>
      </c>
      <c r="V18" s="275">
        <v>0.77290089027897002</v>
      </c>
    </row>
    <row r="19" spans="1:22" x14ac:dyDescent="0.25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Data'!S19</f>
        <v>8266801.9215084706</v>
      </c>
      <c r="E19" s="269">
        <f>'Monthly Data'!BE19</f>
        <v>97.33750000000002</v>
      </c>
      <c r="F19" s="269">
        <f>'Monthly Data'!CG19</f>
        <v>0</v>
      </c>
      <c r="G19" s="269">
        <f>'Monthly Data'!AQ19</f>
        <v>204.7</v>
      </c>
      <c r="H19" s="269">
        <f>'Monthly Data'!CD19</f>
        <v>30</v>
      </c>
      <c r="J19" s="18">
        <f>'GS 1k-4,999 Predicted Monthly'!$T$10</f>
        <v>1375460.7545834701</v>
      </c>
      <c r="K19" s="18">
        <f>E19*'GS 1k-4,999 Predicted Monthly'!$T$11</f>
        <v>869732.23190761416</v>
      </c>
      <c r="L19" s="18">
        <f>F19*'GS 1k-4,999 Predicted Monthly'!$T$12</f>
        <v>0</v>
      </c>
      <c r="M19" s="18">
        <f>G19*'GS 1k-4,999 Predicted Monthly'!$T$13</f>
        <v>2243339.5800145715</v>
      </c>
      <c r="N19" s="18">
        <f>H19*'GS 1k-4,999 Predicted Monthly'!$T$14</f>
        <v>3396150.4552295702</v>
      </c>
      <c r="O19" s="18">
        <f t="shared" si="4"/>
        <v>7884683.0217352258</v>
      </c>
      <c r="P19" s="18">
        <f t="shared" si="2"/>
        <v>-382118.89977324475</v>
      </c>
      <c r="Q19" s="270">
        <f t="shared" si="3"/>
        <v>4.6223304175106963E-2</v>
      </c>
      <c r="S19" s="1" t="s">
        <v>199</v>
      </c>
      <c r="T19" s="272">
        <v>55.273121877867602</v>
      </c>
      <c r="U19" s="1" t="s">
        <v>159</v>
      </c>
      <c r="V19" s="272">
        <v>6.42480541354506E-26</v>
      </c>
    </row>
    <row r="20" spans="1:22" x14ac:dyDescent="0.25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Data'!S20</f>
        <v>9257660.4062251002</v>
      </c>
      <c r="E20" s="269">
        <f>'Monthly Data'!BE20</f>
        <v>189.22916666666666</v>
      </c>
      <c r="F20" s="269">
        <f>'Monthly Data'!CG20</f>
        <v>0</v>
      </c>
      <c r="G20" s="269">
        <f>'Monthly Data'!AQ20</f>
        <v>206.5</v>
      </c>
      <c r="H20" s="269">
        <f>'Monthly Data'!CD20</f>
        <v>31</v>
      </c>
      <c r="J20" s="18">
        <f>'GS 1k-4,999 Predicted Monthly'!$T$10</f>
        <v>1375460.7545834701</v>
      </c>
      <c r="K20" s="18">
        <f>E20*'GS 1k-4,999 Predicted Monthly'!$T$11</f>
        <v>1690804.7306230166</v>
      </c>
      <c r="L20" s="18">
        <f>F20*'GS 1k-4,999 Predicted Monthly'!$T$12</f>
        <v>0</v>
      </c>
      <c r="M20" s="18">
        <f>G20*'GS 1k-4,999 Predicted Monthly'!$T$13</f>
        <v>2263066.0638642358</v>
      </c>
      <c r="N20" s="18">
        <f>H20*'GS 1k-4,999 Predicted Monthly'!$T$14</f>
        <v>3509355.4704038892</v>
      </c>
      <c r="O20" s="18">
        <f t="shared" si="4"/>
        <v>8838687.0194746107</v>
      </c>
      <c r="P20" s="18">
        <f t="shared" si="2"/>
        <v>-418973.38675048947</v>
      </c>
      <c r="Q20" s="270">
        <f t="shared" si="3"/>
        <v>4.5256940562300223E-2</v>
      </c>
      <c r="S20" s="1" t="s">
        <v>160</v>
      </c>
      <c r="T20" s="2">
        <v>-5.0032200156403202E-2</v>
      </c>
      <c r="U20" s="1" t="s">
        <v>161</v>
      </c>
      <c r="V20" s="272">
        <v>2.0901700894461501</v>
      </c>
    </row>
    <row r="21" spans="1:22" x14ac:dyDescent="0.25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Data'!S21</f>
        <v>9581497.8125995416</v>
      </c>
      <c r="E21" s="269">
        <f>'Monthly Data'!BE21</f>
        <v>204.02500000000006</v>
      </c>
      <c r="F21" s="269">
        <f>'Monthly Data'!CG21</f>
        <v>0</v>
      </c>
      <c r="G21" s="269">
        <f>'Monthly Data'!AQ21</f>
        <v>209.3</v>
      </c>
      <c r="H21" s="269">
        <f>'Monthly Data'!CD21</f>
        <v>31</v>
      </c>
      <c r="J21" s="18">
        <f>'GS 1k-4,999 Predicted Monthly'!$T$10</f>
        <v>1375460.7545834701</v>
      </c>
      <c r="K21" s="18">
        <f>E21*'GS 1k-4,999 Predicted Monthly'!$T$11</f>
        <v>1823008.7953250392</v>
      </c>
      <c r="L21" s="18">
        <f>F21*'GS 1k-4,999 Predicted Monthly'!$T$12</f>
        <v>0</v>
      </c>
      <c r="M21" s="18">
        <f>G21*'GS 1k-4,999 Predicted Monthly'!$T$13</f>
        <v>2293751.7054081578</v>
      </c>
      <c r="N21" s="18">
        <f>H21*'GS 1k-4,999 Predicted Monthly'!$T$14</f>
        <v>3509355.4704038892</v>
      </c>
      <c r="O21" s="18">
        <f t="shared" si="4"/>
        <v>9001576.7257205565</v>
      </c>
      <c r="P21" s="18">
        <f t="shared" si="2"/>
        <v>-579921.08687898517</v>
      </c>
      <c r="Q21" s="270">
        <f t="shared" si="3"/>
        <v>6.0525097246945742E-2</v>
      </c>
      <c r="T21" s="272"/>
      <c r="V21" s="272"/>
    </row>
    <row r="22" spans="1:22" x14ac:dyDescent="0.25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Data'!S22</f>
        <v>8742623.7867525965</v>
      </c>
      <c r="E22" s="269">
        <f>'Monthly Data'!BE22</f>
        <v>71.529166666666654</v>
      </c>
      <c r="F22" s="269">
        <f>'Monthly Data'!CG22</f>
        <v>0</v>
      </c>
      <c r="G22" s="269">
        <f>'Monthly Data'!AQ22</f>
        <v>213.5</v>
      </c>
      <c r="H22" s="269">
        <f>'Monthly Data'!CD22</f>
        <v>30</v>
      </c>
      <c r="J22" s="18">
        <f>'GS 1k-4,999 Predicted Monthly'!$T$10</f>
        <v>1375460.7545834701</v>
      </c>
      <c r="K22" s="18">
        <f>E22*'GS 1k-4,999 Predicted Monthly'!$T$11</f>
        <v>639129.02808775345</v>
      </c>
      <c r="L22" s="18">
        <f>F22*'GS 1k-4,999 Predicted Monthly'!$T$12</f>
        <v>0</v>
      </c>
      <c r="M22" s="18">
        <f>G22*'GS 1k-4,999 Predicted Monthly'!$T$13</f>
        <v>2339780.1677240403</v>
      </c>
      <c r="N22" s="18">
        <f>H22*'GS 1k-4,999 Predicted Monthly'!$T$14</f>
        <v>3396150.4552295702</v>
      </c>
      <c r="O22" s="18">
        <f t="shared" si="4"/>
        <v>7750520.4056248339</v>
      </c>
      <c r="P22" s="18">
        <f t="shared" si="2"/>
        <v>-992103.38112776261</v>
      </c>
      <c r="Q22" s="270">
        <f t="shared" si="3"/>
        <v>0.11347890579840156</v>
      </c>
      <c r="S22" s="1" t="s">
        <v>162</v>
      </c>
    </row>
    <row r="23" spans="1:22" x14ac:dyDescent="0.25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Data'!S23</f>
        <v>7674378.604801679</v>
      </c>
      <c r="E23" s="269">
        <f>'Monthly Data'!BE23</f>
        <v>7.2541666666666735</v>
      </c>
      <c r="F23" s="269">
        <f>'Monthly Data'!CG23</f>
        <v>0</v>
      </c>
      <c r="G23" s="269">
        <f>'Monthly Data'!AQ23</f>
        <v>214.3</v>
      </c>
      <c r="H23" s="269">
        <f>'Monthly Data'!CD23</f>
        <v>31</v>
      </c>
      <c r="J23" s="18">
        <f>'GS 1k-4,999 Predicted Monthly'!$T$10</f>
        <v>1375460.7545834701</v>
      </c>
      <c r="K23" s="18">
        <f>E23*'GS 1k-4,999 Predicted Monthly'!$T$11</f>
        <v>64817.59409918914</v>
      </c>
      <c r="L23" s="18">
        <f>F23*'GS 1k-4,999 Predicted Monthly'!$T$12</f>
        <v>0</v>
      </c>
      <c r="M23" s="18">
        <f>G23*'GS 1k-4,999 Predicted Monthly'!$T$13</f>
        <v>2348547.4938794468</v>
      </c>
      <c r="N23" s="18">
        <f>H23*'GS 1k-4,999 Predicted Monthly'!$T$14</f>
        <v>3509355.4704038892</v>
      </c>
      <c r="O23" s="18">
        <f t="shared" si="4"/>
        <v>7298181.3129659947</v>
      </c>
      <c r="P23" s="18">
        <f t="shared" si="2"/>
        <v>-376197.29183568433</v>
      </c>
      <c r="Q23" s="270">
        <f t="shared" si="3"/>
        <v>4.901990261469593E-2</v>
      </c>
      <c r="S23" s="1" t="s">
        <v>163</v>
      </c>
      <c r="T23" s="18">
        <v>7369578.2793921698</v>
      </c>
      <c r="U23" s="1" t="s">
        <v>164</v>
      </c>
      <c r="V23" s="18">
        <v>807781.46141532797</v>
      </c>
    </row>
    <row r="24" spans="1:22" x14ac:dyDescent="0.25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Data'!S24</f>
        <v>7232382.6811063746</v>
      </c>
      <c r="E24" s="269">
        <f>'Monthly Data'!BE24</f>
        <v>0</v>
      </c>
      <c r="F24" s="269">
        <f>'Monthly Data'!CG24</f>
        <v>0</v>
      </c>
      <c r="G24" s="269">
        <f>'Monthly Data'!AQ24</f>
        <v>215.1</v>
      </c>
      <c r="H24" s="269">
        <f>'Monthly Data'!CD24</f>
        <v>30</v>
      </c>
      <c r="J24" s="18">
        <f>'GS 1k-4,999 Predicted Monthly'!$T$10</f>
        <v>1375460.7545834701</v>
      </c>
      <c r="K24" s="18">
        <f>E24*'GS 1k-4,999 Predicted Monthly'!$T$11</f>
        <v>0</v>
      </c>
      <c r="L24" s="18">
        <f>F24*'GS 1k-4,999 Predicted Monthly'!$T$12</f>
        <v>0</v>
      </c>
      <c r="M24" s="18">
        <f>G24*'GS 1k-4,999 Predicted Monthly'!$T$13</f>
        <v>2357314.8200348527</v>
      </c>
      <c r="N24" s="18">
        <f>H24*'GS 1k-4,999 Predicted Monthly'!$T$14</f>
        <v>3396150.4552295702</v>
      </c>
      <c r="O24" s="18">
        <f t="shared" si="4"/>
        <v>7128926.0298478929</v>
      </c>
      <c r="P24" s="18">
        <f t="shared" si="2"/>
        <v>-103456.65125848167</v>
      </c>
      <c r="Q24" s="270">
        <f t="shared" si="3"/>
        <v>1.4304642857014221E-2</v>
      </c>
    </row>
    <row r="25" spans="1:22" x14ac:dyDescent="0.25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Data'!S25</f>
        <v>7259200.5747319283</v>
      </c>
      <c r="E25" s="269">
        <f>'Monthly Data'!BE25</f>
        <v>0</v>
      </c>
      <c r="F25" s="269">
        <f>'Monthly Data'!CG25</f>
        <v>0</v>
      </c>
      <c r="G25" s="269">
        <f>'Monthly Data'!AQ25</f>
        <v>215.7</v>
      </c>
      <c r="H25" s="269">
        <f>'Monthly Data'!CD25</f>
        <v>31</v>
      </c>
      <c r="J25" s="18">
        <f>'GS 1k-4,999 Predicted Monthly'!$T$10</f>
        <v>1375460.7545834701</v>
      </c>
      <c r="K25" s="18">
        <f>E25*'GS 1k-4,999 Predicted Monthly'!$T$11</f>
        <v>0</v>
      </c>
      <c r="L25" s="18">
        <f>F25*'GS 1k-4,999 Predicted Monthly'!$T$12</f>
        <v>0</v>
      </c>
      <c r="M25" s="18">
        <f>G25*'GS 1k-4,999 Predicted Monthly'!$T$13</f>
        <v>2363890.3146514073</v>
      </c>
      <c r="N25" s="18">
        <f>H25*'GS 1k-4,999 Predicted Monthly'!$T$14</f>
        <v>3509355.4704038892</v>
      </c>
      <c r="O25" s="18">
        <f t="shared" si="4"/>
        <v>7248706.539638767</v>
      </c>
      <c r="P25" s="18">
        <f t="shared" si="2"/>
        <v>-10494.035093161277</v>
      </c>
      <c r="Q25" s="270">
        <f t="shared" si="3"/>
        <v>1.4456185615933069E-3</v>
      </c>
      <c r="T25" s="18"/>
      <c r="V25" s="18"/>
    </row>
    <row r="26" spans="1:22" x14ac:dyDescent="0.25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Data'!S26</f>
        <v>7748576.2980715707</v>
      </c>
      <c r="E26" s="269">
        <f>'Monthly Data'!BE26</f>
        <v>0</v>
      </c>
      <c r="F26" s="269">
        <f>'Monthly Data'!CG26</f>
        <v>0</v>
      </c>
      <c r="G26" s="269">
        <f>'Monthly Data'!AQ26</f>
        <v>215.5</v>
      </c>
      <c r="H26" s="269">
        <f>'Monthly Data'!CD26</f>
        <v>31</v>
      </c>
      <c r="J26" s="18">
        <f>'GS 1k-4,999 Predicted Monthly'!$T$10</f>
        <v>1375460.7545834701</v>
      </c>
      <c r="K26" s="18">
        <f>E26*'GS 1k-4,999 Predicted Monthly'!$T$11</f>
        <v>0</v>
      </c>
      <c r="L26" s="18">
        <f>F26*'GS 1k-4,999 Predicted Monthly'!$T$12</f>
        <v>0</v>
      </c>
      <c r="M26" s="18">
        <f>G26*'GS 1k-4,999 Predicted Monthly'!$T$13</f>
        <v>2361698.4831125559</v>
      </c>
      <c r="N26" s="18">
        <f>H26*'GS 1k-4,999 Predicted Monthly'!$T$14</f>
        <v>3509355.4704038892</v>
      </c>
      <c r="O26" s="18">
        <f t="shared" si="4"/>
        <v>7246514.7080999147</v>
      </c>
      <c r="P26" s="18">
        <f t="shared" si="2"/>
        <v>-502061.58997165598</v>
      </c>
      <c r="Q26" s="270">
        <f t="shared" si="3"/>
        <v>6.4794043532436618E-2</v>
      </c>
    </row>
    <row r="27" spans="1:22" x14ac:dyDescent="0.25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Data'!S27</f>
        <v>7030359.4291701298</v>
      </c>
      <c r="E27" s="269">
        <f>'Monthly Data'!BE27</f>
        <v>0</v>
      </c>
      <c r="F27" s="269">
        <f>'Monthly Data'!CG27</f>
        <v>0</v>
      </c>
      <c r="G27" s="269">
        <f>'Monthly Data'!AQ27</f>
        <v>209.8</v>
      </c>
      <c r="H27" s="269">
        <f>'Monthly Data'!CD27</f>
        <v>28</v>
      </c>
      <c r="J27" s="18">
        <f>'GS 1k-4,999 Predicted Monthly'!$T$10</f>
        <v>1375460.7545834701</v>
      </c>
      <c r="K27" s="18">
        <f>E27*'GS 1k-4,999 Predicted Monthly'!$T$11</f>
        <v>0</v>
      </c>
      <c r="L27" s="18">
        <f>F27*'GS 1k-4,999 Predicted Monthly'!$T$12</f>
        <v>0</v>
      </c>
      <c r="M27" s="18">
        <f>G27*'GS 1k-4,999 Predicted Monthly'!$T$13</f>
        <v>2299231.2842552867</v>
      </c>
      <c r="N27" s="18">
        <f>H27*'GS 1k-4,999 Predicted Monthly'!$T$14</f>
        <v>3169740.4248809321</v>
      </c>
      <c r="O27" s="18">
        <f t="shared" si="4"/>
        <v>6844432.4637196884</v>
      </c>
      <c r="P27" s="18">
        <f t="shared" si="2"/>
        <v>-185926.96545044146</v>
      </c>
      <c r="Q27" s="270">
        <f t="shared" si="3"/>
        <v>2.6446295857790653E-2</v>
      </c>
    </row>
    <row r="28" spans="1:22" x14ac:dyDescent="0.25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Data'!S28</f>
        <v>7867386.6453418816</v>
      </c>
      <c r="E28" s="269">
        <f>'Monthly Data'!BE28</f>
        <v>0</v>
      </c>
      <c r="F28" s="269">
        <f>'Monthly Data'!CG28</f>
        <v>0</v>
      </c>
      <c r="G28" s="269">
        <f>'Monthly Data'!AQ28</f>
        <v>203.2</v>
      </c>
      <c r="H28" s="269">
        <f>'Monthly Data'!CD28</f>
        <v>31</v>
      </c>
      <c r="J28" s="18">
        <f>'GS 1k-4,999 Predicted Monthly'!$T$10</f>
        <v>1375460.7545834701</v>
      </c>
      <c r="K28" s="18">
        <f>E28*'GS 1k-4,999 Predicted Monthly'!$T$11</f>
        <v>0</v>
      </c>
      <c r="L28" s="18">
        <f>F28*'GS 1k-4,999 Predicted Monthly'!$T$12</f>
        <v>0</v>
      </c>
      <c r="M28" s="18">
        <f>G28*'GS 1k-4,999 Predicted Monthly'!$T$13</f>
        <v>2226900.8434731849</v>
      </c>
      <c r="N28" s="18">
        <f>H28*'GS 1k-4,999 Predicted Monthly'!$T$14</f>
        <v>3509355.4704038892</v>
      </c>
      <c r="O28" s="18">
        <f t="shared" si="4"/>
        <v>7111717.0684605446</v>
      </c>
      <c r="P28" s="18">
        <f t="shared" si="2"/>
        <v>-755669.57688133698</v>
      </c>
      <c r="Q28" s="270">
        <f t="shared" si="3"/>
        <v>9.6050901137387651E-2</v>
      </c>
    </row>
    <row r="29" spans="1:22" x14ac:dyDescent="0.25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Data'!S29</f>
        <v>7658302.3379697306</v>
      </c>
      <c r="E29" s="269">
        <f>'Monthly Data'!BE29</f>
        <v>2.3458333333333385</v>
      </c>
      <c r="F29" s="269">
        <f>'Monthly Data'!CG29</f>
        <v>0</v>
      </c>
      <c r="G29" s="269">
        <f>'Monthly Data'!AQ29</f>
        <v>200</v>
      </c>
      <c r="H29" s="269">
        <f>'Monthly Data'!CD29</f>
        <v>30</v>
      </c>
      <c r="J29" s="18">
        <f>'GS 1k-4,999 Predicted Monthly'!$T$10</f>
        <v>1375460.7545834701</v>
      </c>
      <c r="K29" s="18">
        <f>E29*'GS 1k-4,999 Predicted Monthly'!$T$11</f>
        <v>20960.543065964121</v>
      </c>
      <c r="L29" s="18">
        <f>F29*'GS 1k-4,999 Predicted Monthly'!$T$12</f>
        <v>0</v>
      </c>
      <c r="M29" s="18">
        <f>G29*'GS 1k-4,999 Predicted Monthly'!$T$13</f>
        <v>2191831.5388515601</v>
      </c>
      <c r="N29" s="18">
        <f>H29*'GS 1k-4,999 Predicted Monthly'!$T$14</f>
        <v>3396150.4552295702</v>
      </c>
      <c r="O29" s="18">
        <f t="shared" si="4"/>
        <v>6984403.2917305641</v>
      </c>
      <c r="P29" s="18">
        <f t="shared" si="2"/>
        <v>-673899.04623916652</v>
      </c>
      <c r="Q29" s="270">
        <f t="shared" si="3"/>
        <v>8.7995879047238282E-2</v>
      </c>
    </row>
    <row r="30" spans="1:22" x14ac:dyDescent="0.25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Data'!S30</f>
        <v>7506438.3334006667</v>
      </c>
      <c r="E30" s="269">
        <f>'Monthly Data'!BE30</f>
        <v>13.075000000000003</v>
      </c>
      <c r="F30" s="269">
        <f>'Monthly Data'!CG30</f>
        <v>0</v>
      </c>
      <c r="G30" s="269">
        <f>'Monthly Data'!AQ30</f>
        <v>202.9</v>
      </c>
      <c r="H30" s="269">
        <f>'Monthly Data'!CD30</f>
        <v>31</v>
      </c>
      <c r="J30" s="18">
        <f>'GS 1k-4,999 Predicted Monthly'!$T$10</f>
        <v>1375460.7545834701</v>
      </c>
      <c r="K30" s="18">
        <f>E30*'GS 1k-4,999 Predicted Monthly'!$T$11</f>
        <v>116828.03577441434</v>
      </c>
      <c r="L30" s="18">
        <f>F30*'GS 1k-4,999 Predicted Monthly'!$T$12</f>
        <v>0</v>
      </c>
      <c r="M30" s="18">
        <f>G30*'GS 1k-4,999 Predicted Monthly'!$T$13</f>
        <v>2223613.0961649078</v>
      </c>
      <c r="N30" s="18">
        <f>H30*'GS 1k-4,999 Predicted Monthly'!$T$14</f>
        <v>3509355.4704038892</v>
      </c>
      <c r="O30" s="18">
        <f t="shared" si="4"/>
        <v>7225257.3569266815</v>
      </c>
      <c r="P30" s="18">
        <f t="shared" si="2"/>
        <v>-281180.97647398524</v>
      </c>
      <c r="Q30" s="270">
        <f t="shared" si="3"/>
        <v>3.7458640700855646E-2</v>
      </c>
    </row>
    <row r="31" spans="1:22" x14ac:dyDescent="0.25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Data'!S31</f>
        <v>8030339.2459057812</v>
      </c>
      <c r="E31" s="269">
        <f>'Monthly Data'!BE31</f>
        <v>68.909166666666678</v>
      </c>
      <c r="F31" s="269">
        <f>'Monthly Data'!CG31</f>
        <v>0</v>
      </c>
      <c r="G31" s="269">
        <f>'Monthly Data'!AQ31</f>
        <v>206.7</v>
      </c>
      <c r="H31" s="269">
        <f>'Monthly Data'!CD31</f>
        <v>30</v>
      </c>
      <c r="J31" s="18">
        <f>'GS 1k-4,999 Predicted Monthly'!$T$10</f>
        <v>1375460.7545834701</v>
      </c>
      <c r="K31" s="18">
        <f>E31*'GS 1k-4,999 Predicted Monthly'!$T$11</f>
        <v>615718.74481976393</v>
      </c>
      <c r="L31" s="18">
        <f>F31*'GS 1k-4,999 Predicted Monthly'!$T$12</f>
        <v>0</v>
      </c>
      <c r="M31" s="18">
        <f>G31*'GS 1k-4,999 Predicted Monthly'!$T$13</f>
        <v>2265257.8954030871</v>
      </c>
      <c r="N31" s="18">
        <f>H31*'GS 1k-4,999 Predicted Monthly'!$T$14</f>
        <v>3396150.4552295702</v>
      </c>
      <c r="O31" s="18">
        <f t="shared" si="4"/>
        <v>7652587.8500358919</v>
      </c>
      <c r="P31" s="18">
        <f t="shared" si="2"/>
        <v>-377751.3958698893</v>
      </c>
      <c r="Q31" s="270">
        <f t="shared" si="3"/>
        <v>4.7040527716495105E-2</v>
      </c>
    </row>
    <row r="32" spans="1:22" x14ac:dyDescent="0.25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Data'!S32</f>
        <v>8822626.0175652429</v>
      </c>
      <c r="E32" s="269">
        <f>'Monthly Data'!BE32</f>
        <v>136.16666666666663</v>
      </c>
      <c r="F32" s="269">
        <f>'Monthly Data'!CG32</f>
        <v>0</v>
      </c>
      <c r="G32" s="269">
        <f>'Monthly Data'!AQ32</f>
        <v>207</v>
      </c>
      <c r="H32" s="269">
        <f>'Monthly Data'!CD32</f>
        <v>31</v>
      </c>
      <c r="J32" s="18">
        <f>'GS 1k-4,999 Predicted Monthly'!$T$10</f>
        <v>1375460.7545834701</v>
      </c>
      <c r="K32" s="18">
        <f>E32*'GS 1k-4,999 Predicted Monthly'!$T$11</f>
        <v>1216679.4802765644</v>
      </c>
      <c r="L32" s="18">
        <f>F32*'GS 1k-4,999 Predicted Monthly'!$T$12</f>
        <v>0</v>
      </c>
      <c r="M32" s="18">
        <f>G32*'GS 1k-4,999 Predicted Monthly'!$T$13</f>
        <v>2268545.6427113647</v>
      </c>
      <c r="N32" s="18">
        <f>H32*'GS 1k-4,999 Predicted Monthly'!$T$14</f>
        <v>3509355.4704038892</v>
      </c>
      <c r="O32" s="18">
        <f t="shared" si="4"/>
        <v>8370041.3479752885</v>
      </c>
      <c r="P32" s="18">
        <f t="shared" si="2"/>
        <v>-452584.66958995443</v>
      </c>
      <c r="Q32" s="270">
        <f t="shared" si="3"/>
        <v>5.1298181367870455E-2</v>
      </c>
    </row>
    <row r="33" spans="1:17" x14ac:dyDescent="0.2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Data'!S33</f>
        <v>9105942.2354655229</v>
      </c>
      <c r="E33" s="269">
        <f>'Monthly Data'!BE33</f>
        <v>97.06576086956521</v>
      </c>
      <c r="F33" s="269">
        <f>'Monthly Data'!CG33</f>
        <v>0</v>
      </c>
      <c r="G33" s="269">
        <f>'Monthly Data'!AQ33</f>
        <v>208.1</v>
      </c>
      <c r="H33" s="269">
        <f>'Monthly Data'!CD33</f>
        <v>31</v>
      </c>
      <c r="J33" s="18">
        <f>'GS 1k-4,999 Predicted Monthly'!$T$10</f>
        <v>1375460.7545834701</v>
      </c>
      <c r="K33" s="18">
        <f>E33*'GS 1k-4,999 Predicted Monthly'!$T$11</f>
        <v>867304.18228224164</v>
      </c>
      <c r="L33" s="18">
        <f>F33*'GS 1k-4,999 Predicted Monthly'!$T$12</f>
        <v>0</v>
      </c>
      <c r="M33" s="18">
        <f>G33*'GS 1k-4,999 Predicted Monthly'!$T$13</f>
        <v>2280600.7161750481</v>
      </c>
      <c r="N33" s="18">
        <f>H33*'GS 1k-4,999 Predicted Monthly'!$T$14</f>
        <v>3509355.4704038892</v>
      </c>
      <c r="O33" s="18">
        <f t="shared" si="4"/>
        <v>8032721.1234446485</v>
      </c>
      <c r="P33" s="18">
        <f t="shared" si="2"/>
        <v>-1073221.1120208744</v>
      </c>
      <c r="Q33" s="270">
        <f t="shared" si="3"/>
        <v>0.11785942456794073</v>
      </c>
    </row>
    <row r="34" spans="1:17" x14ac:dyDescent="0.2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Data'!S34</f>
        <v>7578589.9761335328</v>
      </c>
      <c r="E34" s="269">
        <f>'Monthly Data'!BE34</f>
        <v>73.237499999999983</v>
      </c>
      <c r="F34" s="269">
        <f>'Monthly Data'!CG34</f>
        <v>0</v>
      </c>
      <c r="G34" s="269">
        <f>'Monthly Data'!AQ34</f>
        <v>208.1</v>
      </c>
      <c r="H34" s="269">
        <f>'Monthly Data'!CD34</f>
        <v>30</v>
      </c>
      <c r="J34" s="18">
        <f>'GS 1k-4,999 Predicted Monthly'!$T$10</f>
        <v>1375460.7545834701</v>
      </c>
      <c r="K34" s="18">
        <f>E34*'GS 1k-4,999 Predicted Monthly'!$T$11</f>
        <v>654393.36673259398</v>
      </c>
      <c r="L34" s="18">
        <f>F34*'GS 1k-4,999 Predicted Monthly'!$T$12</f>
        <v>0</v>
      </c>
      <c r="M34" s="18">
        <f>G34*'GS 1k-4,999 Predicted Monthly'!$T$13</f>
        <v>2280600.7161750481</v>
      </c>
      <c r="N34" s="18">
        <f>H34*'GS 1k-4,999 Predicted Monthly'!$T$14</f>
        <v>3396150.4552295702</v>
      </c>
      <c r="O34" s="18">
        <f t="shared" si="4"/>
        <v>7706605.292720682</v>
      </c>
      <c r="P34" s="18">
        <f t="shared" ref="P34:P65" si="5">O34-D34</f>
        <v>128015.31658714917</v>
      </c>
      <c r="Q34" s="270">
        <f t="shared" ref="Q34:Q65" si="6">ABS(P34/D34)</f>
        <v>1.6891706371540686E-2</v>
      </c>
    </row>
    <row r="35" spans="1:17" x14ac:dyDescent="0.2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Data'!S35</f>
        <v>7201241.0247569699</v>
      </c>
      <c r="E35" s="269">
        <f>'Monthly Data'!BE35</f>
        <v>10.279166666666672</v>
      </c>
      <c r="F35" s="269">
        <f>'Monthly Data'!CG35</f>
        <v>0</v>
      </c>
      <c r="G35" s="269">
        <f>'Monthly Data'!AQ35</f>
        <v>209.9</v>
      </c>
      <c r="H35" s="269">
        <f>'Monthly Data'!CD35</f>
        <v>31</v>
      </c>
      <c r="J35" s="18">
        <f>'GS 1k-4,999 Predicted Monthly'!$T$10</f>
        <v>1375460.7545834701</v>
      </c>
      <c r="K35" s="18">
        <f>E35*'GS 1k-4,999 Predicted Monthly'!$T$11</f>
        <v>91846.642528833734</v>
      </c>
      <c r="L35" s="18">
        <f>F35*'GS 1k-4,999 Predicted Monthly'!$T$12</f>
        <v>0</v>
      </c>
      <c r="M35" s="18">
        <f>G35*'GS 1k-4,999 Predicted Monthly'!$T$13</f>
        <v>2300327.2000247124</v>
      </c>
      <c r="N35" s="18">
        <f>H35*'GS 1k-4,999 Predicted Monthly'!$T$14</f>
        <v>3509355.4704038892</v>
      </c>
      <c r="O35" s="18">
        <f t="shared" si="4"/>
        <v>7276990.0675409054</v>
      </c>
      <c r="P35" s="18">
        <f t="shared" si="5"/>
        <v>75749.042783935554</v>
      </c>
      <c r="Q35" s="270">
        <f t="shared" si="6"/>
        <v>1.0518887303385594E-2</v>
      </c>
    </row>
    <row r="36" spans="1:17" x14ac:dyDescent="0.2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Data'!S36</f>
        <v>7272686.6406943528</v>
      </c>
      <c r="E36" s="269">
        <f>'Monthly Data'!BE36</f>
        <v>0</v>
      </c>
      <c r="F36" s="269">
        <f>'Monthly Data'!CG36</f>
        <v>0</v>
      </c>
      <c r="G36" s="269">
        <f>'Monthly Data'!AQ36</f>
        <v>209</v>
      </c>
      <c r="H36" s="269">
        <f>'Monthly Data'!CD36</f>
        <v>30</v>
      </c>
      <c r="J36" s="18">
        <f>'GS 1k-4,999 Predicted Monthly'!$T$10</f>
        <v>1375460.7545834701</v>
      </c>
      <c r="K36" s="18">
        <f>E36*'GS 1k-4,999 Predicted Monthly'!$T$11</f>
        <v>0</v>
      </c>
      <c r="L36" s="18">
        <f>F36*'GS 1k-4,999 Predicted Monthly'!$T$12</f>
        <v>0</v>
      </c>
      <c r="M36" s="18">
        <f>G36*'GS 1k-4,999 Predicted Monthly'!$T$13</f>
        <v>2290463.9580998803</v>
      </c>
      <c r="N36" s="18">
        <f>H36*'GS 1k-4,999 Predicted Monthly'!$T$14</f>
        <v>3396150.4552295702</v>
      </c>
      <c r="O36" s="18">
        <f t="shared" si="4"/>
        <v>7062075.1679129209</v>
      </c>
      <c r="P36" s="18">
        <f t="shared" si="5"/>
        <v>-210611.47278143186</v>
      </c>
      <c r="Q36" s="270">
        <f t="shared" si="6"/>
        <v>2.8959239299952009E-2</v>
      </c>
    </row>
    <row r="37" spans="1:17" x14ac:dyDescent="0.2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Data'!S37</f>
        <v>6901002.2880553724</v>
      </c>
      <c r="E37" s="269">
        <f>'Monthly Data'!BE37</f>
        <v>0</v>
      </c>
      <c r="F37" s="269">
        <f>'Monthly Data'!CG37</f>
        <v>0</v>
      </c>
      <c r="G37" s="269">
        <f>'Monthly Data'!AQ37</f>
        <v>208</v>
      </c>
      <c r="H37" s="269">
        <f>'Monthly Data'!CD37</f>
        <v>31</v>
      </c>
      <c r="J37" s="18">
        <f>'GS 1k-4,999 Predicted Monthly'!$T$10</f>
        <v>1375460.7545834701</v>
      </c>
      <c r="K37" s="18">
        <f>E37*'GS 1k-4,999 Predicted Monthly'!$T$11</f>
        <v>0</v>
      </c>
      <c r="L37" s="18">
        <f>F37*'GS 1k-4,999 Predicted Monthly'!$T$12</f>
        <v>0</v>
      </c>
      <c r="M37" s="18">
        <f>G37*'GS 1k-4,999 Predicted Monthly'!$T$13</f>
        <v>2279504.8004056225</v>
      </c>
      <c r="N37" s="18">
        <f>H37*'GS 1k-4,999 Predicted Monthly'!$T$14</f>
        <v>3509355.4704038892</v>
      </c>
      <c r="O37" s="18">
        <f t="shared" si="4"/>
        <v>7164321.0253929812</v>
      </c>
      <c r="P37" s="18">
        <f t="shared" si="5"/>
        <v>263318.73733760882</v>
      </c>
      <c r="Q37" s="270">
        <f t="shared" si="6"/>
        <v>3.8156593252167893E-2</v>
      </c>
    </row>
    <row r="38" spans="1:17" x14ac:dyDescent="0.2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Data'!S38</f>
        <v>7124030.899678275</v>
      </c>
      <c r="E38" s="269">
        <f>'Monthly Data'!BE38</f>
        <v>0</v>
      </c>
      <c r="F38" s="269">
        <f>'Monthly Data'!CG38</f>
        <v>0</v>
      </c>
      <c r="G38" s="269">
        <f>'Monthly Data'!AQ38</f>
        <v>206.9</v>
      </c>
      <c r="H38" s="269">
        <f>'Monthly Data'!CD38</f>
        <v>31</v>
      </c>
      <c r="J38" s="18">
        <f>'GS 1k-4,999 Predicted Monthly'!$T$10</f>
        <v>1375460.7545834701</v>
      </c>
      <c r="K38" s="18">
        <f>E38*'GS 1k-4,999 Predicted Monthly'!$T$11</f>
        <v>0</v>
      </c>
      <c r="L38" s="18">
        <f>F38*'GS 1k-4,999 Predicted Monthly'!$T$12</f>
        <v>0</v>
      </c>
      <c r="M38" s="18">
        <f>G38*'GS 1k-4,999 Predicted Monthly'!$T$13</f>
        <v>2267449.726941939</v>
      </c>
      <c r="N38" s="18">
        <f>H38*'GS 1k-4,999 Predicted Monthly'!$T$14</f>
        <v>3509355.4704038892</v>
      </c>
      <c r="O38" s="18">
        <f t="shared" si="4"/>
        <v>7152265.9519292982</v>
      </c>
      <c r="P38" s="18">
        <f t="shared" si="5"/>
        <v>28235.05225102324</v>
      </c>
      <c r="Q38" s="270">
        <f t="shared" si="6"/>
        <v>3.9633534228912942E-3</v>
      </c>
    </row>
    <row r="39" spans="1:17" x14ac:dyDescent="0.2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Data'!S39</f>
        <v>6399514.7034799419</v>
      </c>
      <c r="E39" s="269">
        <f>'Monthly Data'!BE39</f>
        <v>0</v>
      </c>
      <c r="F39" s="269">
        <f>'Monthly Data'!CG39</f>
        <v>0</v>
      </c>
      <c r="G39" s="269">
        <f>'Monthly Data'!AQ39</f>
        <v>207.4</v>
      </c>
      <c r="H39" s="269">
        <f>'Monthly Data'!CD39</f>
        <v>28</v>
      </c>
      <c r="J39" s="18">
        <f>'GS 1k-4,999 Predicted Monthly'!$T$10</f>
        <v>1375460.7545834701</v>
      </c>
      <c r="K39" s="18">
        <f>E39*'GS 1k-4,999 Predicted Monthly'!$T$11</f>
        <v>0</v>
      </c>
      <c r="L39" s="18">
        <f>F39*'GS 1k-4,999 Predicted Monthly'!$T$12</f>
        <v>0</v>
      </c>
      <c r="M39" s="18">
        <f>G39*'GS 1k-4,999 Predicted Monthly'!$T$13</f>
        <v>2272929.3057890679</v>
      </c>
      <c r="N39" s="18">
        <f>H39*'GS 1k-4,999 Predicted Monthly'!$T$14</f>
        <v>3169740.4248809321</v>
      </c>
      <c r="O39" s="18">
        <f t="shared" si="4"/>
        <v>6818130.48525347</v>
      </c>
      <c r="P39" s="18">
        <f t="shared" si="5"/>
        <v>418615.78177352808</v>
      </c>
      <c r="Q39" s="270">
        <f t="shared" si="6"/>
        <v>6.5413676062950885E-2</v>
      </c>
    </row>
    <row r="40" spans="1:17" x14ac:dyDescent="0.2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Data'!S40</f>
        <v>6880257.4649304906</v>
      </c>
      <c r="E40" s="269">
        <f>'Monthly Data'!BE40</f>
        <v>0</v>
      </c>
      <c r="F40" s="269">
        <f>'Monthly Data'!CG40</f>
        <v>0</v>
      </c>
      <c r="G40" s="269">
        <f>'Monthly Data'!AQ40</f>
        <v>210.4</v>
      </c>
      <c r="H40" s="269">
        <f>'Monthly Data'!CD40</f>
        <v>31</v>
      </c>
      <c r="J40" s="18">
        <f>'GS 1k-4,999 Predicted Monthly'!$T$10</f>
        <v>1375460.7545834701</v>
      </c>
      <c r="K40" s="18">
        <f>E40*'GS 1k-4,999 Predicted Monthly'!$T$11</f>
        <v>0</v>
      </c>
      <c r="L40" s="18">
        <f>F40*'GS 1k-4,999 Predicted Monthly'!$T$12</f>
        <v>0</v>
      </c>
      <c r="M40" s="18">
        <f>G40*'GS 1k-4,999 Predicted Monthly'!$T$13</f>
        <v>2305806.7788718413</v>
      </c>
      <c r="N40" s="18">
        <f>H40*'GS 1k-4,999 Predicted Monthly'!$T$14</f>
        <v>3509355.4704038892</v>
      </c>
      <c r="O40" s="18">
        <f t="shared" si="4"/>
        <v>7190623.0038592005</v>
      </c>
      <c r="P40" s="18">
        <f t="shared" si="5"/>
        <v>310365.53892870992</v>
      </c>
      <c r="Q40" s="270">
        <f t="shared" si="6"/>
        <v>4.5109582092048274E-2</v>
      </c>
    </row>
    <row r="41" spans="1:17" x14ac:dyDescent="0.2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Data'!S41</f>
        <v>7045665.0089409975</v>
      </c>
      <c r="E41" s="269">
        <f>'Monthly Data'!BE41</f>
        <v>0</v>
      </c>
      <c r="F41" s="269">
        <f>'Monthly Data'!CG41</f>
        <v>0</v>
      </c>
      <c r="G41" s="269">
        <f>'Monthly Data'!AQ41</f>
        <v>214.5</v>
      </c>
      <c r="H41" s="269">
        <f>'Monthly Data'!CD41</f>
        <v>30</v>
      </c>
      <c r="J41" s="18">
        <f>'GS 1k-4,999 Predicted Monthly'!$T$10</f>
        <v>1375460.7545834701</v>
      </c>
      <c r="K41" s="18">
        <f>E41*'GS 1k-4,999 Predicted Monthly'!$T$11</f>
        <v>0</v>
      </c>
      <c r="L41" s="18">
        <f>F41*'GS 1k-4,999 Predicted Monthly'!$T$12</f>
        <v>0</v>
      </c>
      <c r="M41" s="18">
        <f>G41*'GS 1k-4,999 Predicted Monthly'!$T$13</f>
        <v>2350739.3254182981</v>
      </c>
      <c r="N41" s="18">
        <f>H41*'GS 1k-4,999 Predicted Monthly'!$T$14</f>
        <v>3396150.4552295702</v>
      </c>
      <c r="O41" s="18">
        <f t="shared" si="4"/>
        <v>7122350.5352313388</v>
      </c>
      <c r="P41" s="18">
        <f t="shared" si="5"/>
        <v>76685.52629034128</v>
      </c>
      <c r="Q41" s="270">
        <f t="shared" si="6"/>
        <v>1.0884072148338989E-2</v>
      </c>
    </row>
    <row r="42" spans="1:17" x14ac:dyDescent="0.2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Data'!S42</f>
        <v>7498547.6286311271</v>
      </c>
      <c r="E42" s="269">
        <f>'Monthly Data'!BE42</f>
        <v>50.000541125541133</v>
      </c>
      <c r="F42" s="269">
        <f>'Monthly Data'!CG42</f>
        <v>0</v>
      </c>
      <c r="G42" s="269">
        <f>'Monthly Data'!AQ42</f>
        <v>218.3</v>
      </c>
      <c r="H42" s="269">
        <f>'Monthly Data'!CD42</f>
        <v>31</v>
      </c>
      <c r="J42" s="18">
        <f>'GS 1k-4,999 Predicted Monthly'!$T$10</f>
        <v>1375460.7545834701</v>
      </c>
      <c r="K42" s="18">
        <f>E42*'GS 1k-4,999 Predicted Monthly'!$T$11</f>
        <v>446765.96614568209</v>
      </c>
      <c r="L42" s="18">
        <f>F42*'GS 1k-4,999 Predicted Monthly'!$T$12</f>
        <v>0</v>
      </c>
      <c r="M42" s="18">
        <f>G42*'GS 1k-4,999 Predicted Monthly'!$T$13</f>
        <v>2392384.1246564779</v>
      </c>
      <c r="N42" s="18">
        <f>H42*'GS 1k-4,999 Predicted Monthly'!$T$14</f>
        <v>3509355.4704038892</v>
      </c>
      <c r="O42" s="18">
        <f t="shared" si="4"/>
        <v>7723966.3157895189</v>
      </c>
      <c r="P42" s="18">
        <f t="shared" si="5"/>
        <v>225418.68715839181</v>
      </c>
      <c r="Q42" s="270">
        <f t="shared" si="6"/>
        <v>3.0061646377718933E-2</v>
      </c>
    </row>
    <row r="43" spans="1:17" x14ac:dyDescent="0.2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Data'!S43</f>
        <v>7218892.5771825379</v>
      </c>
      <c r="E43" s="269">
        <f>'Monthly Data'!BE43</f>
        <v>85.839772727272717</v>
      </c>
      <c r="F43" s="269">
        <f>'Monthly Data'!CG43</f>
        <v>0</v>
      </c>
      <c r="G43" s="269">
        <f>'Monthly Data'!AQ43</f>
        <v>220.4</v>
      </c>
      <c r="H43" s="269">
        <f>'Monthly Data'!CD43</f>
        <v>30</v>
      </c>
      <c r="J43" s="18">
        <f>'GS 1k-4,999 Predicted Monthly'!$T$10</f>
        <v>1375460.7545834701</v>
      </c>
      <c r="K43" s="18">
        <f>E43*'GS 1k-4,999 Predicted Monthly'!$T$11</f>
        <v>766997.47908599698</v>
      </c>
      <c r="L43" s="18">
        <f>F43*'GS 1k-4,999 Predicted Monthly'!$T$12</f>
        <v>0</v>
      </c>
      <c r="M43" s="18">
        <f>G43*'GS 1k-4,999 Predicted Monthly'!$T$13</f>
        <v>2415398.3558144192</v>
      </c>
      <c r="N43" s="18">
        <f>H43*'GS 1k-4,999 Predicted Monthly'!$T$14</f>
        <v>3396150.4552295702</v>
      </c>
      <c r="O43" s="18">
        <f t="shared" si="4"/>
        <v>7954007.0447134571</v>
      </c>
      <c r="P43" s="18">
        <f t="shared" si="5"/>
        <v>735114.46753091924</v>
      </c>
      <c r="Q43" s="270">
        <f t="shared" si="6"/>
        <v>0.10183202751270572</v>
      </c>
    </row>
    <row r="44" spans="1:17" x14ac:dyDescent="0.2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Data'!S44</f>
        <v>7674844.1264595538</v>
      </c>
      <c r="E44" s="269">
        <f>'Monthly Data'!BE44</f>
        <v>194.39861424807077</v>
      </c>
      <c r="F44" s="269">
        <f>'Monthly Data'!CG44</f>
        <v>0</v>
      </c>
      <c r="G44" s="269">
        <f>'Monthly Data'!AQ44</f>
        <v>219.9</v>
      </c>
      <c r="H44" s="269">
        <f>'Monthly Data'!CD44</f>
        <v>31</v>
      </c>
      <c r="J44" s="18">
        <f>'GS 1k-4,999 Predicted Monthly'!$T$10</f>
        <v>1375460.7545834701</v>
      </c>
      <c r="K44" s="18">
        <f>E44*'GS 1k-4,999 Predicted Monthly'!$T$11</f>
        <v>1736994.8955923656</v>
      </c>
      <c r="L44" s="18">
        <f>F44*'GS 1k-4,999 Predicted Monthly'!$T$12</f>
        <v>0</v>
      </c>
      <c r="M44" s="18">
        <f>G44*'GS 1k-4,999 Predicted Monthly'!$T$13</f>
        <v>2409918.7769672903</v>
      </c>
      <c r="N44" s="18">
        <f>H44*'GS 1k-4,999 Predicted Monthly'!$T$14</f>
        <v>3509355.4704038892</v>
      </c>
      <c r="O44" s="18">
        <f t="shared" si="4"/>
        <v>9031729.8975470159</v>
      </c>
      <c r="P44" s="18">
        <f t="shared" si="5"/>
        <v>1356885.7710874621</v>
      </c>
      <c r="Q44" s="270">
        <f t="shared" si="6"/>
        <v>0.17679652494954326</v>
      </c>
    </row>
    <row r="45" spans="1:17" x14ac:dyDescent="0.2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Data'!S45</f>
        <v>8559341.27840144</v>
      </c>
      <c r="E45" s="269">
        <f>'Monthly Data'!BE45</f>
        <v>190.24583333333339</v>
      </c>
      <c r="F45" s="269">
        <f>'Monthly Data'!CG45</f>
        <v>0</v>
      </c>
      <c r="G45" s="269">
        <f>'Monthly Data'!AQ45</f>
        <v>218.3</v>
      </c>
      <c r="H45" s="269">
        <f>'Monthly Data'!CD45</f>
        <v>31</v>
      </c>
      <c r="J45" s="18">
        <f>'GS 1k-4,999 Predicted Monthly'!$T$10</f>
        <v>1375460.7545834701</v>
      </c>
      <c r="K45" s="18">
        <f>E45*'GS 1k-4,999 Predicted Monthly'!$T$11</f>
        <v>1699888.87362141</v>
      </c>
      <c r="L45" s="18">
        <f>F45*'GS 1k-4,999 Predicted Monthly'!$T$12</f>
        <v>0</v>
      </c>
      <c r="M45" s="18">
        <f>G45*'GS 1k-4,999 Predicted Monthly'!$T$13</f>
        <v>2392384.1246564779</v>
      </c>
      <c r="N45" s="18">
        <f>H45*'GS 1k-4,999 Predicted Monthly'!$T$14</f>
        <v>3509355.4704038892</v>
      </c>
      <c r="O45" s="18">
        <f t="shared" si="4"/>
        <v>8977089.2232652474</v>
      </c>
      <c r="P45" s="18">
        <f t="shared" si="5"/>
        <v>417747.94486380741</v>
      </c>
      <c r="Q45" s="270">
        <f t="shared" si="6"/>
        <v>4.8806085804517292E-2</v>
      </c>
    </row>
    <row r="46" spans="1:17" x14ac:dyDescent="0.2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Data'!S46</f>
        <v>7863635.481699842</v>
      </c>
      <c r="E46" s="269">
        <f>'Monthly Data'!BE46</f>
        <v>94.645833333333329</v>
      </c>
      <c r="F46" s="269">
        <f>'Monthly Data'!CG46</f>
        <v>0</v>
      </c>
      <c r="G46" s="269">
        <f>'Monthly Data'!AQ46</f>
        <v>216.6</v>
      </c>
      <c r="H46" s="269">
        <f>'Monthly Data'!CD46</f>
        <v>30</v>
      </c>
      <c r="J46" s="18">
        <f>'GS 1k-4,999 Predicted Monthly'!$T$10</f>
        <v>1375460.7545834701</v>
      </c>
      <c r="K46" s="18">
        <f>E46*'GS 1k-4,999 Predicted Monthly'!$T$11</f>
        <v>845681.59101842612</v>
      </c>
      <c r="L46" s="18">
        <f>F46*'GS 1k-4,999 Predicted Monthly'!$T$12</f>
        <v>0</v>
      </c>
      <c r="M46" s="18">
        <f>G46*'GS 1k-4,999 Predicted Monthly'!$T$13</f>
        <v>2373753.5565762394</v>
      </c>
      <c r="N46" s="18">
        <f>H46*'GS 1k-4,999 Predicted Monthly'!$T$14</f>
        <v>3396150.4552295702</v>
      </c>
      <c r="O46" s="18">
        <f t="shared" si="4"/>
        <v>7991046.3574077059</v>
      </c>
      <c r="P46" s="18">
        <f t="shared" si="5"/>
        <v>127410.87570786383</v>
      </c>
      <c r="Q46" s="270">
        <f t="shared" si="6"/>
        <v>1.6202540924534572E-2</v>
      </c>
    </row>
    <row r="47" spans="1:17" x14ac:dyDescent="0.2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Data'!S47</f>
        <v>7239505.6133747967</v>
      </c>
      <c r="E47" s="269">
        <f>'Monthly Data'!BE47</f>
        <v>8.0958333333333314</v>
      </c>
      <c r="F47" s="269">
        <f>'Monthly Data'!CG47</f>
        <v>0</v>
      </c>
      <c r="G47" s="269">
        <f>'Monthly Data'!AQ47</f>
        <v>215.2</v>
      </c>
      <c r="H47" s="269">
        <f>'Monthly Data'!CD47</f>
        <v>31</v>
      </c>
      <c r="J47" s="18">
        <f>'GS 1k-4,999 Predicted Monthly'!$T$10</f>
        <v>1375460.7545834701</v>
      </c>
      <c r="K47" s="18">
        <f>E47*'GS 1k-4,999 Predicted Monthly'!$T$11</f>
        <v>72338.073138842243</v>
      </c>
      <c r="L47" s="18">
        <f>F47*'GS 1k-4,999 Predicted Monthly'!$T$12</f>
        <v>0</v>
      </c>
      <c r="M47" s="18">
        <f>G47*'GS 1k-4,999 Predicted Monthly'!$T$13</f>
        <v>2358410.7358042784</v>
      </c>
      <c r="N47" s="18">
        <f>H47*'GS 1k-4,999 Predicted Monthly'!$T$14</f>
        <v>3509355.4704038892</v>
      </c>
      <c r="O47" s="18">
        <f t="shared" si="4"/>
        <v>7315565.0339304805</v>
      </c>
      <c r="P47" s="18">
        <f t="shared" si="5"/>
        <v>76059.420555683784</v>
      </c>
      <c r="Q47" s="270">
        <f t="shared" si="6"/>
        <v>1.0506162246102275E-2</v>
      </c>
    </row>
    <row r="48" spans="1:17" x14ac:dyDescent="0.2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Data'!S48</f>
        <v>6895809.8727658689</v>
      </c>
      <c r="E48" s="269">
        <f>'Monthly Data'!BE48</f>
        <v>0</v>
      </c>
      <c r="F48" s="269">
        <f>'Monthly Data'!CG48</f>
        <v>0</v>
      </c>
      <c r="G48" s="269">
        <f>'Monthly Data'!AQ48</f>
        <v>215.3</v>
      </c>
      <c r="H48" s="269">
        <f>'Monthly Data'!CD48</f>
        <v>30</v>
      </c>
      <c r="J48" s="18">
        <f>'GS 1k-4,999 Predicted Monthly'!$T$10</f>
        <v>1375460.7545834701</v>
      </c>
      <c r="K48" s="18">
        <f>E48*'GS 1k-4,999 Predicted Monthly'!$T$11</f>
        <v>0</v>
      </c>
      <c r="L48" s="18">
        <f>F48*'GS 1k-4,999 Predicted Monthly'!$T$12</f>
        <v>0</v>
      </c>
      <c r="M48" s="18">
        <f>G48*'GS 1k-4,999 Predicted Monthly'!$T$13</f>
        <v>2359506.6515737046</v>
      </c>
      <c r="N48" s="18">
        <f>H48*'GS 1k-4,999 Predicted Monthly'!$T$14</f>
        <v>3396150.4552295702</v>
      </c>
      <c r="O48" s="18">
        <f t="shared" si="4"/>
        <v>7131117.8613867443</v>
      </c>
      <c r="P48" s="18">
        <f t="shared" si="5"/>
        <v>235307.9886208754</v>
      </c>
      <c r="Q48" s="270">
        <f t="shared" si="6"/>
        <v>3.4123328943594371E-2</v>
      </c>
    </row>
    <row r="49" spans="1:19" x14ac:dyDescent="0.2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Data'!S49</f>
        <v>6632585.3377094418</v>
      </c>
      <c r="E49" s="269">
        <f>'Monthly Data'!BE49</f>
        <v>0</v>
      </c>
      <c r="F49" s="269">
        <f>'Monthly Data'!CG49</f>
        <v>0</v>
      </c>
      <c r="G49" s="269">
        <f>'Monthly Data'!AQ49</f>
        <v>214.3</v>
      </c>
      <c r="H49" s="269">
        <f>'Monthly Data'!CD49</f>
        <v>31</v>
      </c>
      <c r="J49" s="18">
        <f>'GS 1k-4,999 Predicted Monthly'!$T$10</f>
        <v>1375460.7545834701</v>
      </c>
      <c r="K49" s="18">
        <f>E49*'GS 1k-4,999 Predicted Monthly'!$T$11</f>
        <v>0</v>
      </c>
      <c r="L49" s="18">
        <f>F49*'GS 1k-4,999 Predicted Monthly'!$T$12</f>
        <v>0</v>
      </c>
      <c r="M49" s="18">
        <f>G49*'GS 1k-4,999 Predicted Monthly'!$T$13</f>
        <v>2348547.4938794468</v>
      </c>
      <c r="N49" s="18">
        <f>H49*'GS 1k-4,999 Predicted Monthly'!$T$14</f>
        <v>3509355.4704038892</v>
      </c>
      <c r="O49" s="18">
        <f t="shared" si="4"/>
        <v>7233363.7188668065</v>
      </c>
      <c r="P49" s="18">
        <f t="shared" si="5"/>
        <v>600778.3811573647</v>
      </c>
      <c r="Q49" s="270">
        <f t="shared" si="6"/>
        <v>9.0579819266199305E-2</v>
      </c>
    </row>
    <row r="50" spans="1:19" x14ac:dyDescent="0.2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Data'!S50</f>
        <v>7362866.2549784202</v>
      </c>
      <c r="E50" s="269">
        <f>'Monthly Data'!BE50</f>
        <v>0</v>
      </c>
      <c r="F50" s="269">
        <f>'Monthly Data'!CG50</f>
        <v>0</v>
      </c>
      <c r="G50" s="269">
        <f>'Monthly Data'!AQ50</f>
        <v>217.1</v>
      </c>
      <c r="H50" s="269">
        <f>'Monthly Data'!CD50</f>
        <v>31</v>
      </c>
      <c r="J50" s="18">
        <f>'GS 1k-4,999 Predicted Monthly'!$T$10</f>
        <v>1375460.7545834701</v>
      </c>
      <c r="K50" s="18">
        <f>E50*'GS 1k-4,999 Predicted Monthly'!$T$11</f>
        <v>0</v>
      </c>
      <c r="L50" s="18">
        <f>F50*'GS 1k-4,999 Predicted Monthly'!$T$12</f>
        <v>0</v>
      </c>
      <c r="M50" s="18">
        <f>G50*'GS 1k-4,999 Predicted Monthly'!$T$13</f>
        <v>2379233.1354233683</v>
      </c>
      <c r="N50" s="18">
        <f>H50*'GS 1k-4,999 Predicted Monthly'!$T$14</f>
        <v>3509355.4704038892</v>
      </c>
      <c r="O50" s="18">
        <f t="shared" si="4"/>
        <v>7264049.3604107276</v>
      </c>
      <c r="P50" s="18">
        <f t="shared" si="5"/>
        <v>-98816.894567692652</v>
      </c>
      <c r="Q50" s="270">
        <f t="shared" si="6"/>
        <v>1.3420981876572506E-2</v>
      </c>
    </row>
    <row r="51" spans="1:19" x14ac:dyDescent="0.2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Data'!S51</f>
        <v>6700295.0580196613</v>
      </c>
      <c r="E51" s="269">
        <f>'Monthly Data'!BE51</f>
        <v>0</v>
      </c>
      <c r="F51" s="269">
        <f>'Monthly Data'!CG51</f>
        <v>0</v>
      </c>
      <c r="G51" s="269">
        <f>'Monthly Data'!AQ51</f>
        <v>219.1</v>
      </c>
      <c r="H51" s="269">
        <f>'Monthly Data'!CD51</f>
        <v>28</v>
      </c>
      <c r="J51" s="18">
        <f>'GS 1k-4,999 Predicted Monthly'!$T$10</f>
        <v>1375460.7545834701</v>
      </c>
      <c r="K51" s="18">
        <f>E51*'GS 1k-4,999 Predicted Monthly'!$T$11</f>
        <v>0</v>
      </c>
      <c r="L51" s="18">
        <f>F51*'GS 1k-4,999 Predicted Monthly'!$T$12</f>
        <v>0</v>
      </c>
      <c r="M51" s="18">
        <f>G51*'GS 1k-4,999 Predicted Monthly'!$T$13</f>
        <v>2401151.4508118839</v>
      </c>
      <c r="N51" s="18">
        <f>H51*'GS 1k-4,999 Predicted Monthly'!$T$14</f>
        <v>3169740.4248809321</v>
      </c>
      <c r="O51" s="18">
        <f t="shared" si="4"/>
        <v>6946352.630276286</v>
      </c>
      <c r="P51" s="18">
        <f t="shared" si="5"/>
        <v>246057.5722566247</v>
      </c>
      <c r="Q51" s="270">
        <f t="shared" si="6"/>
        <v>3.6723393541022574E-2</v>
      </c>
    </row>
    <row r="52" spans="1:19" x14ac:dyDescent="0.2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Data'!S52</f>
        <v>7200226.2824770492</v>
      </c>
      <c r="E52" s="269">
        <f>'Monthly Data'!BE52</f>
        <v>0</v>
      </c>
      <c r="F52" s="269">
        <f>'Monthly Data'!CG52</f>
        <v>0</v>
      </c>
      <c r="G52" s="269">
        <f>'Monthly Data'!AQ52</f>
        <v>221.6</v>
      </c>
      <c r="H52" s="269">
        <f>'Monthly Data'!CD52</f>
        <v>31</v>
      </c>
      <c r="J52" s="18">
        <f>'GS 1k-4,999 Predicted Monthly'!$T$10</f>
        <v>1375460.7545834701</v>
      </c>
      <c r="K52" s="18">
        <f>E52*'GS 1k-4,999 Predicted Monthly'!$T$11</f>
        <v>0</v>
      </c>
      <c r="L52" s="18">
        <f>F52*'GS 1k-4,999 Predicted Monthly'!$T$12</f>
        <v>0</v>
      </c>
      <c r="M52" s="18">
        <f>G52*'GS 1k-4,999 Predicted Monthly'!$T$13</f>
        <v>2428549.3450475284</v>
      </c>
      <c r="N52" s="18">
        <f>H52*'GS 1k-4,999 Predicted Monthly'!$T$14</f>
        <v>3509355.4704038892</v>
      </c>
      <c r="O52" s="18">
        <f t="shared" si="4"/>
        <v>7313365.5700348876</v>
      </c>
      <c r="P52" s="18">
        <f t="shared" si="5"/>
        <v>113139.28755783848</v>
      </c>
      <c r="Q52" s="270">
        <f t="shared" si="6"/>
        <v>1.5713296099204799E-2</v>
      </c>
    </row>
    <row r="53" spans="1:19" x14ac:dyDescent="0.2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Data'!S53</f>
        <v>6757129.4428079324</v>
      </c>
      <c r="E53" s="269">
        <f>'Monthly Data'!BE53</f>
        <v>0</v>
      </c>
      <c r="F53" s="269">
        <f>'Monthly Data'!CG53</f>
        <v>0</v>
      </c>
      <c r="G53" s="269">
        <f>'Monthly Data'!AQ53</f>
        <v>220.7</v>
      </c>
      <c r="H53" s="269">
        <f>'Monthly Data'!CD53</f>
        <v>30</v>
      </c>
      <c r="J53" s="18">
        <f>'GS 1k-4,999 Predicted Monthly'!$T$10</f>
        <v>1375460.7545834701</v>
      </c>
      <c r="K53" s="18">
        <f>E53*'GS 1k-4,999 Predicted Monthly'!$T$11</f>
        <v>0</v>
      </c>
      <c r="L53" s="18">
        <f>F53*'GS 1k-4,999 Predicted Monthly'!$T$12</f>
        <v>0</v>
      </c>
      <c r="M53" s="18">
        <f>G53*'GS 1k-4,999 Predicted Monthly'!$T$13</f>
        <v>2418686.1031226963</v>
      </c>
      <c r="N53" s="18">
        <f>H53*'GS 1k-4,999 Predicted Monthly'!$T$14</f>
        <v>3396150.4552295702</v>
      </c>
      <c r="O53" s="18">
        <f t="shared" si="4"/>
        <v>7190297.312935736</v>
      </c>
      <c r="P53" s="18">
        <f t="shared" si="5"/>
        <v>433167.87012780365</v>
      </c>
      <c r="Q53" s="270">
        <f t="shared" si="6"/>
        <v>6.4105308888059459E-2</v>
      </c>
    </row>
    <row r="54" spans="1:19" x14ac:dyDescent="0.2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Data'!S54</f>
        <v>7190309.3222989608</v>
      </c>
      <c r="E54" s="269">
        <f>'Monthly Data'!BE54</f>
        <v>2.4041666666666686</v>
      </c>
      <c r="F54" s="269">
        <f>'Monthly Data'!CG54</f>
        <v>0</v>
      </c>
      <c r="G54" s="269">
        <f>'Monthly Data'!AQ54</f>
        <v>219.3</v>
      </c>
      <c r="H54" s="269">
        <f>'Monthly Data'!CD54</f>
        <v>31</v>
      </c>
      <c r="J54" s="18">
        <f>'GS 1k-4,999 Predicted Monthly'!$T$10</f>
        <v>1375460.7545834701</v>
      </c>
      <c r="K54" s="18">
        <f>E54*'GS 1k-4,999 Predicted Monthly'!$T$11</f>
        <v>21481.764385544015</v>
      </c>
      <c r="L54" s="18">
        <f>F54*'GS 1k-4,999 Predicted Monthly'!$T$12</f>
        <v>0</v>
      </c>
      <c r="M54" s="18">
        <f>G54*'GS 1k-4,999 Predicted Monthly'!$T$13</f>
        <v>2403343.2823507357</v>
      </c>
      <c r="N54" s="18">
        <f>H54*'GS 1k-4,999 Predicted Monthly'!$T$14</f>
        <v>3509355.4704038892</v>
      </c>
      <c r="O54" s="18">
        <f t="shared" si="4"/>
        <v>7309641.2717236392</v>
      </c>
      <c r="P54" s="18">
        <f t="shared" si="5"/>
        <v>119331.94942467846</v>
      </c>
      <c r="Q54" s="270">
        <f t="shared" si="6"/>
        <v>1.6596219171628682E-2</v>
      </c>
    </row>
    <row r="55" spans="1:19" x14ac:dyDescent="0.2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Data'!S55</f>
        <v>7204081.3004395068</v>
      </c>
      <c r="E55" s="269">
        <f>'Monthly Data'!BE55</f>
        <v>71.666666666666629</v>
      </c>
      <c r="F55" s="269">
        <f>'Monthly Data'!CG55</f>
        <v>0</v>
      </c>
      <c r="G55" s="269">
        <f>'Monthly Data'!AQ55</f>
        <v>218.5</v>
      </c>
      <c r="H55" s="269">
        <f>'Monthly Data'!CD55</f>
        <v>30</v>
      </c>
      <c r="J55" s="18">
        <f>'GS 1k-4,999 Predicted Monthly'!$T$10</f>
        <v>1375460.7545834701</v>
      </c>
      <c r="K55" s="18">
        <f>E55*'GS 1k-4,999 Predicted Monthly'!$T$11</f>
        <v>640357.62119819154</v>
      </c>
      <c r="L55" s="18">
        <f>F55*'GS 1k-4,999 Predicted Monthly'!$T$12</f>
        <v>0</v>
      </c>
      <c r="M55" s="18">
        <f>G55*'GS 1k-4,999 Predicted Monthly'!$T$13</f>
        <v>2394575.9561953293</v>
      </c>
      <c r="N55" s="18">
        <f>H55*'GS 1k-4,999 Predicted Monthly'!$T$14</f>
        <v>3396150.4552295702</v>
      </c>
      <c r="O55" s="18">
        <f t="shared" si="4"/>
        <v>7806544.7872065613</v>
      </c>
      <c r="P55" s="18">
        <f t="shared" si="5"/>
        <v>602463.48676705454</v>
      </c>
      <c r="Q55" s="270">
        <f t="shared" si="6"/>
        <v>8.3628079923292853E-2</v>
      </c>
    </row>
    <row r="56" spans="1:19" x14ac:dyDescent="0.2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Data'!S56</f>
        <v>8750214.2978592087</v>
      </c>
      <c r="E56" s="269">
        <f>'Monthly Data'!BE56</f>
        <v>197.60000000000005</v>
      </c>
      <c r="F56" s="269">
        <f>'Monthly Data'!CG56</f>
        <v>0</v>
      </c>
      <c r="G56" s="269">
        <f>'Monthly Data'!AQ56</f>
        <v>217</v>
      </c>
      <c r="H56" s="269">
        <f>'Monthly Data'!CD56</f>
        <v>31</v>
      </c>
      <c r="J56" s="18">
        <f>'GS 1k-4,999 Predicted Monthly'!$T$10</f>
        <v>1375460.7545834701</v>
      </c>
      <c r="K56" s="18">
        <f>E56*'GS 1k-4,999 Predicted Monthly'!$T$11</f>
        <v>1765599.9899827361</v>
      </c>
      <c r="L56" s="18">
        <f>F56*'GS 1k-4,999 Predicted Monthly'!$T$12</f>
        <v>0</v>
      </c>
      <c r="M56" s="18">
        <f>G56*'GS 1k-4,999 Predicted Monthly'!$T$13</f>
        <v>2378137.2196539426</v>
      </c>
      <c r="N56" s="18">
        <f>H56*'GS 1k-4,999 Predicted Monthly'!$T$14</f>
        <v>3509355.4704038892</v>
      </c>
      <c r="O56" s="18">
        <f t="shared" si="4"/>
        <v>9028553.4346240386</v>
      </c>
      <c r="P56" s="18">
        <f t="shared" si="5"/>
        <v>278339.13676482998</v>
      </c>
      <c r="Q56" s="270">
        <f t="shared" si="6"/>
        <v>3.1809408008776116E-2</v>
      </c>
    </row>
    <row r="57" spans="1:19" x14ac:dyDescent="0.2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Data'!S57</f>
        <v>8314591.1828323836</v>
      </c>
      <c r="E57" s="269">
        <f>'Monthly Data'!BE57</f>
        <v>128.07083333333338</v>
      </c>
      <c r="F57" s="269">
        <f>'Monthly Data'!CG57</f>
        <v>0</v>
      </c>
      <c r="G57" s="269">
        <f>'Monthly Data'!AQ57</f>
        <v>214.2</v>
      </c>
      <c r="H57" s="269">
        <f>'Monthly Data'!CD57</f>
        <v>31</v>
      </c>
      <c r="J57" s="18">
        <f>'GS 1k-4,999 Predicted Monthly'!$T$10</f>
        <v>1375460.7545834701</v>
      </c>
      <c r="K57" s="18">
        <f>E57*'GS 1k-4,999 Predicted Monthly'!$T$11</f>
        <v>1144341.4071377227</v>
      </c>
      <c r="L57" s="18">
        <f>F57*'GS 1k-4,999 Predicted Monthly'!$T$12</f>
        <v>0</v>
      </c>
      <c r="M57" s="18">
        <f>G57*'GS 1k-4,999 Predicted Monthly'!$T$13</f>
        <v>2347451.5781100206</v>
      </c>
      <c r="N57" s="18">
        <f>H57*'GS 1k-4,999 Predicted Monthly'!$T$14</f>
        <v>3509355.4704038892</v>
      </c>
      <c r="O57" s="18">
        <f t="shared" si="4"/>
        <v>8376609.2102351021</v>
      </c>
      <c r="P57" s="18">
        <f t="shared" si="5"/>
        <v>62018.027402718551</v>
      </c>
      <c r="Q57" s="270">
        <f t="shared" si="6"/>
        <v>7.4589388749227688E-3</v>
      </c>
    </row>
    <row r="58" spans="1:19" x14ac:dyDescent="0.2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Data'!S58</f>
        <v>7364154.3036004463</v>
      </c>
      <c r="E58" s="269">
        <f>'Monthly Data'!BE58</f>
        <v>32.520833333333329</v>
      </c>
      <c r="F58" s="269">
        <f>'Monthly Data'!CG58</f>
        <v>0</v>
      </c>
      <c r="G58" s="269">
        <f>'Monthly Data'!AQ58</f>
        <v>210</v>
      </c>
      <c r="H58" s="269">
        <f>'Monthly Data'!CD58</f>
        <v>30</v>
      </c>
      <c r="J58" s="18">
        <f>'GS 1k-4,999 Predicted Monthly'!$T$10</f>
        <v>1375460.7545834701</v>
      </c>
      <c r="K58" s="18">
        <f>E58*'GS 1k-4,999 Predicted Monthly'!$T$11</f>
        <v>290580.88566580741</v>
      </c>
      <c r="L58" s="18">
        <f>F58*'GS 1k-4,999 Predicted Monthly'!$T$12</f>
        <v>0</v>
      </c>
      <c r="M58" s="18">
        <f>G58*'GS 1k-4,999 Predicted Monthly'!$T$13</f>
        <v>2301423.1157941381</v>
      </c>
      <c r="N58" s="18">
        <f>H58*'GS 1k-4,999 Predicted Monthly'!$T$14</f>
        <v>3396150.4552295702</v>
      </c>
      <c r="O58" s="18">
        <f t="shared" si="4"/>
        <v>7363615.2112729857</v>
      </c>
      <c r="P58" s="18">
        <f t="shared" si="5"/>
        <v>-539.09232746064663</v>
      </c>
      <c r="Q58" s="270">
        <f t="shared" si="6"/>
        <v>7.3204920108351922E-5</v>
      </c>
    </row>
    <row r="59" spans="1:19" x14ac:dyDescent="0.2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Data'!S59</f>
        <v>6877310.3938974263</v>
      </c>
      <c r="E59" s="269">
        <f>'Monthly Data'!BE59</f>
        <v>3.8125000000000036</v>
      </c>
      <c r="F59" s="269">
        <f>'Monthly Data'!CG59</f>
        <v>0</v>
      </c>
      <c r="G59" s="269">
        <f>'Monthly Data'!AQ59</f>
        <v>207.5</v>
      </c>
      <c r="H59" s="269">
        <f>'Monthly Data'!CD59</f>
        <v>31</v>
      </c>
      <c r="J59" s="18">
        <f>'GS 1k-4,999 Predicted Monthly'!$T$10</f>
        <v>1375460.7545834701</v>
      </c>
      <c r="K59" s="18">
        <f>E59*'GS 1k-4,999 Predicted Monthly'!$T$11</f>
        <v>34065.536243973613</v>
      </c>
      <c r="L59" s="18">
        <f>F59*'GS 1k-4,999 Predicted Monthly'!$T$12</f>
        <v>0</v>
      </c>
      <c r="M59" s="18">
        <f>G59*'GS 1k-4,999 Predicted Monthly'!$T$13</f>
        <v>2274025.2215584936</v>
      </c>
      <c r="N59" s="18">
        <f>H59*'GS 1k-4,999 Predicted Monthly'!$T$14</f>
        <v>3509355.4704038892</v>
      </c>
      <c r="O59" s="18">
        <f t="shared" si="4"/>
        <v>7192906.9827898266</v>
      </c>
      <c r="P59" s="18">
        <f t="shared" si="5"/>
        <v>315596.58889240026</v>
      </c>
      <c r="Q59" s="270">
        <f t="shared" si="6"/>
        <v>4.5889536870757579E-2</v>
      </c>
    </row>
    <row r="60" spans="1:19" x14ac:dyDescent="0.2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Data'!S60</f>
        <v>6504414.3737810226</v>
      </c>
      <c r="E60" s="269">
        <f>'Monthly Data'!BE60</f>
        <v>0</v>
      </c>
      <c r="F60" s="269">
        <f>'Monthly Data'!CG60</f>
        <v>0</v>
      </c>
      <c r="G60" s="269">
        <f>'Monthly Data'!AQ60</f>
        <v>206.3</v>
      </c>
      <c r="H60" s="269">
        <f>'Monthly Data'!CD60</f>
        <v>30</v>
      </c>
      <c r="J60" s="18">
        <f>'GS 1k-4,999 Predicted Monthly'!$T$10</f>
        <v>1375460.7545834701</v>
      </c>
      <c r="K60" s="18">
        <f>E60*'GS 1k-4,999 Predicted Monthly'!$T$11</f>
        <v>0</v>
      </c>
      <c r="L60" s="18">
        <f>F60*'GS 1k-4,999 Predicted Monthly'!$T$12</f>
        <v>0</v>
      </c>
      <c r="M60" s="18">
        <f>G60*'GS 1k-4,999 Predicted Monthly'!$T$13</f>
        <v>2260874.2323253839</v>
      </c>
      <c r="N60" s="18">
        <f>H60*'GS 1k-4,999 Predicted Monthly'!$T$14</f>
        <v>3396150.4552295702</v>
      </c>
      <c r="O60" s="18">
        <f t="shared" si="4"/>
        <v>7032485.4421384241</v>
      </c>
      <c r="P60" s="18">
        <f t="shared" si="5"/>
        <v>528071.06835740153</v>
      </c>
      <c r="Q60" s="270">
        <f t="shared" si="6"/>
        <v>8.1186566232008567E-2</v>
      </c>
    </row>
    <row r="61" spans="1:19" x14ac:dyDescent="0.2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Data'!S61</f>
        <v>6916748.0792108662</v>
      </c>
      <c r="E61" s="269">
        <f>'Monthly Data'!BE61</f>
        <v>0</v>
      </c>
      <c r="F61" s="269">
        <f>'Monthly Data'!CG61</f>
        <v>0</v>
      </c>
      <c r="G61" s="269">
        <f>'Monthly Data'!AQ61</f>
        <v>207.6</v>
      </c>
      <c r="H61" s="269">
        <f>'Monthly Data'!CD61</f>
        <v>31</v>
      </c>
      <c r="J61" s="18">
        <f>'GS 1k-4,999 Predicted Monthly'!$T$10</f>
        <v>1375460.7545834701</v>
      </c>
      <c r="K61" s="18">
        <f>E61*'GS 1k-4,999 Predicted Monthly'!$T$11</f>
        <v>0</v>
      </c>
      <c r="L61" s="18">
        <f>F61*'GS 1k-4,999 Predicted Monthly'!$T$12</f>
        <v>0</v>
      </c>
      <c r="M61" s="18">
        <f>G61*'GS 1k-4,999 Predicted Monthly'!$T$13</f>
        <v>2275121.1373279192</v>
      </c>
      <c r="N61" s="18">
        <f>H61*'GS 1k-4,999 Predicted Monthly'!$T$14</f>
        <v>3509355.4704038892</v>
      </c>
      <c r="O61" s="18">
        <f t="shared" si="4"/>
        <v>7159937.3623152785</v>
      </c>
      <c r="P61" s="18">
        <f t="shared" si="5"/>
        <v>243189.28310441226</v>
      </c>
      <c r="Q61" s="270">
        <f t="shared" si="6"/>
        <v>3.5159482508167014E-2</v>
      </c>
    </row>
    <row r="62" spans="1:19" x14ac:dyDescent="0.2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Data'!S62</f>
        <v>7135430.5825945279</v>
      </c>
      <c r="E62" s="269">
        <f>'Monthly Data'!BE62</f>
        <v>0</v>
      </c>
      <c r="F62" s="269">
        <f>'Monthly Data'!CG62</f>
        <v>0</v>
      </c>
      <c r="G62" s="269">
        <f>'Monthly Data'!AQ62</f>
        <v>208.1</v>
      </c>
      <c r="H62" s="269">
        <f>'Monthly Data'!CD62</f>
        <v>31</v>
      </c>
      <c r="J62" s="18">
        <f>'GS 1k-4,999 Predicted Monthly'!$T$10</f>
        <v>1375460.7545834701</v>
      </c>
      <c r="K62" s="18">
        <f>E62*'GS 1k-4,999 Predicted Monthly'!$T$11</f>
        <v>0</v>
      </c>
      <c r="L62" s="18">
        <f>F62*'GS 1k-4,999 Predicted Monthly'!$T$12</f>
        <v>0</v>
      </c>
      <c r="M62" s="18">
        <f>G62*'GS 1k-4,999 Predicted Monthly'!$T$13</f>
        <v>2280600.7161750481</v>
      </c>
      <c r="N62" s="18">
        <f>H62*'GS 1k-4,999 Predicted Monthly'!$T$14</f>
        <v>3509355.4704038892</v>
      </c>
      <c r="O62" s="18">
        <f t="shared" si="4"/>
        <v>7165416.9411624074</v>
      </c>
      <c r="P62" s="18">
        <f t="shared" si="5"/>
        <v>29986.358567879535</v>
      </c>
      <c r="Q62" s="270">
        <f t="shared" si="6"/>
        <v>4.2024595742021975E-3</v>
      </c>
    </row>
    <row r="63" spans="1:19" x14ac:dyDescent="0.2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4">
        <f>'Monthly Data'!S63</f>
        <v>6643831.0976723712</v>
      </c>
      <c r="E63" s="269">
        <f>'Monthly Data'!BE63</f>
        <v>0</v>
      </c>
      <c r="F63" s="269">
        <f>'Monthly Data'!CG63</f>
        <v>0</v>
      </c>
      <c r="G63" s="269">
        <f>'Monthly Data'!AQ63</f>
        <v>210.7</v>
      </c>
      <c r="H63" s="269">
        <f>'Monthly Data'!CD63</f>
        <v>29</v>
      </c>
      <c r="J63" s="18">
        <f>'GS 1k-4,999 Predicted Monthly'!$T$10</f>
        <v>1375460.7545834701</v>
      </c>
      <c r="K63" s="18">
        <f>E63*'GS 1k-4,999 Predicted Monthly'!$T$11</f>
        <v>0</v>
      </c>
      <c r="L63" s="18">
        <f>F63*'GS 1k-4,999 Predicted Monthly'!$T$12</f>
        <v>0</v>
      </c>
      <c r="M63" s="18">
        <f>G63*'GS 1k-4,999 Predicted Monthly'!$T$13</f>
        <v>2309094.5261801183</v>
      </c>
      <c r="N63" s="18">
        <f>H63*'GS 1k-4,999 Predicted Monthly'!$T$14</f>
        <v>3282945.4400552511</v>
      </c>
      <c r="O63" s="18">
        <f t="shared" si="4"/>
        <v>6967500.72081884</v>
      </c>
      <c r="P63" s="18">
        <f t="shared" si="5"/>
        <v>323669.62314646877</v>
      </c>
      <c r="Q63" s="270">
        <f t="shared" si="6"/>
        <v>4.8717316618699803E-2</v>
      </c>
    </row>
    <row r="64" spans="1:19" x14ac:dyDescent="0.2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4">
        <f>'Monthly Data'!S64</f>
        <v>6564881.6992580527</v>
      </c>
      <c r="E64" s="269">
        <f>'Monthly Data'!BE64</f>
        <v>0</v>
      </c>
      <c r="F64" s="269">
        <f>'Monthly Data'!CG64</f>
        <v>0.5</v>
      </c>
      <c r="G64" s="269">
        <f>'Monthly Data'!AQ64</f>
        <v>208.3</v>
      </c>
      <c r="H64" s="269">
        <f>'Monthly Data'!CD64</f>
        <v>31</v>
      </c>
      <c r="J64" s="18">
        <f>'GS 1k-4,999 Predicted Monthly'!$T$10</f>
        <v>1375460.7545834701</v>
      </c>
      <c r="K64" s="18">
        <f>E64*'GS 1k-4,999 Predicted Monthly'!$T$11</f>
        <v>0</v>
      </c>
      <c r="L64" s="18">
        <f>F64*'GS 1k-4,999 Predicted Monthly'!$T$12</f>
        <v>-685237.51787006995</v>
      </c>
      <c r="M64" s="18">
        <f>G64*'GS 1k-4,999 Predicted Monthly'!$T$13</f>
        <v>2282792.5477138995</v>
      </c>
      <c r="N64" s="18">
        <f>H64*'GS 1k-4,999 Predicted Monthly'!$T$14</f>
        <v>3509355.4704038892</v>
      </c>
      <c r="O64" s="18">
        <f t="shared" si="4"/>
        <v>6482371.2548311893</v>
      </c>
      <c r="P64" s="18">
        <f t="shared" si="5"/>
        <v>-82510.444426863454</v>
      </c>
      <c r="Q64" s="270">
        <f t="shared" si="6"/>
        <v>1.2568458687715361E-2</v>
      </c>
      <c r="S64" s="18"/>
    </row>
    <row r="65" spans="1:24" x14ac:dyDescent="0.2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4">
        <f>'Monthly Data'!S65</f>
        <v>5198888.1617160002</v>
      </c>
      <c r="E65" s="269">
        <f>'Monthly Data'!BE65</f>
        <v>0</v>
      </c>
      <c r="F65" s="269">
        <f>'Monthly Data'!CG65</f>
        <v>1</v>
      </c>
      <c r="G65" s="269">
        <f>'Monthly Data'!AQ65</f>
        <v>201.9</v>
      </c>
      <c r="H65" s="269">
        <f>'Monthly Data'!CD65</f>
        <v>30</v>
      </c>
      <c r="J65" s="18">
        <f>'GS 1k-4,999 Predicted Monthly'!$T$10</f>
        <v>1375460.7545834701</v>
      </c>
      <c r="K65" s="18">
        <f>E65*'GS 1k-4,999 Predicted Monthly'!$T$11</f>
        <v>0</v>
      </c>
      <c r="L65" s="18">
        <f>F65*'GS 1k-4,999 Predicted Monthly'!$T$12</f>
        <v>-1370475.0357401399</v>
      </c>
      <c r="M65" s="18">
        <f>G65*'GS 1k-4,999 Predicted Monthly'!$T$13</f>
        <v>2212653.93847065</v>
      </c>
      <c r="N65" s="18">
        <f>H65*'GS 1k-4,999 Predicted Monthly'!$T$14</f>
        <v>3396150.4552295702</v>
      </c>
      <c r="O65" s="18">
        <f t="shared" si="4"/>
        <v>5613790.1125435503</v>
      </c>
      <c r="P65" s="18">
        <f t="shared" si="5"/>
        <v>414901.95082755014</v>
      </c>
      <c r="Q65" s="270">
        <f t="shared" si="6"/>
        <v>7.9805900400558571E-2</v>
      </c>
      <c r="S65" s="18"/>
    </row>
    <row r="66" spans="1:24" x14ac:dyDescent="0.25">
      <c r="A66" s="3">
        <f>'Monthly Data'!A66</f>
        <v>43952</v>
      </c>
      <c r="B66" s="1">
        <f t="shared" ref="B66:B121" si="7">YEAR(A66)</f>
        <v>2020</v>
      </c>
      <c r="C66" s="1">
        <f t="shared" ref="C66:C121" si="8">MONTH(A66)</f>
        <v>5</v>
      </c>
      <c r="D66" s="24">
        <f>'Monthly Data'!S66</f>
        <v>5975758.5394809321</v>
      </c>
      <c r="E66" s="269">
        <f>'Monthly Data'!BE66</f>
        <v>31.450595238095232</v>
      </c>
      <c r="F66" s="269">
        <f>'Monthly Data'!CG66</f>
        <v>1</v>
      </c>
      <c r="G66" s="269">
        <f>'Monthly Data'!AQ66</f>
        <v>193.3</v>
      </c>
      <c r="H66" s="269">
        <f>'Monthly Data'!CD66</f>
        <v>31</v>
      </c>
      <c r="J66" s="18">
        <f>'GS 1k-4,999 Predicted Monthly'!$T$10</f>
        <v>1375460.7545834701</v>
      </c>
      <c r="K66" s="18">
        <f>E66*'GS 1k-4,999 Predicted Monthly'!$T$11</f>
        <v>281018.07002698386</v>
      </c>
      <c r="L66" s="18">
        <f>F66*'GS 1k-4,999 Predicted Monthly'!$T$12</f>
        <v>-1370475.0357401399</v>
      </c>
      <c r="M66" s="18">
        <f>G66*'GS 1k-4,999 Predicted Monthly'!$T$13</f>
        <v>2118405.1823000326</v>
      </c>
      <c r="N66" s="18">
        <f>H66*'GS 1k-4,999 Predicted Monthly'!$T$14</f>
        <v>3509355.4704038892</v>
      </c>
      <c r="O66" s="18">
        <f t="shared" si="4"/>
        <v>5913764.4415742364</v>
      </c>
      <c r="P66" s="18">
        <f t="shared" ref="P66:P97" si="9">O66-D66</f>
        <v>-61994.097906695679</v>
      </c>
      <c r="Q66" s="270">
        <f t="shared" ref="Q66:Q97" si="10">ABS(P66/D66)</f>
        <v>1.0374264203801083E-2</v>
      </c>
      <c r="S66" s="18"/>
    </row>
    <row r="67" spans="1:24" x14ac:dyDescent="0.2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Data'!S67</f>
        <v>7052492.3045150973</v>
      </c>
      <c r="E67" s="269">
        <f>'Monthly Data'!BE67</f>
        <v>115.68206521739128</v>
      </c>
      <c r="F67" s="269">
        <f>'Monthly Data'!CG67</f>
        <v>0.5</v>
      </c>
      <c r="G67" s="269">
        <f>'Monthly Data'!AQ67</f>
        <v>190.3</v>
      </c>
      <c r="H67" s="269">
        <f>'Monthly Data'!CD67</f>
        <v>30</v>
      </c>
      <c r="J67" s="18">
        <f>'GS 1k-4,999 Predicted Monthly'!$T$10</f>
        <v>1375460.7545834701</v>
      </c>
      <c r="K67" s="18">
        <f>E67*'GS 1k-4,999 Predicted Monthly'!$T$11</f>
        <v>1033645.006017248</v>
      </c>
      <c r="L67" s="18">
        <f>F67*'GS 1k-4,999 Predicted Monthly'!$T$12</f>
        <v>-685237.51787006995</v>
      </c>
      <c r="M67" s="18">
        <f>G67*'GS 1k-4,999 Predicted Monthly'!$T$13</f>
        <v>2085527.7092172594</v>
      </c>
      <c r="N67" s="18">
        <f>H67*'GS 1k-4,999 Predicted Monthly'!$T$14</f>
        <v>3396150.4552295702</v>
      </c>
      <c r="O67" s="18">
        <f t="shared" ref="O67:O121" si="11">SUM(J67:N67)</f>
        <v>7205546.4071774781</v>
      </c>
      <c r="P67" s="18">
        <f t="shared" si="9"/>
        <v>153054.10266238078</v>
      </c>
      <c r="Q67" s="270">
        <f t="shared" si="10"/>
        <v>2.1702129694546927E-2</v>
      </c>
      <c r="S67" s="18"/>
    </row>
    <row r="68" spans="1:24" x14ac:dyDescent="0.2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Data'!S68</f>
        <v>8644136.8558436297</v>
      </c>
      <c r="E68" s="269">
        <f>'Monthly Data'!BE68</f>
        <v>246.88749999999999</v>
      </c>
      <c r="F68" s="269">
        <f>'Monthly Data'!CG68</f>
        <v>0.5</v>
      </c>
      <c r="G68" s="269">
        <f>'Monthly Data'!AQ68</f>
        <v>195.6</v>
      </c>
      <c r="H68" s="269">
        <f>'Monthly Data'!CD68</f>
        <v>31</v>
      </c>
      <c r="J68" s="18">
        <f>'GS 1k-4,999 Predicted Monthly'!$T$10</f>
        <v>1375460.7545834701</v>
      </c>
      <c r="K68" s="18">
        <f>E68*'GS 1k-4,999 Predicted Monthly'!$T$11</f>
        <v>2205994.7749335151</v>
      </c>
      <c r="L68" s="18">
        <f>F68*'GS 1k-4,999 Predicted Monthly'!$T$12</f>
        <v>-685237.51787006995</v>
      </c>
      <c r="M68" s="18">
        <f>G68*'GS 1k-4,999 Predicted Monthly'!$T$13</f>
        <v>2143611.2449968257</v>
      </c>
      <c r="N68" s="18">
        <f>H68*'GS 1k-4,999 Predicted Monthly'!$T$14</f>
        <v>3509355.4704038892</v>
      </c>
      <c r="O68" s="18">
        <f t="shared" si="11"/>
        <v>8549184.7270476297</v>
      </c>
      <c r="P68" s="18">
        <f t="shared" si="9"/>
        <v>-94952.128796000034</v>
      </c>
      <c r="Q68" s="270">
        <f t="shared" si="10"/>
        <v>1.0984570279195692E-2</v>
      </c>
      <c r="S68" s="18"/>
    </row>
    <row r="69" spans="1:24" x14ac:dyDescent="0.2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Data'!S69</f>
        <v>8115885.9892690107</v>
      </c>
      <c r="E69" s="269">
        <f>'Monthly Data'!BE69</f>
        <v>154.93106060606064</v>
      </c>
      <c r="F69" s="269">
        <f>'Monthly Data'!CG69</f>
        <v>0.5</v>
      </c>
      <c r="G69" s="269">
        <f>'Monthly Data'!AQ69</f>
        <v>202.7</v>
      </c>
      <c r="H69" s="269">
        <f>'Monthly Data'!CD69</f>
        <v>31</v>
      </c>
      <c r="J69" s="18">
        <f>'GS 1k-4,999 Predicted Monthly'!$T$10</f>
        <v>1375460.7545834701</v>
      </c>
      <c r="K69" s="18">
        <f>E69*'GS 1k-4,999 Predicted Monthly'!$T$11</f>
        <v>1384343.517480138</v>
      </c>
      <c r="L69" s="18">
        <f>F69*'GS 1k-4,999 Predicted Monthly'!$T$12</f>
        <v>-685237.51787006995</v>
      </c>
      <c r="M69" s="18">
        <f>G69*'GS 1k-4,999 Predicted Monthly'!$T$13</f>
        <v>2221421.264626056</v>
      </c>
      <c r="N69" s="18">
        <f>H69*'GS 1k-4,999 Predicted Monthly'!$T$14</f>
        <v>3509355.4704038892</v>
      </c>
      <c r="O69" s="18">
        <f t="shared" si="11"/>
        <v>7805343.4892234839</v>
      </c>
      <c r="P69" s="18">
        <f t="shared" si="9"/>
        <v>-310542.50004552677</v>
      </c>
      <c r="Q69" s="270">
        <f t="shared" si="10"/>
        <v>3.8263536532688158E-2</v>
      </c>
      <c r="S69" s="18"/>
    </row>
    <row r="70" spans="1:24" x14ac:dyDescent="0.2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Data'!S70</f>
        <v>6840875.8033127291</v>
      </c>
      <c r="E70" s="269">
        <f>'Monthly Data'!BE70</f>
        <v>37.879166666666663</v>
      </c>
      <c r="F70" s="269">
        <f>'Monthly Data'!CG70</f>
        <v>0.5</v>
      </c>
      <c r="G70" s="269">
        <f>'Monthly Data'!AQ70</f>
        <v>208.8</v>
      </c>
      <c r="H70" s="269">
        <f>'Monthly Data'!CD70</f>
        <v>30</v>
      </c>
      <c r="J70" s="18">
        <f>'GS 1k-4,999 Predicted Monthly'!$T$10</f>
        <v>1375460.7545834701</v>
      </c>
      <c r="K70" s="18">
        <f>E70*'GS 1k-4,999 Predicted Monthly'!$T$11</f>
        <v>338458.78687864897</v>
      </c>
      <c r="L70" s="18">
        <f>F70*'GS 1k-4,999 Predicted Monthly'!$T$12</f>
        <v>-685237.51787006995</v>
      </c>
      <c r="M70" s="18">
        <f>G70*'GS 1k-4,999 Predicted Monthly'!$T$13</f>
        <v>2288272.1265610284</v>
      </c>
      <c r="N70" s="18">
        <f>H70*'GS 1k-4,999 Predicted Monthly'!$T$14</f>
        <v>3396150.4552295702</v>
      </c>
      <c r="O70" s="18">
        <f t="shared" si="11"/>
        <v>6713104.6053826474</v>
      </c>
      <c r="P70" s="18">
        <f t="shared" si="9"/>
        <v>-127771.19793008175</v>
      </c>
      <c r="Q70" s="270">
        <f t="shared" si="10"/>
        <v>1.8677608189905728E-2</v>
      </c>
      <c r="S70" s="18"/>
    </row>
    <row r="71" spans="1:24" x14ac:dyDescent="0.2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Data'!S71</f>
        <v>6096532.0669815103</v>
      </c>
      <c r="E71" s="269">
        <f>'Monthly Data'!BE71</f>
        <v>0.22916666666666785</v>
      </c>
      <c r="F71" s="269">
        <f>'Monthly Data'!CG71</f>
        <v>0.5</v>
      </c>
      <c r="G71" s="269">
        <f>'Monthly Data'!AQ71</f>
        <v>213.3</v>
      </c>
      <c r="H71" s="269">
        <f>'Monthly Data'!CD71</f>
        <v>31</v>
      </c>
      <c r="J71" s="18">
        <f>'GS 1k-4,999 Predicted Monthly'!$T$10</f>
        <v>1375460.7545834701</v>
      </c>
      <c r="K71" s="18">
        <f>E71*'GS 1k-4,999 Predicted Monthly'!$T$11</f>
        <v>2047.6551840639963</v>
      </c>
      <c r="L71" s="18">
        <f>F71*'GS 1k-4,999 Predicted Monthly'!$T$12</f>
        <v>-685237.51787006995</v>
      </c>
      <c r="M71" s="18">
        <f>G71*'GS 1k-4,999 Predicted Monthly'!$T$13</f>
        <v>2337588.336185189</v>
      </c>
      <c r="N71" s="18">
        <f>H71*'GS 1k-4,999 Predicted Monthly'!$T$14</f>
        <v>3509355.4704038892</v>
      </c>
      <c r="O71" s="18">
        <f t="shared" si="11"/>
        <v>6539214.6984865423</v>
      </c>
      <c r="P71" s="18">
        <f t="shared" si="9"/>
        <v>442682.63150503207</v>
      </c>
      <c r="Q71" s="270">
        <f t="shared" si="10"/>
        <v>7.2612204223869728E-2</v>
      </c>
      <c r="S71" s="18"/>
    </row>
    <row r="72" spans="1:24" x14ac:dyDescent="0.2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Data'!S72</f>
        <v>6275162.6858837437</v>
      </c>
      <c r="E72" s="269">
        <f>'Monthly Data'!BE72</f>
        <v>0</v>
      </c>
      <c r="F72" s="269">
        <f>'Monthly Data'!CG72</f>
        <v>0.5</v>
      </c>
      <c r="G72" s="269">
        <f>'Monthly Data'!AQ72</f>
        <v>214.2</v>
      </c>
      <c r="H72" s="269">
        <f>'Monthly Data'!CD72</f>
        <v>30</v>
      </c>
      <c r="J72" s="18">
        <f>'GS 1k-4,999 Predicted Monthly'!$T$10</f>
        <v>1375460.7545834701</v>
      </c>
      <c r="K72" s="18">
        <f>E72*'GS 1k-4,999 Predicted Monthly'!$T$11</f>
        <v>0</v>
      </c>
      <c r="L72" s="18">
        <f>F72*'GS 1k-4,999 Predicted Monthly'!$T$12</f>
        <v>-685237.51787006995</v>
      </c>
      <c r="M72" s="18">
        <f>G72*'GS 1k-4,999 Predicted Monthly'!$T$13</f>
        <v>2347451.5781100206</v>
      </c>
      <c r="N72" s="18">
        <f>H72*'GS 1k-4,999 Predicted Monthly'!$T$14</f>
        <v>3396150.4552295702</v>
      </c>
      <c r="O72" s="18">
        <f t="shared" si="11"/>
        <v>6433825.2700529909</v>
      </c>
      <c r="P72" s="18">
        <f t="shared" si="9"/>
        <v>158662.58416924719</v>
      </c>
      <c r="Q72" s="270">
        <f t="shared" si="10"/>
        <v>2.5284218451605358E-2</v>
      </c>
      <c r="S72" s="18"/>
    </row>
    <row r="73" spans="1:24" x14ac:dyDescent="0.2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Data'!S73</f>
        <v>6594890.4345861645</v>
      </c>
      <c r="E73" s="269">
        <f>'Monthly Data'!BE73</f>
        <v>0</v>
      </c>
      <c r="F73" s="269">
        <f>'Monthly Data'!CG73</f>
        <v>0.5</v>
      </c>
      <c r="G73" s="269">
        <f>'Monthly Data'!AQ73</f>
        <v>213.6</v>
      </c>
      <c r="H73" s="269">
        <f>'Monthly Data'!CD73</f>
        <v>31</v>
      </c>
      <c r="J73" s="18">
        <f>'GS 1k-4,999 Predicted Monthly'!$T$10</f>
        <v>1375460.7545834701</v>
      </c>
      <c r="K73" s="18">
        <f>E73*'GS 1k-4,999 Predicted Monthly'!$T$11</f>
        <v>0</v>
      </c>
      <c r="L73" s="18">
        <f>F73*'GS 1k-4,999 Predicted Monthly'!$T$12</f>
        <v>-685237.51787006995</v>
      </c>
      <c r="M73" s="18">
        <f>G73*'GS 1k-4,999 Predicted Monthly'!$T$13</f>
        <v>2340876.083493466</v>
      </c>
      <c r="N73" s="18">
        <f>H73*'GS 1k-4,999 Predicted Monthly'!$T$14</f>
        <v>3509355.4704038892</v>
      </c>
      <c r="O73" s="18">
        <f t="shared" si="11"/>
        <v>6540454.7906107549</v>
      </c>
      <c r="P73" s="18">
        <f t="shared" si="9"/>
        <v>-54435.643975409679</v>
      </c>
      <c r="Q73" s="270">
        <f t="shared" si="10"/>
        <v>8.2542150647307248E-3</v>
      </c>
      <c r="S73" s="18"/>
    </row>
    <row r="74" spans="1:24" x14ac:dyDescent="0.2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 ca="1">'Monthly Data'!S74</f>
        <v>6463542.8741169646</v>
      </c>
      <c r="E74" s="269">
        <f>'Monthly Data'!BE74</f>
        <v>0</v>
      </c>
      <c r="F74" s="269">
        <f>'Monthly Data'!CG74</f>
        <v>0.5</v>
      </c>
      <c r="G74" s="269">
        <f>'Monthly Data'!AQ74</f>
        <v>207.3</v>
      </c>
      <c r="H74" s="269">
        <f>'Monthly Data'!CD74</f>
        <v>31</v>
      </c>
      <c r="J74" s="18">
        <f>'GS 1k-4,999 Predicted Monthly'!$T$10</f>
        <v>1375460.7545834701</v>
      </c>
      <c r="K74" s="18">
        <f>E74*'GS 1k-4,999 Predicted Monthly'!$T$11</f>
        <v>0</v>
      </c>
      <c r="L74" s="18">
        <f>F74*'GS 1k-4,999 Predicted Monthly'!$T$12</f>
        <v>-685237.51787006995</v>
      </c>
      <c r="M74" s="18">
        <f>G74*'GS 1k-4,999 Predicted Monthly'!$T$13</f>
        <v>2271833.3900196417</v>
      </c>
      <c r="N74" s="18">
        <f>H74*'GS 1k-4,999 Predicted Monthly'!$T$14</f>
        <v>3509355.4704038892</v>
      </c>
      <c r="O74" s="18">
        <f t="shared" si="11"/>
        <v>6471412.0971369315</v>
      </c>
      <c r="P74" s="18">
        <f t="shared" ca="1" si="9"/>
        <v>7869.2230199668556</v>
      </c>
      <c r="Q74" s="270">
        <f t="shared" ca="1" si="10"/>
        <v>1.2174782736382686E-3</v>
      </c>
      <c r="S74" s="18"/>
    </row>
    <row r="75" spans="1:24" x14ac:dyDescent="0.2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 ca="1">'Monthly Data'!S75</f>
        <v>5458795.4616897674</v>
      </c>
      <c r="E75" s="269">
        <f>'Monthly Data'!BE75</f>
        <v>0</v>
      </c>
      <c r="F75" s="269">
        <f>'Monthly Data'!CG75</f>
        <v>0.5</v>
      </c>
      <c r="G75" s="269">
        <f>'Monthly Data'!AQ75</f>
        <v>205.4</v>
      </c>
      <c r="H75" s="269">
        <f>'Monthly Data'!CD75</f>
        <v>28</v>
      </c>
      <c r="J75" s="18">
        <f>'GS 1k-4,999 Predicted Monthly'!$T$10</f>
        <v>1375460.7545834701</v>
      </c>
      <c r="K75" s="18">
        <f>E75*'GS 1k-4,999 Predicted Monthly'!$T$11</f>
        <v>0</v>
      </c>
      <c r="L75" s="18">
        <f>F75*'GS 1k-4,999 Predicted Monthly'!$T$12</f>
        <v>-685237.51787006995</v>
      </c>
      <c r="M75" s="18">
        <f>G75*'GS 1k-4,999 Predicted Monthly'!$T$13</f>
        <v>2251010.9904005523</v>
      </c>
      <c r="N75" s="18">
        <f>H75*'GS 1k-4,999 Predicted Monthly'!$T$14</f>
        <v>3169740.4248809321</v>
      </c>
      <c r="O75" s="18">
        <f t="shared" si="11"/>
        <v>6110974.651994884</v>
      </c>
      <c r="P75" s="18">
        <f t="shared" ca="1" si="9"/>
        <v>652179.19030511659</v>
      </c>
      <c r="Q75" s="270">
        <f t="shared" ca="1" si="10"/>
        <v>0.11947309527938144</v>
      </c>
      <c r="S75" s="18"/>
    </row>
    <row r="76" spans="1:24" x14ac:dyDescent="0.2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 ca="1">'Monthly Data'!S76</f>
        <v>6088324.3268875144</v>
      </c>
      <c r="E76" s="269">
        <f>'Monthly Data'!BE76</f>
        <v>0</v>
      </c>
      <c r="F76" s="269">
        <f>'Monthly Data'!CG76</f>
        <v>0.5</v>
      </c>
      <c r="G76" s="269">
        <f>'Monthly Data'!AQ76</f>
        <v>204.5</v>
      </c>
      <c r="H76" s="269">
        <f>'Monthly Data'!CD76</f>
        <v>31</v>
      </c>
      <c r="J76" s="18">
        <f>'GS 1k-4,999 Predicted Monthly'!$T$10</f>
        <v>1375460.7545834701</v>
      </c>
      <c r="K76" s="18">
        <f>E76*'GS 1k-4,999 Predicted Monthly'!$T$11</f>
        <v>0</v>
      </c>
      <c r="L76" s="18">
        <f>F76*'GS 1k-4,999 Predicted Monthly'!$T$12</f>
        <v>-685237.51787006995</v>
      </c>
      <c r="M76" s="18">
        <f>G76*'GS 1k-4,999 Predicted Monthly'!$T$13</f>
        <v>2241147.7484757202</v>
      </c>
      <c r="N76" s="18">
        <f>H76*'GS 1k-4,999 Predicted Monthly'!$T$14</f>
        <v>3509355.4704038892</v>
      </c>
      <c r="O76" s="18">
        <f t="shared" si="11"/>
        <v>6440726.4555930095</v>
      </c>
      <c r="P76" s="18">
        <f t="shared" ca="1" si="9"/>
        <v>352402.12870549504</v>
      </c>
      <c r="Q76" s="270">
        <f t="shared" ca="1" si="10"/>
        <v>5.7881628800424099E-2</v>
      </c>
    </row>
    <row r="77" spans="1:24" x14ac:dyDescent="0.2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 ca="1">'Monthly Data'!S77</f>
        <v>6926734.3908607904</v>
      </c>
      <c r="E77" s="269">
        <f>'Monthly Data'!BE77</f>
        <v>0.21249999999999858</v>
      </c>
      <c r="F77" s="269">
        <f>'Monthly Data'!CG77</f>
        <v>0.5</v>
      </c>
      <c r="G77" s="269">
        <f>'Monthly Data'!AQ77</f>
        <v>206</v>
      </c>
      <c r="H77" s="269">
        <f>'Monthly Data'!CD77</f>
        <v>30</v>
      </c>
      <c r="J77" s="18">
        <f>'GS 1k-4,999 Predicted Monthly'!$T$10</f>
        <v>1375460.7545834701</v>
      </c>
      <c r="K77" s="18">
        <f>E77*'GS 1k-4,999 Predicted Monthly'!$T$11</f>
        <v>1898.7348070411376</v>
      </c>
      <c r="L77" s="18">
        <f>F77*'GS 1k-4,999 Predicted Monthly'!$T$12</f>
        <v>-685237.51787006995</v>
      </c>
      <c r="M77" s="18">
        <f>G77*'GS 1k-4,999 Predicted Monthly'!$T$13</f>
        <v>2257586.4850171069</v>
      </c>
      <c r="N77" s="18">
        <f>H77*'GS 1k-4,999 Predicted Monthly'!$T$14</f>
        <v>3396150.4552295702</v>
      </c>
      <c r="O77" s="18">
        <f t="shared" si="11"/>
        <v>6345858.9117671186</v>
      </c>
      <c r="P77" s="18">
        <f t="shared" ca="1" si="9"/>
        <v>-580875.47909367178</v>
      </c>
      <c r="Q77" s="270">
        <f t="shared" ca="1" si="10"/>
        <v>8.3859932591046835E-2</v>
      </c>
      <c r="S77" s="18"/>
    </row>
    <row r="78" spans="1:24" x14ac:dyDescent="0.2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 ca="1">'Monthly Data'!S78</f>
        <v>6680382.3897179896</v>
      </c>
      <c r="E78" s="269">
        <f>'Monthly Data'!BE78</f>
        <v>35.574999999999996</v>
      </c>
      <c r="F78" s="269">
        <f>'Monthly Data'!CG78</f>
        <v>0.5</v>
      </c>
      <c r="G78" s="269">
        <f>'Monthly Data'!AQ78</f>
        <v>204.1</v>
      </c>
      <c r="H78" s="269">
        <f>'Monthly Data'!CD78</f>
        <v>31</v>
      </c>
      <c r="J78" s="18">
        <f>'GS 1k-4,999 Predicted Monthly'!$T$10</f>
        <v>1375460.7545834701</v>
      </c>
      <c r="K78" s="18">
        <f>E78*'GS 1k-4,999 Predicted Monthly'!$T$11</f>
        <v>317870.54475524195</v>
      </c>
      <c r="L78" s="18">
        <f>F78*'GS 1k-4,999 Predicted Monthly'!$T$12</f>
        <v>-685237.51787006995</v>
      </c>
      <c r="M78" s="18">
        <f>G78*'GS 1k-4,999 Predicted Monthly'!$T$13</f>
        <v>2236764.085398017</v>
      </c>
      <c r="N78" s="18">
        <f>H78*'GS 1k-4,999 Predicted Monthly'!$T$14</f>
        <v>3509355.4704038892</v>
      </c>
      <c r="O78" s="18">
        <f t="shared" si="11"/>
        <v>6754213.3372705486</v>
      </c>
      <c r="P78" s="18">
        <f t="shared" ca="1" si="9"/>
        <v>73830.947552558966</v>
      </c>
      <c r="Q78" s="270">
        <f t="shared" ca="1" si="10"/>
        <v>1.1051904403884838E-2</v>
      </c>
      <c r="S78" s="18"/>
      <c r="V78" s="18"/>
      <c r="W78" s="18"/>
      <c r="X78" s="231"/>
    </row>
    <row r="79" spans="1:24" x14ac:dyDescent="0.2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 ca="1">'Monthly Data'!S79</f>
        <v>7248113.315856941</v>
      </c>
      <c r="E79" s="269">
        <f>'Monthly Data'!BE79</f>
        <v>124.94583333333331</v>
      </c>
      <c r="F79" s="269">
        <f>'Monthly Data'!CG79</f>
        <v>0.5</v>
      </c>
      <c r="G79" s="269">
        <f>'Monthly Data'!AQ79</f>
        <v>203.9</v>
      </c>
      <c r="H79" s="269">
        <f>'Monthly Data'!CD79</f>
        <v>30</v>
      </c>
      <c r="J79" s="18">
        <f>'GS 1k-4,999 Predicted Monthly'!$T$10</f>
        <v>1375460.7545834701</v>
      </c>
      <c r="K79" s="18">
        <f>E79*'GS 1k-4,999 Predicted Monthly'!$T$11</f>
        <v>1116418.8364459407</v>
      </c>
      <c r="L79" s="18">
        <f>F79*'GS 1k-4,999 Predicted Monthly'!$T$12</f>
        <v>-685237.51787006995</v>
      </c>
      <c r="M79" s="18">
        <f>G79*'GS 1k-4,999 Predicted Monthly'!$T$13</f>
        <v>2234572.2538591656</v>
      </c>
      <c r="N79" s="18">
        <f>H79*'GS 1k-4,999 Predicted Monthly'!$T$14</f>
        <v>3396150.4552295702</v>
      </c>
      <c r="O79" s="18">
        <f t="shared" si="11"/>
        <v>7437364.7822480761</v>
      </c>
      <c r="P79" s="18">
        <f t="shared" ca="1" si="9"/>
        <v>189251.46639113501</v>
      </c>
      <c r="Q79" s="270">
        <f t="shared" ca="1" si="10"/>
        <v>2.6110445317832326E-2</v>
      </c>
      <c r="S79" s="18"/>
      <c r="V79" s="18"/>
      <c r="W79" s="18"/>
      <c r="X79" s="231"/>
    </row>
    <row r="80" spans="1:24" x14ac:dyDescent="0.2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 ca="1">'Monthly Data'!S80</f>
        <v>7248195.6049929485</v>
      </c>
      <c r="E80" s="269">
        <f>'Monthly Data'!BE80</f>
        <v>131.62083333333331</v>
      </c>
      <c r="F80" s="269">
        <f>'Monthly Data'!CG80</f>
        <v>0.5</v>
      </c>
      <c r="G80" s="269">
        <f>'Monthly Data'!AQ80</f>
        <v>205.7</v>
      </c>
      <c r="H80" s="269">
        <f>'Monthly Data'!CD80</f>
        <v>31</v>
      </c>
      <c r="J80" s="18">
        <f>'GS 1k-4,999 Predicted Monthly'!$T$10</f>
        <v>1375460.7545834701</v>
      </c>
      <c r="K80" s="18">
        <f>E80*'GS 1k-4,999 Predicted Monthly'!$T$11</f>
        <v>1176061.4474435861</v>
      </c>
      <c r="L80" s="18">
        <f>F80*'GS 1k-4,999 Predicted Monthly'!$T$12</f>
        <v>-685237.51787006995</v>
      </c>
      <c r="M80" s="18">
        <f>G80*'GS 1k-4,999 Predicted Monthly'!$T$13</f>
        <v>2254298.7377088293</v>
      </c>
      <c r="N80" s="18">
        <f>H80*'GS 1k-4,999 Predicted Monthly'!$T$14</f>
        <v>3509355.4704038892</v>
      </c>
      <c r="O80" s="18">
        <f t="shared" si="11"/>
        <v>7629938.8922697045</v>
      </c>
      <c r="P80" s="18">
        <f t="shared" ca="1" si="9"/>
        <v>381743.28727675602</v>
      </c>
      <c r="Q80" s="270">
        <f t="shared" ca="1" si="10"/>
        <v>5.2667354481133292E-2</v>
      </c>
      <c r="S80" s="18"/>
      <c r="V80" s="18"/>
      <c r="W80" s="18"/>
      <c r="X80" s="231"/>
    </row>
    <row r="81" spans="1:24" x14ac:dyDescent="0.2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 ca="1">'Monthly Data'!S81</f>
        <v>8367078.5521161593</v>
      </c>
      <c r="E81" s="269">
        <f>'Monthly Data'!BE81</f>
        <v>204.06249999999994</v>
      </c>
      <c r="F81" s="269">
        <f>'Monthly Data'!CG81</f>
        <v>0.5</v>
      </c>
      <c r="G81" s="269">
        <f>'Monthly Data'!AQ81</f>
        <v>208.6</v>
      </c>
      <c r="H81" s="269">
        <f>'Monthly Data'!CD81</f>
        <v>31</v>
      </c>
      <c r="J81" s="18">
        <f>'GS 1k-4,999 Predicted Monthly'!$T$10</f>
        <v>1375460.7545834701</v>
      </c>
      <c r="K81" s="18">
        <f>E81*'GS 1k-4,999 Predicted Monthly'!$T$11</f>
        <v>1823343.8661733395</v>
      </c>
      <c r="L81" s="18">
        <f>F81*'GS 1k-4,999 Predicted Monthly'!$T$12</f>
        <v>-685237.51787006995</v>
      </c>
      <c r="M81" s="18">
        <f>G81*'GS 1k-4,999 Predicted Monthly'!$T$13</f>
        <v>2286080.295022177</v>
      </c>
      <c r="N81" s="18">
        <f>H81*'GS 1k-4,999 Predicted Monthly'!$T$14</f>
        <v>3509355.4704038892</v>
      </c>
      <c r="O81" s="18">
        <f t="shared" si="11"/>
        <v>8309002.8683128059</v>
      </c>
      <c r="P81" s="18">
        <f t="shared" ca="1" si="9"/>
        <v>-58075.683803353459</v>
      </c>
      <c r="Q81" s="270">
        <f t="shared" ca="1" si="10"/>
        <v>6.9409750896464633E-3</v>
      </c>
      <c r="S81" s="18"/>
      <c r="V81" s="18"/>
      <c r="W81" s="18"/>
      <c r="X81" s="231"/>
    </row>
    <row r="82" spans="1:24" x14ac:dyDescent="0.2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 ca="1">'Monthly Data'!S82</f>
        <v>6410256.2772931</v>
      </c>
      <c r="E82" s="269">
        <f>'Monthly Data'!BE82</f>
        <v>49.341666666666683</v>
      </c>
      <c r="F82" s="269">
        <f>'Monthly Data'!CG82</f>
        <v>0.5</v>
      </c>
      <c r="G82" s="269">
        <f>'Monthly Data'!AQ82</f>
        <v>212.9</v>
      </c>
      <c r="H82" s="269">
        <f>'Monthly Data'!CD82</f>
        <v>30</v>
      </c>
      <c r="J82" s="18">
        <f>'GS 1k-4,999 Predicted Monthly'!$T$10</f>
        <v>1375460.7545834701</v>
      </c>
      <c r="K82" s="18">
        <f>E82*'GS 1k-4,999 Predicted Monthly'!$T$11</f>
        <v>440878.77617610415</v>
      </c>
      <c r="L82" s="18">
        <f>F82*'GS 1k-4,999 Predicted Monthly'!$T$12</f>
        <v>-685237.51787006995</v>
      </c>
      <c r="M82" s="18">
        <f>G82*'GS 1k-4,999 Predicted Monthly'!$T$13</f>
        <v>2333204.6731074858</v>
      </c>
      <c r="N82" s="18">
        <f>H82*'GS 1k-4,999 Predicted Monthly'!$T$14</f>
        <v>3396150.4552295702</v>
      </c>
      <c r="O82" s="18">
        <f t="shared" si="11"/>
        <v>6860457.1412265599</v>
      </c>
      <c r="P82" s="18">
        <f t="shared" ca="1" si="9"/>
        <v>450200.86393345986</v>
      </c>
      <c r="Q82" s="270">
        <f ca="1">ABS(P82/D82)</f>
        <v>7.0231336230377528E-2</v>
      </c>
      <c r="S82" s="18"/>
      <c r="V82" s="18"/>
      <c r="W82" s="18"/>
      <c r="X82" s="231"/>
    </row>
    <row r="83" spans="1:24" x14ac:dyDescent="0.2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 ca="1">'Monthly Data'!S83</f>
        <v>6890337.5874573551</v>
      </c>
      <c r="E83" s="269">
        <f>'Monthly Data'!BE83</f>
        <v>18.245833333333344</v>
      </c>
      <c r="F83" s="269">
        <f>'Monthly Data'!CG83</f>
        <v>0.5</v>
      </c>
      <c r="G83" s="269">
        <f>'Monthly Data'!AQ83</f>
        <v>217.2</v>
      </c>
      <c r="H83" s="269">
        <f>'Monthly Data'!CD83</f>
        <v>31</v>
      </c>
      <c r="J83" s="18">
        <f>'GS 1k-4,999 Predicted Monthly'!$T$10</f>
        <v>1375460.7545834701</v>
      </c>
      <c r="K83" s="18">
        <f>E83*'GS 1k-4,999 Predicted Monthly'!$T$11</f>
        <v>163030.58274574907</v>
      </c>
      <c r="L83" s="18">
        <f>F83*'GS 1k-4,999 Predicted Monthly'!$T$12</f>
        <v>-685237.51787006995</v>
      </c>
      <c r="M83" s="18">
        <f>G83*'GS 1k-4,999 Predicted Monthly'!$T$13</f>
        <v>2380329.051192794</v>
      </c>
      <c r="N83" s="18">
        <f>H83*'GS 1k-4,999 Predicted Monthly'!$T$14</f>
        <v>3509355.4704038892</v>
      </c>
      <c r="O83" s="18">
        <f t="shared" si="11"/>
        <v>6742938.3410558328</v>
      </c>
      <c r="P83" s="18">
        <f t="shared" ca="1" si="9"/>
        <v>-147399.24640152231</v>
      </c>
      <c r="Q83" s="270">
        <f t="shared" ca="1" si="10"/>
        <v>2.1392166135638498E-2</v>
      </c>
      <c r="S83" s="18"/>
      <c r="V83" s="18"/>
      <c r="W83" s="18"/>
      <c r="X83" s="231"/>
    </row>
    <row r="84" spans="1:24" x14ac:dyDescent="0.2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 ca="1">'Monthly Data'!S84</f>
        <v>6745645.0199029651</v>
      </c>
      <c r="E84" s="269">
        <f>'Monthly Data'!BE84</f>
        <v>0</v>
      </c>
      <c r="F84" s="269">
        <f>'Monthly Data'!CG84</f>
        <v>0.5</v>
      </c>
      <c r="G84" s="269">
        <f>'Monthly Data'!AQ84</f>
        <v>222.6</v>
      </c>
      <c r="H84" s="269">
        <f>'Monthly Data'!CD84</f>
        <v>30</v>
      </c>
      <c r="J84" s="18">
        <f>'GS 1k-4,999 Predicted Monthly'!$T$10</f>
        <v>1375460.7545834701</v>
      </c>
      <c r="K84" s="18">
        <f>E84*'GS 1k-4,999 Predicted Monthly'!$T$11</f>
        <v>0</v>
      </c>
      <c r="L84" s="18">
        <f>F84*'GS 1k-4,999 Predicted Monthly'!$T$12</f>
        <v>-685237.51787006995</v>
      </c>
      <c r="M84" s="18">
        <f>G84*'GS 1k-4,999 Predicted Monthly'!$T$13</f>
        <v>2439508.5027417862</v>
      </c>
      <c r="N84" s="18">
        <f>H84*'GS 1k-4,999 Predicted Monthly'!$T$14</f>
        <v>3396150.4552295702</v>
      </c>
      <c r="O84" s="18">
        <f t="shared" si="11"/>
        <v>6525882.1946847569</v>
      </c>
      <c r="P84" s="18">
        <f t="shared" ca="1" si="9"/>
        <v>-219762.82521820813</v>
      </c>
      <c r="Q84" s="270">
        <f t="shared" ca="1" si="10"/>
        <v>3.2578474641016521E-2</v>
      </c>
      <c r="S84" s="18"/>
      <c r="V84" s="18"/>
      <c r="W84" s="18"/>
      <c r="X84" s="231"/>
    </row>
    <row r="85" spans="1:24" x14ac:dyDescent="0.2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 ca="1">'Monthly Data'!S85</f>
        <v>6129735.4379778169</v>
      </c>
      <c r="E85" s="269">
        <f>'Monthly Data'!BE85</f>
        <v>0</v>
      </c>
      <c r="F85" s="269">
        <f>'Monthly Data'!CG85</f>
        <v>0.5</v>
      </c>
      <c r="G85" s="269">
        <f>'Monthly Data'!AQ85</f>
        <v>223.5</v>
      </c>
      <c r="H85" s="269">
        <f>'Monthly Data'!CD85</f>
        <v>31</v>
      </c>
      <c r="J85" s="18">
        <f>'GS 1k-4,999 Predicted Monthly'!$T$10</f>
        <v>1375460.7545834701</v>
      </c>
      <c r="K85" s="18">
        <f>E85*'GS 1k-4,999 Predicted Monthly'!$T$11</f>
        <v>0</v>
      </c>
      <c r="L85" s="18">
        <f>F85*'GS 1k-4,999 Predicted Monthly'!$T$12</f>
        <v>-685237.51787006995</v>
      </c>
      <c r="M85" s="18">
        <f>G85*'GS 1k-4,999 Predicted Monthly'!$T$13</f>
        <v>2449371.7446666183</v>
      </c>
      <c r="N85" s="18">
        <f>H85*'GS 1k-4,999 Predicted Monthly'!$T$14</f>
        <v>3509355.4704038892</v>
      </c>
      <c r="O85" s="18">
        <f t="shared" si="11"/>
        <v>6648950.4517839076</v>
      </c>
      <c r="P85" s="18">
        <f t="shared" ca="1" si="9"/>
        <v>519215.01380609069</v>
      </c>
      <c r="Q85" s="270">
        <f t="shared" ca="1" si="10"/>
        <v>8.4704310497514437E-2</v>
      </c>
      <c r="S85" s="18"/>
      <c r="V85" s="18"/>
      <c r="W85" s="18"/>
      <c r="X85" s="231"/>
    </row>
    <row r="86" spans="1:24" x14ac:dyDescent="0.2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 ca="1">'Monthly Data'!S86</f>
        <v>6908368.2735126922</v>
      </c>
      <c r="E86" s="269">
        <f>'Monthly Data'!BE86</f>
        <v>0</v>
      </c>
      <c r="F86" s="269">
        <f>'Monthly Data'!CG86</f>
        <v>0.25</v>
      </c>
      <c r="G86" s="269">
        <f>'Monthly Data'!AQ86</f>
        <v>221.3</v>
      </c>
      <c r="H86" s="269">
        <f>'Monthly Data'!CD86</f>
        <v>31</v>
      </c>
      <c r="J86" s="18">
        <f>'GS 1k-4,999 Predicted Monthly'!$T$10</f>
        <v>1375460.7545834701</v>
      </c>
      <c r="K86" s="18">
        <f>E86*'GS 1k-4,999 Predicted Monthly'!$T$11</f>
        <v>0</v>
      </c>
      <c r="L86" s="18">
        <f>F86*'GS 1k-4,999 Predicted Monthly'!$T$12</f>
        <v>-342618.75893503497</v>
      </c>
      <c r="M86" s="18">
        <f>G86*'GS 1k-4,999 Predicted Monthly'!$T$13</f>
        <v>2425261.5977392513</v>
      </c>
      <c r="N86" s="18">
        <f>H86*'GS 1k-4,999 Predicted Monthly'!$T$14</f>
        <v>3509355.4704038892</v>
      </c>
      <c r="O86" s="18">
        <f t="shared" si="11"/>
        <v>6967459.0637915758</v>
      </c>
      <c r="P86" s="18">
        <f t="shared" ca="1" si="9"/>
        <v>59090.790278883651</v>
      </c>
      <c r="Q86" s="270">
        <f t="shared" ca="1" si="10"/>
        <v>8.5535090110124955E-3</v>
      </c>
      <c r="S86" s="18"/>
      <c r="V86" s="18"/>
      <c r="W86" s="18"/>
      <c r="X86" s="231"/>
    </row>
    <row r="87" spans="1:24" x14ac:dyDescent="0.2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 ca="1">'Monthly Data'!S87</f>
        <v>7161065.1241702577</v>
      </c>
      <c r="E87" s="269">
        <f>'Monthly Data'!BE87</f>
        <v>0</v>
      </c>
      <c r="F87" s="269">
        <f>'Monthly Data'!CG87</f>
        <v>0.25</v>
      </c>
      <c r="G87" s="269">
        <f>'Monthly Data'!AQ87</f>
        <v>221.3</v>
      </c>
      <c r="H87" s="269">
        <f>'Monthly Data'!CD87</f>
        <v>28</v>
      </c>
      <c r="J87" s="18">
        <f>'GS 1k-4,999 Predicted Monthly'!$T$10</f>
        <v>1375460.7545834701</v>
      </c>
      <c r="K87" s="18">
        <f>E87*'GS 1k-4,999 Predicted Monthly'!$T$11</f>
        <v>0</v>
      </c>
      <c r="L87" s="18">
        <f>F87*'GS 1k-4,999 Predicted Monthly'!$T$12</f>
        <v>-342618.75893503497</v>
      </c>
      <c r="M87" s="18">
        <f>G87*'GS 1k-4,999 Predicted Monthly'!$T$13</f>
        <v>2425261.5977392513</v>
      </c>
      <c r="N87" s="18">
        <f>H87*'GS 1k-4,999 Predicted Monthly'!$T$14</f>
        <v>3169740.4248809321</v>
      </c>
      <c r="O87" s="18">
        <f t="shared" si="11"/>
        <v>6627844.0182686187</v>
      </c>
      <c r="P87" s="18">
        <f t="shared" ca="1" si="9"/>
        <v>-533221.10590163898</v>
      </c>
      <c r="Q87" s="270">
        <f t="shared" ca="1" si="10"/>
        <v>7.4461144628037795E-2</v>
      </c>
      <c r="S87" s="18"/>
      <c r="V87" s="18"/>
      <c r="W87" s="18"/>
      <c r="X87" s="231"/>
    </row>
    <row r="88" spans="1:24" x14ac:dyDescent="0.2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 ca="1">'Monthly Data'!S88</f>
        <v>7060294.2042749701</v>
      </c>
      <c r="E88" s="269">
        <f>'Monthly Data'!BE88</f>
        <v>0</v>
      </c>
      <c r="F88" s="269">
        <f>'Monthly Data'!CG88</f>
        <v>0.25</v>
      </c>
      <c r="G88" s="269">
        <f>'Monthly Data'!AQ88</f>
        <v>222.7</v>
      </c>
      <c r="H88" s="269">
        <f>'Monthly Data'!CD88</f>
        <v>31</v>
      </c>
      <c r="J88" s="18">
        <f>'GS 1k-4,999 Predicted Monthly'!$T$10</f>
        <v>1375460.7545834701</v>
      </c>
      <c r="K88" s="18">
        <f>E88*'GS 1k-4,999 Predicted Monthly'!$T$11</f>
        <v>0</v>
      </c>
      <c r="L88" s="18">
        <f>F88*'GS 1k-4,999 Predicted Monthly'!$T$12</f>
        <v>-342618.75893503497</v>
      </c>
      <c r="M88" s="18">
        <f>G88*'GS 1k-4,999 Predicted Monthly'!$T$13</f>
        <v>2440604.4185112119</v>
      </c>
      <c r="N88" s="18">
        <f>H88*'GS 1k-4,999 Predicted Monthly'!$T$14</f>
        <v>3509355.4704038892</v>
      </c>
      <c r="O88" s="18">
        <f t="shared" si="11"/>
        <v>6982801.8845635364</v>
      </c>
      <c r="P88" s="18">
        <f t="shared" ca="1" si="9"/>
        <v>-77492.319711433724</v>
      </c>
      <c r="Q88" s="270">
        <f t="shared" ca="1" si="10"/>
        <v>1.0975791867782584E-2</v>
      </c>
      <c r="S88" s="18"/>
    </row>
    <row r="89" spans="1:24" x14ac:dyDescent="0.2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 ca="1">'Monthly Data'!S89</f>
        <v>6937129.8462657398</v>
      </c>
      <c r="E89" s="269">
        <f>'Monthly Data'!BE89</f>
        <v>0</v>
      </c>
      <c r="F89" s="269">
        <f>'Monthly Data'!CG89</f>
        <v>0.25</v>
      </c>
      <c r="G89" s="269">
        <f>'Monthly Data'!AQ89</f>
        <v>227.3</v>
      </c>
      <c r="H89" s="269">
        <f>'Monthly Data'!CD89</f>
        <v>30</v>
      </c>
      <c r="J89" s="18">
        <f>'GS 1k-4,999 Predicted Monthly'!$T$10</f>
        <v>1375460.7545834701</v>
      </c>
      <c r="K89" s="18">
        <f>E89*'GS 1k-4,999 Predicted Monthly'!$T$11</f>
        <v>0</v>
      </c>
      <c r="L89" s="18">
        <f>F89*'GS 1k-4,999 Predicted Monthly'!$T$12</f>
        <v>-342618.75893503497</v>
      </c>
      <c r="M89" s="18">
        <f>G89*'GS 1k-4,999 Predicted Monthly'!$T$13</f>
        <v>2491016.5439047981</v>
      </c>
      <c r="N89" s="18">
        <f>H89*'GS 1k-4,999 Predicted Monthly'!$T$14</f>
        <v>3396150.4552295702</v>
      </c>
      <c r="O89" s="18">
        <f t="shared" si="11"/>
        <v>6920008.9947828036</v>
      </c>
      <c r="P89" s="18">
        <f t="shared" ca="1" si="9"/>
        <v>-17120.851482936181</v>
      </c>
      <c r="Q89" s="270">
        <f t="shared" ca="1" si="10"/>
        <v>2.4680021654996617E-3</v>
      </c>
      <c r="X89" s="277"/>
    </row>
    <row r="90" spans="1:24" x14ac:dyDescent="0.2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 ca="1">'Monthly Data'!S90</f>
        <v>7876523.1750036683</v>
      </c>
      <c r="E90" s="269">
        <f>'Monthly Data'!BE90</f>
        <v>41.6875</v>
      </c>
      <c r="F90" s="269">
        <f>'Monthly Data'!CG90</f>
        <v>0.25</v>
      </c>
      <c r="G90" s="269">
        <f>'Monthly Data'!AQ90</f>
        <v>229.3</v>
      </c>
      <c r="H90" s="269">
        <f>'Monthly Data'!CD90</f>
        <v>31</v>
      </c>
      <c r="J90" s="18">
        <f>'GS 1k-4,999 Predicted Monthly'!$T$10</f>
        <v>1375460.7545834701</v>
      </c>
      <c r="K90" s="18">
        <f>E90*'GS 1k-4,999 Predicted Monthly'!$T$11</f>
        <v>372487.09302836686</v>
      </c>
      <c r="L90" s="18">
        <f>F90*'GS 1k-4,999 Predicted Monthly'!$T$12</f>
        <v>-342618.75893503497</v>
      </c>
      <c r="M90" s="18">
        <f>G90*'GS 1k-4,999 Predicted Monthly'!$T$13</f>
        <v>2512934.8592933137</v>
      </c>
      <c r="N90" s="18">
        <f>H90*'GS 1k-4,999 Predicted Monthly'!$T$14</f>
        <v>3509355.4704038892</v>
      </c>
      <c r="O90" s="18">
        <f t="shared" si="11"/>
        <v>7427619.4183740048</v>
      </c>
      <c r="P90" s="18">
        <f t="shared" ca="1" si="9"/>
        <v>-448903.75662966352</v>
      </c>
      <c r="Q90" s="270">
        <f t="shared" ca="1" si="10"/>
        <v>5.6992628175623242E-2</v>
      </c>
    </row>
    <row r="91" spans="1:24" x14ac:dyDescent="0.2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 ca="1">'Monthly Data'!S91</f>
        <v>8322270.4452530704</v>
      </c>
      <c r="E91" s="269">
        <f>'Monthly Data'!BE91</f>
        <v>67.11282467532466</v>
      </c>
      <c r="F91" s="269">
        <f>'Monthly Data'!CG91</f>
        <v>0.25</v>
      </c>
      <c r="G91" s="269">
        <f>'Monthly Data'!AQ91</f>
        <v>229.9</v>
      </c>
      <c r="H91" s="269">
        <f>'Monthly Data'!CD91</f>
        <v>30</v>
      </c>
      <c r="J91" s="18">
        <f>'GS 1k-4,999 Predicted Monthly'!$T$10</f>
        <v>1375460.7545834701</v>
      </c>
      <c r="K91" s="18">
        <f>E91*'GS 1k-4,999 Predicted Monthly'!$T$11</f>
        <v>599668.02922300762</v>
      </c>
      <c r="L91" s="18">
        <f>F91*'GS 1k-4,999 Predicted Monthly'!$T$12</f>
        <v>-342618.75893503497</v>
      </c>
      <c r="M91" s="18">
        <f>G91*'GS 1k-4,999 Predicted Monthly'!$T$13</f>
        <v>2519510.3539098683</v>
      </c>
      <c r="N91" s="18">
        <f>H91*'GS 1k-4,999 Predicted Monthly'!$T$14</f>
        <v>3396150.4552295702</v>
      </c>
      <c r="O91" s="18">
        <f t="shared" si="11"/>
        <v>7548170.8340108814</v>
      </c>
      <c r="P91" s="18">
        <f t="shared" ca="1" si="9"/>
        <v>-774099.61124218907</v>
      </c>
      <c r="Q91" s="270">
        <f t="shared" ca="1" si="10"/>
        <v>9.3015435671611316E-2</v>
      </c>
    </row>
    <row r="92" spans="1:24" x14ac:dyDescent="0.2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 ca="1">'Monthly Data'!S92</f>
        <v>8827559.3099206332</v>
      </c>
      <c r="E92" s="269">
        <f>'Monthly Data'!BE92</f>
        <v>159.8543382913806</v>
      </c>
      <c r="F92" s="269">
        <f>'Monthly Data'!CG92</f>
        <v>0.25</v>
      </c>
      <c r="G92" s="269">
        <f>'Monthly Data'!AQ92</f>
        <v>228.8</v>
      </c>
      <c r="H92" s="269">
        <f>'Monthly Data'!CD92</f>
        <v>31</v>
      </c>
      <c r="J92" s="18">
        <f>'GS 1k-4,999 Predicted Monthly'!$T$10</f>
        <v>1375460.7545834701</v>
      </c>
      <c r="K92" s="18">
        <f>E92*'GS 1k-4,999 Predicted Monthly'!$T$11</f>
        <v>1428334.0996252957</v>
      </c>
      <c r="L92" s="18">
        <f>F92*'GS 1k-4,999 Predicted Monthly'!$T$12</f>
        <v>-342618.75893503497</v>
      </c>
      <c r="M92" s="18">
        <f>G92*'GS 1k-4,999 Predicted Monthly'!$T$13</f>
        <v>2507455.2804461848</v>
      </c>
      <c r="N92" s="18">
        <f>H92*'GS 1k-4,999 Predicted Monthly'!$T$14</f>
        <v>3509355.4704038892</v>
      </c>
      <c r="O92" s="18">
        <f t="shared" si="11"/>
        <v>8477986.8461238034</v>
      </c>
      <c r="P92" s="18">
        <f t="shared" ca="1" si="9"/>
        <v>-349572.4637968298</v>
      </c>
      <c r="Q92" s="270">
        <f t="shared" ca="1" si="10"/>
        <v>3.9600126323022435E-2</v>
      </c>
    </row>
    <row r="93" spans="1:24" x14ac:dyDescent="0.2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 ca="1">'Monthly Data'!S93</f>
        <v>8328062.3203116339</v>
      </c>
      <c r="E93" s="269">
        <f>'Monthly Data'!BE93</f>
        <v>166.28333333333327</v>
      </c>
      <c r="F93" s="269">
        <f>'Monthly Data'!CG93</f>
        <v>0.25</v>
      </c>
      <c r="G93" s="269">
        <f>'Monthly Data'!AQ93</f>
        <v>227.3</v>
      </c>
      <c r="H93" s="269">
        <f>'Monthly Data'!CD93</f>
        <v>31</v>
      </c>
      <c r="J93" s="18">
        <f>'GS 1k-4,999 Predicted Monthly'!$T$10</f>
        <v>1375460.7545834701</v>
      </c>
      <c r="K93" s="18">
        <f>E93*'GS 1k-4,999 Predicted Monthly'!$T$11</f>
        <v>1485778.6015568275</v>
      </c>
      <c r="L93" s="18">
        <f>F93*'GS 1k-4,999 Predicted Monthly'!$T$12</f>
        <v>-342618.75893503497</v>
      </c>
      <c r="M93" s="18">
        <f>G93*'GS 1k-4,999 Predicted Monthly'!$T$13</f>
        <v>2491016.5439047981</v>
      </c>
      <c r="N93" s="18">
        <f>H93*'GS 1k-4,999 Predicted Monthly'!$T$14</f>
        <v>3509355.4704038892</v>
      </c>
      <c r="O93" s="18">
        <f t="shared" si="11"/>
        <v>8518992.6115139499</v>
      </c>
      <c r="P93" s="18">
        <f t="shared" ca="1" si="9"/>
        <v>190930.29120231606</v>
      </c>
      <c r="Q93" s="270">
        <f t="shared" ca="1" si="10"/>
        <v>2.2926136219784135E-2</v>
      </c>
    </row>
    <row r="94" spans="1:24" x14ac:dyDescent="0.2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 ca="1">'Monthly Data'!S94</f>
        <v>8119499.6764864782</v>
      </c>
      <c r="E94" s="269">
        <f>'Monthly Data'!BE94</f>
        <v>56.250000000000007</v>
      </c>
      <c r="F94" s="269">
        <f>'Monthly Data'!CG94</f>
        <v>0.25</v>
      </c>
      <c r="G94" s="269">
        <f>'Monthly Data'!AQ94</f>
        <v>226</v>
      </c>
      <c r="H94" s="269">
        <f>'Monthly Data'!CD94</f>
        <v>30</v>
      </c>
      <c r="J94" s="18">
        <f>'GS 1k-4,999 Predicted Monthly'!$T$10</f>
        <v>1375460.7545834701</v>
      </c>
      <c r="K94" s="18">
        <f>E94*'GS 1k-4,999 Predicted Monthly'!$T$11</f>
        <v>502606.27245206927</v>
      </c>
      <c r="L94" s="18">
        <f>F94*'GS 1k-4,999 Predicted Monthly'!$T$12</f>
        <v>-342618.75893503497</v>
      </c>
      <c r="M94" s="18">
        <f>G94*'GS 1k-4,999 Predicted Monthly'!$T$13</f>
        <v>2476769.6389022628</v>
      </c>
      <c r="N94" s="18">
        <f>H94*'GS 1k-4,999 Predicted Monthly'!$T$14</f>
        <v>3396150.4552295702</v>
      </c>
      <c r="O94" s="18">
        <f t="shared" si="11"/>
        <v>7408368.3622323368</v>
      </c>
      <c r="P94" s="18">
        <f t="shared" ca="1" si="9"/>
        <v>-711131.31425414141</v>
      </c>
      <c r="Q94" s="270">
        <f t="shared" ca="1" si="10"/>
        <v>8.7583144601080479E-2</v>
      </c>
    </row>
    <row r="95" spans="1:24" x14ac:dyDescent="0.2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 ca="1">'Monthly Data'!S95</f>
        <v>8411833.9390506037</v>
      </c>
      <c r="E95" s="269">
        <f>'Monthly Data'!BE95</f>
        <v>0</v>
      </c>
      <c r="F95" s="269">
        <f>'Monthly Data'!CG95</f>
        <v>0.25</v>
      </c>
      <c r="G95" s="269">
        <f>'Monthly Data'!AQ95</f>
        <v>226.2</v>
      </c>
      <c r="H95" s="269">
        <f>'Monthly Data'!CD95</f>
        <v>31</v>
      </c>
      <c r="J95" s="18">
        <f>'GS 1k-4,999 Predicted Monthly'!$T$10</f>
        <v>1375460.7545834701</v>
      </c>
      <c r="K95" s="18">
        <f>E95*'GS 1k-4,999 Predicted Monthly'!$T$11</f>
        <v>0</v>
      </c>
      <c r="L95" s="18">
        <f>F95*'GS 1k-4,999 Predicted Monthly'!$T$12</f>
        <v>-342618.75893503497</v>
      </c>
      <c r="M95" s="18">
        <f>G95*'GS 1k-4,999 Predicted Monthly'!$T$13</f>
        <v>2478961.4704411142</v>
      </c>
      <c r="N95" s="18">
        <f>H95*'GS 1k-4,999 Predicted Monthly'!$T$14</f>
        <v>3509355.4704038892</v>
      </c>
      <c r="O95" s="18">
        <f t="shared" si="11"/>
        <v>7021158.9364934387</v>
      </c>
      <c r="P95" s="18">
        <f t="shared" ca="1" si="9"/>
        <v>-1390675.002557165</v>
      </c>
      <c r="Q95" s="270">
        <f t="shared" ca="1" si="10"/>
        <v>0.16532363960505414</v>
      </c>
    </row>
    <row r="96" spans="1:24" x14ac:dyDescent="0.2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 ca="1">'Monthly Data'!S96</f>
        <v>7443581.0338858347</v>
      </c>
      <c r="E96" s="269">
        <f>'Monthly Data'!BE96</f>
        <v>0</v>
      </c>
      <c r="F96" s="269">
        <f>'Monthly Data'!CG96</f>
        <v>0.25</v>
      </c>
      <c r="G96" s="269">
        <f>'Monthly Data'!AQ96</f>
        <v>225.9</v>
      </c>
      <c r="H96" s="269">
        <f>'Monthly Data'!CD96</f>
        <v>30</v>
      </c>
      <c r="J96" s="18">
        <f>'GS 1k-4,999 Predicted Monthly'!$T$10</f>
        <v>1375460.7545834701</v>
      </c>
      <c r="K96" s="18">
        <f>E96*'GS 1k-4,999 Predicted Monthly'!$T$11</f>
        <v>0</v>
      </c>
      <c r="L96" s="18">
        <f>F96*'GS 1k-4,999 Predicted Monthly'!$T$12</f>
        <v>-342618.75893503497</v>
      </c>
      <c r="M96" s="18">
        <f>G96*'GS 1k-4,999 Predicted Monthly'!$T$13</f>
        <v>2475673.7231328371</v>
      </c>
      <c r="N96" s="18">
        <f>H96*'GS 1k-4,999 Predicted Monthly'!$T$14</f>
        <v>3396150.4552295702</v>
      </c>
      <c r="O96" s="18">
        <f t="shared" si="11"/>
        <v>6904666.1740108421</v>
      </c>
      <c r="P96" s="18">
        <f t="shared" ca="1" si="9"/>
        <v>-538914.85987499263</v>
      </c>
      <c r="Q96" s="270">
        <f t="shared" ca="1" si="10"/>
        <v>7.2399945324926274E-2</v>
      </c>
    </row>
    <row r="97" spans="1:17" x14ac:dyDescent="0.2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 ca="1">'Monthly Data'!S97</f>
        <v>7190527.751085096</v>
      </c>
      <c r="E97" s="269">
        <f>'Monthly Data'!BE97</f>
        <v>0</v>
      </c>
      <c r="F97" s="269">
        <f>'Monthly Data'!CG97</f>
        <v>0.25</v>
      </c>
      <c r="G97" s="269">
        <f>'Monthly Data'!AQ97</f>
        <v>227.6</v>
      </c>
      <c r="H97" s="269">
        <f>'Monthly Data'!CD97</f>
        <v>31</v>
      </c>
      <c r="J97" s="18">
        <f>'GS 1k-4,999 Predicted Monthly'!$T$10</f>
        <v>1375460.7545834701</v>
      </c>
      <c r="K97" s="18">
        <f>E97*'GS 1k-4,999 Predicted Monthly'!$T$11</f>
        <v>0</v>
      </c>
      <c r="L97" s="18">
        <f>F97*'GS 1k-4,999 Predicted Monthly'!$T$12</f>
        <v>-342618.75893503497</v>
      </c>
      <c r="M97" s="18">
        <f>G97*'GS 1k-4,999 Predicted Monthly'!$T$13</f>
        <v>2494304.2912130752</v>
      </c>
      <c r="N97" s="18">
        <f>H97*'GS 1k-4,999 Predicted Monthly'!$T$14</f>
        <v>3509355.4704038892</v>
      </c>
      <c r="O97" s="18">
        <f t="shared" si="11"/>
        <v>7036501.7572653992</v>
      </c>
      <c r="P97" s="18">
        <f t="shared" ca="1" si="9"/>
        <v>-154025.99381969683</v>
      </c>
      <c r="Q97" s="270">
        <f t="shared" ca="1" si="10"/>
        <v>2.1420679976717056E-2</v>
      </c>
    </row>
    <row r="98" spans="1:17" x14ac:dyDescent="0.2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 ca="1">'Monthly Data'!S98</f>
        <v>7276587.4379076399</v>
      </c>
      <c r="E98" s="269">
        <f>'Monthly Data'!BE98</f>
        <v>0</v>
      </c>
      <c r="F98" s="269">
        <f>'Monthly Data'!CG98</f>
        <v>0</v>
      </c>
      <c r="G98" s="269">
        <f>'Monthly Data'!AQ98</f>
        <v>228.9</v>
      </c>
      <c r="H98" s="269">
        <f>'Monthly Data'!CD98</f>
        <v>31</v>
      </c>
      <c r="J98" s="18">
        <f>'GS 1k-4,999 Predicted Monthly'!$T$10</f>
        <v>1375460.7545834701</v>
      </c>
      <c r="K98" s="18">
        <f>E98*'GS 1k-4,999 Predicted Monthly'!$T$11</f>
        <v>0</v>
      </c>
      <c r="L98" s="18">
        <f>F98*'GS 1k-4,999 Predicted Monthly'!$T$12</f>
        <v>0</v>
      </c>
      <c r="M98" s="18">
        <f>G98*'GS 1k-4,999 Predicted Monthly'!$T$13</f>
        <v>2508551.1962156105</v>
      </c>
      <c r="N98" s="18">
        <f>H98*'GS 1k-4,999 Predicted Monthly'!$T$14</f>
        <v>3509355.4704038892</v>
      </c>
      <c r="O98" s="18">
        <f t="shared" si="11"/>
        <v>7393367.4212029697</v>
      </c>
      <c r="P98" s="18">
        <f t="shared" ref="P98:P121" ca="1" si="12">O98-D98</f>
        <v>116779.98329532985</v>
      </c>
      <c r="Q98" s="270">
        <f t="shared" ref="Q98:Q121" ca="1" si="13">ABS(P98/D98)</f>
        <v>1.6048729475435199E-2</v>
      </c>
    </row>
    <row r="99" spans="1:17" x14ac:dyDescent="0.2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 ca="1">'Monthly Data'!S99</f>
        <v>7137341.2992951712</v>
      </c>
      <c r="E99" s="269">
        <f>'Monthly Data'!BE99</f>
        <v>0</v>
      </c>
      <c r="F99" s="269">
        <f>'Monthly Data'!CG99</f>
        <v>0</v>
      </c>
      <c r="G99" s="269">
        <f>'Monthly Data'!AQ99</f>
        <v>229.5</v>
      </c>
      <c r="H99" s="269">
        <f>'Monthly Data'!CD99</f>
        <v>28</v>
      </c>
      <c r="J99" s="18">
        <f>'GS 1k-4,999 Predicted Monthly'!$T$10</f>
        <v>1375460.7545834701</v>
      </c>
      <c r="K99" s="18">
        <f>E99*'GS 1k-4,999 Predicted Monthly'!$T$11</f>
        <v>0</v>
      </c>
      <c r="L99" s="18">
        <f>F99*'GS 1k-4,999 Predicted Monthly'!$T$12</f>
        <v>0</v>
      </c>
      <c r="M99" s="18">
        <f>G99*'GS 1k-4,999 Predicted Monthly'!$T$13</f>
        <v>2515126.6908321651</v>
      </c>
      <c r="N99" s="18">
        <f>H99*'GS 1k-4,999 Predicted Monthly'!$T$14</f>
        <v>3169740.4248809321</v>
      </c>
      <c r="O99" s="18">
        <f t="shared" si="11"/>
        <v>7060327.8702965677</v>
      </c>
      <c r="P99" s="18">
        <f t="shared" ca="1" si="12"/>
        <v>-77013.428998603486</v>
      </c>
      <c r="Q99" s="270">
        <f t="shared" ca="1" si="13"/>
        <v>1.079021245715246E-2</v>
      </c>
    </row>
    <row r="100" spans="1:17" x14ac:dyDescent="0.2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 ca="1">'Monthly Data'!S100</f>
        <v>6748870.9005109631</v>
      </c>
      <c r="E100" s="269">
        <f>'Monthly Data'!BE100</f>
        <v>0</v>
      </c>
      <c r="F100" s="269">
        <f>'Monthly Data'!CG100</f>
        <v>0</v>
      </c>
      <c r="G100" s="269">
        <f>'Monthly Data'!AQ100</f>
        <v>226.7</v>
      </c>
      <c r="H100" s="269">
        <f>'Monthly Data'!CD100</f>
        <v>31</v>
      </c>
      <c r="J100" s="18">
        <f>'GS 1k-4,999 Predicted Monthly'!$T$10</f>
        <v>1375460.7545834701</v>
      </c>
      <c r="K100" s="18">
        <f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2484441.0492882431</v>
      </c>
      <c r="N100" s="18">
        <f>H100*'GS 1k-4,999 Predicted Monthly'!$T$14</f>
        <v>3509355.4704038892</v>
      </c>
      <c r="O100" s="18">
        <f t="shared" si="11"/>
        <v>7369257.2742756028</v>
      </c>
      <c r="P100" s="18">
        <f t="shared" ca="1" si="12"/>
        <v>620386.37376463972</v>
      </c>
      <c r="Q100" s="270">
        <f t="shared" ca="1" si="13"/>
        <v>9.1924468983051622E-2</v>
      </c>
    </row>
    <row r="101" spans="1:17" x14ac:dyDescent="0.2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 ca="1">'Monthly Data'!S101</f>
        <v>6916620.2189699095</v>
      </c>
      <c r="E101" s="269">
        <f>'Monthly Data'!BE101</f>
        <v>1.75833333333334</v>
      </c>
      <c r="F101" s="269">
        <f>'Monthly Data'!CG101</f>
        <v>0</v>
      </c>
      <c r="G101" s="269">
        <f>'Monthly Data'!AQ101</f>
        <v>223.9</v>
      </c>
      <c r="H101" s="269">
        <f>'Monthly Data'!CD101</f>
        <v>30</v>
      </c>
      <c r="J101" s="18">
        <f>'GS 1k-4,999 Predicted Monthly'!$T$10</f>
        <v>1375460.7545834701</v>
      </c>
      <c r="K101" s="18">
        <f>E101*'GS 1k-4,999 Predicted Monthly'!$T$11</f>
        <v>15711.099775909186</v>
      </c>
      <c r="L101" s="18">
        <f>F101*'GS 1k-4,999 Predicted Monthly'!$T$12</f>
        <v>0</v>
      </c>
      <c r="M101" s="18">
        <f>G101*'GS 1k-4,999 Predicted Monthly'!$T$13</f>
        <v>2453755.4077443215</v>
      </c>
      <c r="N101" s="18">
        <f>H101*'GS 1k-4,999 Predicted Monthly'!$T$14</f>
        <v>3396150.4552295702</v>
      </c>
      <c r="O101" s="18">
        <f t="shared" si="11"/>
        <v>7241077.7173332712</v>
      </c>
      <c r="P101" s="18">
        <f t="shared" ca="1" si="12"/>
        <v>324457.49836336169</v>
      </c>
      <c r="Q101" s="270">
        <f t="shared" ca="1" si="13"/>
        <v>4.6909832850658244E-2</v>
      </c>
    </row>
    <row r="102" spans="1:17" x14ac:dyDescent="0.2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 ca="1">'Monthly Data'!S102</f>
        <v>7166374.0619376265</v>
      </c>
      <c r="E102" s="269">
        <f>'Monthly Data'!BE102</f>
        <v>19.570833333333329</v>
      </c>
      <c r="F102" s="269">
        <f>'Monthly Data'!CG102</f>
        <v>0</v>
      </c>
      <c r="G102" s="269">
        <f>'Monthly Data'!AQ102</f>
        <v>220</v>
      </c>
      <c r="H102" s="269">
        <f>'Monthly Data'!CD102</f>
        <v>31</v>
      </c>
      <c r="J102" s="18">
        <f>'GS 1k-4,999 Predicted Monthly'!$T$10</f>
        <v>1375460.7545834701</v>
      </c>
      <c r="K102" s="18">
        <f>E102*'GS 1k-4,999 Predicted Monthly'!$T$11</f>
        <v>174869.75271906436</v>
      </c>
      <c r="L102" s="18">
        <f>F102*'GS 1k-4,999 Predicted Monthly'!$T$12</f>
        <v>0</v>
      </c>
      <c r="M102" s="18">
        <f>G102*'GS 1k-4,999 Predicted Monthly'!$T$13</f>
        <v>2411014.692736716</v>
      </c>
      <c r="N102" s="18">
        <f>H102*'GS 1k-4,999 Predicted Monthly'!$T$14</f>
        <v>3509355.4704038892</v>
      </c>
      <c r="O102" s="18">
        <f t="shared" si="11"/>
        <v>7470700.67044314</v>
      </c>
      <c r="P102" s="18">
        <f t="shared" ca="1" si="12"/>
        <v>304326.60850551352</v>
      </c>
      <c r="Q102" s="270">
        <f t="shared" ca="1" si="13"/>
        <v>4.2465911753318451E-2</v>
      </c>
    </row>
    <row r="103" spans="1:17" x14ac:dyDescent="0.2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 ca="1">'Monthly Data'!S103</f>
        <v>7927235.7616078435</v>
      </c>
      <c r="E103" s="269">
        <f>'Monthly Data'!BE103</f>
        <v>89.8125</v>
      </c>
      <c r="F103" s="269">
        <f>'Monthly Data'!CG103</f>
        <v>0</v>
      </c>
      <c r="G103" s="269">
        <f>'Monthly Data'!AQ103</f>
        <v>220.4</v>
      </c>
      <c r="H103" s="269">
        <f>'Monthly Data'!CD103</f>
        <v>30</v>
      </c>
      <c r="J103" s="18">
        <f>'GS 1k-4,999 Predicted Monthly'!$T$10</f>
        <v>1375460.7545834701</v>
      </c>
      <c r="K103" s="18">
        <f>E103*'GS 1k-4,999 Predicted Monthly'!$T$11</f>
        <v>802494.68168180389</v>
      </c>
      <c r="L103" s="18">
        <f>F103*'GS 1k-4,999 Predicted Monthly'!$T$12</f>
        <v>0</v>
      </c>
      <c r="M103" s="18">
        <f>G103*'GS 1k-4,999 Predicted Monthly'!$T$13</f>
        <v>2415398.3558144192</v>
      </c>
      <c r="N103" s="18">
        <f>H103*'GS 1k-4,999 Predicted Monthly'!$T$14</f>
        <v>3396150.4552295702</v>
      </c>
      <c r="O103" s="18">
        <f t="shared" si="11"/>
        <v>7989504.2473092629</v>
      </c>
      <c r="P103" s="18">
        <f t="shared" ca="1" si="12"/>
        <v>62268.485701419413</v>
      </c>
      <c r="Q103" s="270">
        <f t="shared" ca="1" si="13"/>
        <v>7.8550061552338374E-3</v>
      </c>
    </row>
    <row r="104" spans="1:17" x14ac:dyDescent="0.2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 ca="1">'Monthly Data'!S104</f>
        <v>8119868.4054430835</v>
      </c>
      <c r="E104" s="269">
        <f>'Monthly Data'!BE104</f>
        <v>161.78333333333336</v>
      </c>
      <c r="F104" s="269">
        <f>'Monthly Data'!CG104</f>
        <v>0</v>
      </c>
      <c r="G104" s="269">
        <f>'Monthly Data'!AQ104</f>
        <v>220.8</v>
      </c>
      <c r="H104" s="269">
        <f>'Monthly Data'!CD104</f>
        <v>31</v>
      </c>
      <c r="J104" s="18">
        <f>'GS 1k-4,999 Predicted Monthly'!$T$10</f>
        <v>1375460.7545834701</v>
      </c>
      <c r="K104" s="18">
        <f>E104*'GS 1k-4,999 Predicted Monthly'!$T$11</f>
        <v>1445570.0997606628</v>
      </c>
      <c r="L104" s="18">
        <f>F104*'GS 1k-4,999 Predicted Monthly'!$T$12</f>
        <v>0</v>
      </c>
      <c r="M104" s="18">
        <f>G104*'GS 1k-4,999 Predicted Monthly'!$T$13</f>
        <v>2419782.0188921224</v>
      </c>
      <c r="N104" s="18">
        <f>H104*'GS 1k-4,999 Predicted Monthly'!$T$14</f>
        <v>3509355.4704038892</v>
      </c>
      <c r="O104" s="18">
        <f t="shared" si="11"/>
        <v>8750168.3436401449</v>
      </c>
      <c r="P104" s="18">
        <f t="shared" ca="1" si="12"/>
        <v>630299.93819706142</v>
      </c>
      <c r="Q104" s="270">
        <f t="shared" ca="1" si="13"/>
        <v>7.7624403096797148E-2</v>
      </c>
    </row>
    <row r="105" spans="1:17" x14ac:dyDescent="0.2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 ca="1">'Monthly Data'!S105</f>
        <v>8174529.1976424176</v>
      </c>
      <c r="E105" s="269">
        <f>'Monthly Data'!BE105</f>
        <v>105.41739130434784</v>
      </c>
      <c r="F105" s="269">
        <f>'Monthly Data'!CG105</f>
        <v>0</v>
      </c>
      <c r="G105" s="269">
        <f>'Monthly Data'!AQ105</f>
        <v>223.5</v>
      </c>
      <c r="H105" s="269">
        <f>'Monthly Data'!CD105</f>
        <v>31</v>
      </c>
      <c r="J105" s="18">
        <f>'GS 1k-4,999 Predicted Monthly'!$T$10</f>
        <v>1375460.7545834701</v>
      </c>
      <c r="K105" s="18">
        <f>E105*'GS 1k-4,999 Predicted Monthly'!$T$11</f>
        <v>941927.85946843459</v>
      </c>
      <c r="L105" s="18">
        <f>F105*'GS 1k-4,999 Predicted Monthly'!$T$12</f>
        <v>0</v>
      </c>
      <c r="M105" s="18">
        <f>G105*'GS 1k-4,999 Predicted Monthly'!$T$13</f>
        <v>2449371.7446666183</v>
      </c>
      <c r="N105" s="18">
        <f>H105*'GS 1k-4,999 Predicted Monthly'!$T$14</f>
        <v>3509355.4704038892</v>
      </c>
      <c r="O105" s="18">
        <f t="shared" si="11"/>
        <v>8276115.829122412</v>
      </c>
      <c r="P105" s="18">
        <f t="shared" ca="1" si="12"/>
        <v>101586.63147999439</v>
      </c>
      <c r="Q105" s="270">
        <f t="shared" ca="1" si="13"/>
        <v>1.2427214953161165E-2</v>
      </c>
    </row>
    <row r="106" spans="1:17" x14ac:dyDescent="0.2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 ca="1">'Monthly Data'!S106</f>
        <v>7952862.3344004741</v>
      </c>
      <c r="E106" s="269">
        <f>'Monthly Data'!BE106</f>
        <v>58.208333333333314</v>
      </c>
      <c r="F106" s="269">
        <f>'Monthly Data'!CG106</f>
        <v>0</v>
      </c>
      <c r="G106" s="269">
        <f>'Monthly Data'!AQ106</f>
        <v>223.9</v>
      </c>
      <c r="H106" s="269">
        <f>'Monthly Data'!CD106</f>
        <v>30</v>
      </c>
      <c r="J106" s="18">
        <f>'GS 1k-4,999 Predicted Monthly'!$T$10</f>
        <v>1375460.7545834701</v>
      </c>
      <c r="K106" s="18">
        <f>E106*'GS 1k-4,999 Predicted Monthly'!$T$11</f>
        <v>520104.4167522522</v>
      </c>
      <c r="L106" s="18">
        <f>F106*'GS 1k-4,999 Predicted Monthly'!$T$12</f>
        <v>0</v>
      </c>
      <c r="M106" s="18">
        <f>G106*'GS 1k-4,999 Predicted Monthly'!$T$13</f>
        <v>2453755.4077443215</v>
      </c>
      <c r="N106" s="18">
        <f>H106*'GS 1k-4,999 Predicted Monthly'!$T$14</f>
        <v>3396150.4552295702</v>
      </c>
      <c r="O106" s="18">
        <f t="shared" si="11"/>
        <v>7745471.0343096135</v>
      </c>
      <c r="P106" s="18">
        <f t="shared" ca="1" si="12"/>
        <v>-207391.30009086058</v>
      </c>
      <c r="Q106" s="270">
        <f t="shared" ca="1" si="13"/>
        <v>2.6077566965264809E-2</v>
      </c>
    </row>
    <row r="107" spans="1:17" x14ac:dyDescent="0.2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 ca="1">'Monthly Data'!S107</f>
        <v>6667523.0009363433</v>
      </c>
      <c r="E107" s="269">
        <f>'Monthly Data'!BE107</f>
        <v>19.579166666666676</v>
      </c>
      <c r="F107" s="269">
        <f>'Monthly Data'!CG107</f>
        <v>0</v>
      </c>
      <c r="G107" s="269">
        <f>'Monthly Data'!AQ107</f>
        <v>223.1</v>
      </c>
      <c r="H107" s="269">
        <f>'Monthly Data'!CD107</f>
        <v>31</v>
      </c>
      <c r="J107" s="18">
        <f>'GS 1k-4,999 Predicted Monthly'!$T$10</f>
        <v>1375460.7545834701</v>
      </c>
      <c r="K107" s="18">
        <f>E107*'GS 1k-4,999 Predicted Monthly'!$T$11</f>
        <v>174944.21290757589</v>
      </c>
      <c r="L107" s="18">
        <f>F107*'GS 1k-4,999 Predicted Monthly'!$T$12</f>
        <v>0</v>
      </c>
      <c r="M107" s="18">
        <f>G107*'GS 1k-4,999 Predicted Monthly'!$T$13</f>
        <v>2444988.0815889151</v>
      </c>
      <c r="N107" s="18">
        <f>H107*'GS 1k-4,999 Predicted Monthly'!$T$14</f>
        <v>3509355.4704038892</v>
      </c>
      <c r="O107" s="18">
        <f t="shared" si="11"/>
        <v>7504748.5194838503</v>
      </c>
      <c r="P107" s="18">
        <f t="shared" ca="1" si="12"/>
        <v>837225.518547507</v>
      </c>
      <c r="Q107" s="270">
        <f t="shared" ca="1" si="13"/>
        <v>0.12556769859360553</v>
      </c>
    </row>
    <row r="108" spans="1:17" x14ac:dyDescent="0.2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 ca="1">'Monthly Data'!S108</f>
        <v>7486805.8952734377</v>
      </c>
      <c r="E108" s="269">
        <f>'Monthly Data'!BE108</f>
        <v>0</v>
      </c>
      <c r="F108" s="269">
        <f>'Monthly Data'!CG108</f>
        <v>0</v>
      </c>
      <c r="G108" s="269">
        <f>'Monthly Data'!AQ108</f>
        <v>224.9</v>
      </c>
      <c r="H108" s="269">
        <f>'Monthly Data'!CD108</f>
        <v>30</v>
      </c>
      <c r="J108" s="18">
        <f>'GS 1k-4,999 Predicted Monthly'!$T$10</f>
        <v>1375460.7545834701</v>
      </c>
      <c r="K108" s="18">
        <f>E108*'GS 1k-4,999 Predicted Monthly'!$T$11</f>
        <v>0</v>
      </c>
      <c r="L108" s="18">
        <f>F108*'GS 1k-4,999 Predicted Monthly'!$T$12</f>
        <v>0</v>
      </c>
      <c r="M108" s="18">
        <f>G108*'GS 1k-4,999 Predicted Monthly'!$T$13</f>
        <v>2464714.5654385793</v>
      </c>
      <c r="N108" s="18">
        <f>H108*'GS 1k-4,999 Predicted Monthly'!$T$14</f>
        <v>3396150.4552295702</v>
      </c>
      <c r="O108" s="18">
        <f t="shared" si="11"/>
        <v>7236325.7752516195</v>
      </c>
      <c r="P108" s="18">
        <f t="shared" ca="1" si="12"/>
        <v>-250480.12002181821</v>
      </c>
      <c r="Q108" s="270">
        <f t="shared" ca="1" si="13"/>
        <v>3.3456205960936028E-2</v>
      </c>
    </row>
    <row r="109" spans="1:17" x14ac:dyDescent="0.2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 ca="1">'Monthly Data'!S109</f>
        <v>6814669.4166436857</v>
      </c>
      <c r="E109" s="269">
        <f>'Monthly Data'!BE109</f>
        <v>0</v>
      </c>
      <c r="F109" s="269">
        <f>'Monthly Data'!CG109</f>
        <v>0</v>
      </c>
      <c r="G109" s="269">
        <f>'Monthly Data'!AQ109</f>
        <v>226.3</v>
      </c>
      <c r="H109" s="269">
        <f>'Monthly Data'!CD109</f>
        <v>31</v>
      </c>
      <c r="J109" s="18">
        <f>'GS 1k-4,999 Predicted Monthly'!$T$10</f>
        <v>1375460.7545834701</v>
      </c>
      <c r="K109" s="18">
        <f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2480057.3862105403</v>
      </c>
      <c r="N109" s="18">
        <f>H109*'GS 1k-4,999 Predicted Monthly'!$T$14</f>
        <v>3509355.4704038892</v>
      </c>
      <c r="O109" s="18">
        <f t="shared" si="11"/>
        <v>7364873.6111979</v>
      </c>
      <c r="P109" s="18">
        <f t="shared" ca="1" si="12"/>
        <v>550204.19455421437</v>
      </c>
      <c r="Q109" s="270">
        <f t="shared" ca="1" si="13"/>
        <v>8.0738207668655651E-2</v>
      </c>
    </row>
    <row r="110" spans="1:17" x14ac:dyDescent="0.25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 ca="1">'Monthly Data'!S110</f>
        <v>7527605.8341107564</v>
      </c>
      <c r="E110" s="269">
        <f>'Monthly Data'!BE110</f>
        <v>0</v>
      </c>
      <c r="F110" s="269">
        <f>'Monthly Data'!CG110</f>
        <v>0</v>
      </c>
      <c r="G110" s="269">
        <f>'Monthly Data'!AQ110</f>
        <v>228.3</v>
      </c>
      <c r="H110" s="269">
        <f>'Monthly Data'!CD110</f>
        <v>31</v>
      </c>
      <c r="J110" s="18">
        <f>'GS 1k-4,999 Predicted Monthly'!$T$10</f>
        <v>1375460.7545834701</v>
      </c>
      <c r="K110" s="18">
        <f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2501975.7015990559</v>
      </c>
      <c r="N110" s="18">
        <f>H110*'GS 1k-4,999 Predicted Monthly'!$T$14</f>
        <v>3509355.4704038892</v>
      </c>
      <c r="O110" s="18">
        <f t="shared" si="11"/>
        <v>7386791.9265864156</v>
      </c>
      <c r="P110" s="18">
        <f t="shared" ca="1" si="12"/>
        <v>-140813.90752434079</v>
      </c>
      <c r="Q110" s="270">
        <f t="shared" ca="1" si="13"/>
        <v>1.8706333810180865E-2</v>
      </c>
    </row>
    <row r="111" spans="1:17" x14ac:dyDescent="0.25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 ca="1">'Monthly Data'!S111</f>
        <v>6745787.1723414566</v>
      </c>
      <c r="E111" s="269">
        <f>'Monthly Data'!BE111</f>
        <v>0</v>
      </c>
      <c r="F111" s="269">
        <f>'Monthly Data'!CG111</f>
        <v>0</v>
      </c>
      <c r="G111" s="269">
        <f>'Monthly Data'!AQ111</f>
        <v>229.4</v>
      </c>
      <c r="H111" s="269">
        <f>'Monthly Data'!CD111</f>
        <v>29</v>
      </c>
      <c r="J111" s="18">
        <f>'GS 1k-4,999 Predicted Monthly'!$T$10</f>
        <v>1375460.7545834701</v>
      </c>
      <c r="K111" s="18">
        <f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2514030.7750627394</v>
      </c>
      <c r="N111" s="18">
        <f>H111*'GS 1k-4,999 Predicted Monthly'!$T$14</f>
        <v>3282945.4400552511</v>
      </c>
      <c r="O111" s="18">
        <f t="shared" si="11"/>
        <v>7172436.9697014606</v>
      </c>
      <c r="P111" s="18">
        <f t="shared" ca="1" si="12"/>
        <v>426649.79736000393</v>
      </c>
      <c r="Q111" s="270">
        <f t="shared" ca="1" si="13"/>
        <v>6.3246851176882612E-2</v>
      </c>
    </row>
    <row r="112" spans="1:17" x14ac:dyDescent="0.25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 ca="1">'Monthly Data'!S112</f>
        <v>7044960.5105721559</v>
      </c>
      <c r="E112" s="269">
        <f>'Monthly Data'!BE112</f>
        <v>0</v>
      </c>
      <c r="F112" s="269">
        <f>'Monthly Data'!CG112</f>
        <v>0</v>
      </c>
      <c r="G112" s="269">
        <f>'Monthly Data'!AQ112</f>
        <v>230.9</v>
      </c>
      <c r="H112" s="269">
        <f>'Monthly Data'!CD112</f>
        <v>31</v>
      </c>
      <c r="J112" s="18">
        <f>'GS 1k-4,999 Predicted Monthly'!$T$10</f>
        <v>1375460.7545834701</v>
      </c>
      <c r="K112" s="18">
        <f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2530469.5116041261</v>
      </c>
      <c r="N112" s="18">
        <f>H112*'GS 1k-4,999 Predicted Monthly'!$T$14</f>
        <v>3509355.4704038892</v>
      </c>
      <c r="O112" s="18">
        <f t="shared" si="11"/>
        <v>7415285.7365914853</v>
      </c>
      <c r="P112" s="18">
        <f t="shared" ca="1" si="12"/>
        <v>370325.22601932939</v>
      </c>
      <c r="Q112" s="270">
        <f t="shared" ca="1" si="13"/>
        <v>5.25659761277006E-2</v>
      </c>
    </row>
    <row r="113" spans="1:17" x14ac:dyDescent="0.25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 ca="1">'Monthly Data'!S113</f>
        <v>7401293.8488028552</v>
      </c>
      <c r="E113" s="269">
        <f>'Monthly Data'!BE113</f>
        <v>0</v>
      </c>
      <c r="F113" s="269">
        <f>'Monthly Data'!CG113</f>
        <v>0</v>
      </c>
      <c r="G113" s="269">
        <f>'Monthly Data'!AQ113</f>
        <v>233.1</v>
      </c>
      <c r="H113" s="269">
        <f>'Monthly Data'!CD113</f>
        <v>30</v>
      </c>
      <c r="J113" s="18">
        <f>'GS 1k-4,999 Predicted Monthly'!$T$10</f>
        <v>1375460.7545834701</v>
      </c>
      <c r="K113" s="18">
        <f>E113*'GS 1k-4,999 Predicted Monthly'!$T$11</f>
        <v>0</v>
      </c>
      <c r="L113" s="18">
        <f>F113*'GS 1k-4,999 Predicted Monthly'!$T$12</f>
        <v>0</v>
      </c>
      <c r="M113" s="18">
        <f>G113*'GS 1k-4,999 Predicted Monthly'!$T$13</f>
        <v>2554579.658531493</v>
      </c>
      <c r="N113" s="18">
        <f>H113*'GS 1k-4,999 Predicted Monthly'!$T$14</f>
        <v>3396150.4552295702</v>
      </c>
      <c r="O113" s="18">
        <f t="shared" si="11"/>
        <v>7326190.8683445333</v>
      </c>
      <c r="P113" s="18">
        <f t="shared" ca="1" si="12"/>
        <v>-75102.980458321981</v>
      </c>
      <c r="Q113" s="270">
        <f t="shared" ca="1" si="13"/>
        <v>1.014727721835686E-2</v>
      </c>
    </row>
    <row r="114" spans="1:17" x14ac:dyDescent="0.25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 ca="1">'Monthly Data'!S114</f>
        <v>7911842.1870335545</v>
      </c>
      <c r="E114" s="269">
        <f>'Monthly Data'!BE114</f>
        <v>27.287500000000005</v>
      </c>
      <c r="F114" s="269">
        <f>'Monthly Data'!CG114</f>
        <v>0</v>
      </c>
      <c r="G114" s="269">
        <f>'Monthly Data'!AQ114</f>
        <v>232.8</v>
      </c>
      <c r="H114" s="269">
        <f>'Monthly Data'!CD114</f>
        <v>31</v>
      </c>
      <c r="J114" s="18">
        <f>'GS 1k-4,999 Predicted Monthly'!$T$10</f>
        <v>1375460.7545834701</v>
      </c>
      <c r="K114" s="18">
        <f>E114*'GS 1k-4,999 Predicted Monthly'!$T$11</f>
        <v>243819.88728063719</v>
      </c>
      <c r="L114" s="18">
        <f>F114*'GS 1k-4,999 Predicted Monthly'!$T$12</f>
        <v>0</v>
      </c>
      <c r="M114" s="18">
        <f>G114*'GS 1k-4,999 Predicted Monthly'!$T$13</f>
        <v>2551291.911223216</v>
      </c>
      <c r="N114" s="18">
        <f>H114*'GS 1k-4,999 Predicted Monthly'!$T$14</f>
        <v>3509355.4704038892</v>
      </c>
      <c r="O114" s="18">
        <f t="shared" si="11"/>
        <v>7679928.0234912122</v>
      </c>
      <c r="P114" s="18">
        <f t="shared" ca="1" si="12"/>
        <v>-231914.16354234237</v>
      </c>
      <c r="Q114" s="270">
        <f t="shared" ca="1" si="13"/>
        <v>2.9312283796865728E-2</v>
      </c>
    </row>
    <row r="115" spans="1:17" x14ac:dyDescent="0.25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 ca="1">'Monthly Data'!S115</f>
        <v>8689046.5252642538</v>
      </c>
      <c r="E115" s="269">
        <f>'Monthly Data'!BE115</f>
        <v>94.466666666666669</v>
      </c>
      <c r="F115" s="269">
        <f>'Monthly Data'!CG115</f>
        <v>0</v>
      </c>
      <c r="G115" s="269">
        <f>'Monthly Data'!AQ115</f>
        <v>230.6</v>
      </c>
      <c r="H115" s="269">
        <f>'Monthly Data'!CD115</f>
        <v>30</v>
      </c>
      <c r="J115" s="18">
        <f>'GS 1k-4,999 Predicted Monthly'!$T$10</f>
        <v>1375460.7545834701</v>
      </c>
      <c r="K115" s="18">
        <f>E115*'GS 1k-4,999 Predicted Monthly'!$T$11</f>
        <v>844080.69696543063</v>
      </c>
      <c r="L115" s="18">
        <f>F115*'GS 1k-4,999 Predicted Monthly'!$T$12</f>
        <v>0</v>
      </c>
      <c r="M115" s="18">
        <f>G115*'GS 1k-4,999 Predicted Monthly'!$T$13</f>
        <v>2527181.7642958486</v>
      </c>
      <c r="N115" s="18">
        <f>H115*'GS 1k-4,999 Predicted Monthly'!$T$14</f>
        <v>3396150.4552295702</v>
      </c>
      <c r="O115" s="18">
        <f t="shared" si="11"/>
        <v>8142873.6710743187</v>
      </c>
      <c r="P115" s="18">
        <f t="shared" ca="1" si="12"/>
        <v>-546172.85418993514</v>
      </c>
      <c r="Q115" s="270">
        <f t="shared" ca="1" si="13"/>
        <v>6.2857628003473581E-2</v>
      </c>
    </row>
    <row r="116" spans="1:17" x14ac:dyDescent="0.25">
      <c r="A116" s="3">
        <f>'Monthly Data'!A116</f>
        <v>45474</v>
      </c>
      <c r="B116" s="1">
        <f t="shared" si="7"/>
        <v>2024</v>
      </c>
      <c r="C116" s="1">
        <f t="shared" si="8"/>
        <v>7</v>
      </c>
      <c r="D116" s="24">
        <f ca="1">'Monthly Data'!S116</f>
        <v>9531642.8634949531</v>
      </c>
      <c r="E116" s="269">
        <f>'Monthly Data'!BE116</f>
        <v>179.14166666666668</v>
      </c>
      <c r="F116" s="269">
        <f>'Monthly Data'!CG116</f>
        <v>0</v>
      </c>
      <c r="G116" s="269">
        <f>'Monthly Data'!AQ116</f>
        <v>227.5</v>
      </c>
      <c r="H116" s="269">
        <f>'Monthly Data'!CD116</f>
        <v>31</v>
      </c>
      <c r="J116" s="18">
        <f>'GS 1k-4,999 Predicted Monthly'!$T$10</f>
        <v>1375460.7545834701</v>
      </c>
      <c r="K116" s="18">
        <f>E116*'GS 1k-4,999 Predicted Monthly'!$T$11</f>
        <v>1600670.6724299456</v>
      </c>
      <c r="L116" s="18">
        <f>F116*'GS 1k-4,999 Predicted Monthly'!$T$12</f>
        <v>0</v>
      </c>
      <c r="M116" s="18">
        <f>G116*'GS 1k-4,999 Predicted Monthly'!$T$13</f>
        <v>2493208.3754436495</v>
      </c>
      <c r="N116" s="18">
        <f>H116*'GS 1k-4,999 Predicted Monthly'!$T$14</f>
        <v>3509355.4704038892</v>
      </c>
      <c r="O116" s="18">
        <f t="shared" si="11"/>
        <v>8978695.2728609554</v>
      </c>
      <c r="P116" s="18">
        <f t="shared" ca="1" si="12"/>
        <v>-552947.59063399769</v>
      </c>
      <c r="Q116" s="270">
        <f t="shared" ca="1" si="13"/>
        <v>5.8011782286946624E-2</v>
      </c>
    </row>
    <row r="117" spans="1:17" x14ac:dyDescent="0.25">
      <c r="A117" s="3">
        <f>'Monthly Data'!A117</f>
        <v>45505</v>
      </c>
      <c r="B117" s="1">
        <f t="shared" si="7"/>
        <v>2024</v>
      </c>
      <c r="C117" s="1">
        <f t="shared" si="8"/>
        <v>8</v>
      </c>
      <c r="D117" s="24">
        <f ca="1">'Monthly Data'!S117</f>
        <v>9275831.2017256543</v>
      </c>
      <c r="E117" s="269">
        <f>'Monthly Data'!BE117</f>
        <v>140.625</v>
      </c>
      <c r="F117" s="269">
        <f>'Monthly Data'!CG117</f>
        <v>0</v>
      </c>
      <c r="G117" s="269">
        <f>'Monthly Data'!AQ117</f>
        <v>225.1</v>
      </c>
      <c r="H117" s="269">
        <f>'Monthly Data'!CD117</f>
        <v>31</v>
      </c>
      <c r="J117" s="18">
        <f>'GS 1k-4,999 Predicted Monthly'!$T$10</f>
        <v>1375460.7545834701</v>
      </c>
      <c r="K117" s="18">
        <f>E117*'GS 1k-4,999 Predicted Monthly'!$T$11</f>
        <v>1256515.6811301732</v>
      </c>
      <c r="L117" s="18">
        <f>F117*'GS 1k-4,999 Predicted Monthly'!$T$12</f>
        <v>0</v>
      </c>
      <c r="M117" s="18">
        <f>G117*'GS 1k-4,999 Predicted Monthly'!$T$13</f>
        <v>2466906.3969774307</v>
      </c>
      <c r="N117" s="18">
        <f>H117*'GS 1k-4,999 Predicted Monthly'!$T$14</f>
        <v>3509355.4704038892</v>
      </c>
      <c r="O117" s="18">
        <f t="shared" si="11"/>
        <v>8608238.3030949626</v>
      </c>
      <c r="P117" s="18">
        <f t="shared" ca="1" si="12"/>
        <v>-667592.89863069169</v>
      </c>
      <c r="Q117" s="270">
        <f t="shared" ca="1" si="13"/>
        <v>7.197122113503901E-2</v>
      </c>
    </row>
    <row r="118" spans="1:17" x14ac:dyDescent="0.25">
      <c r="A118" s="3">
        <f>'Monthly Data'!A118</f>
        <v>45536</v>
      </c>
      <c r="B118" s="1">
        <f t="shared" si="7"/>
        <v>2024</v>
      </c>
      <c r="C118" s="1">
        <f t="shared" si="8"/>
        <v>9</v>
      </c>
      <c r="D118" s="24">
        <f ca="1">'Monthly Data'!S118</f>
        <v>8099900.5399563527</v>
      </c>
      <c r="E118" s="269">
        <f>'Monthly Data'!BE118</f>
        <v>62.220833333333331</v>
      </c>
      <c r="F118" s="269">
        <f>'Monthly Data'!CG118</f>
        <v>0</v>
      </c>
      <c r="G118" s="269">
        <f>'Monthly Data'!AQ118</f>
        <v>226.9</v>
      </c>
      <c r="H118" s="269">
        <f>'Monthly Data'!CD118</f>
        <v>30</v>
      </c>
      <c r="J118" s="18">
        <f>'GS 1k-4,999 Predicted Monthly'!$T$10</f>
        <v>1375460.7545834701</v>
      </c>
      <c r="K118" s="18">
        <f>E118*'GS 1k-4,999 Predicted Monthly'!$T$11</f>
        <v>555956.99752049998</v>
      </c>
      <c r="L118" s="18">
        <f>F118*'GS 1k-4,999 Predicted Monthly'!$T$12</f>
        <v>0</v>
      </c>
      <c r="M118" s="18">
        <f>G118*'GS 1k-4,999 Predicted Monthly'!$T$13</f>
        <v>2486632.8808270949</v>
      </c>
      <c r="N118" s="18">
        <f>H118*'GS 1k-4,999 Predicted Monthly'!$T$14</f>
        <v>3396150.4552295702</v>
      </c>
      <c r="O118" s="18">
        <f t="shared" si="11"/>
        <v>7814201.088160635</v>
      </c>
      <c r="P118" s="18">
        <f t="shared" ca="1" si="12"/>
        <v>-285699.4517957177</v>
      </c>
      <c r="Q118" s="270">
        <f t="shared" ca="1" si="13"/>
        <v>3.5271970363880203E-2</v>
      </c>
    </row>
    <row r="119" spans="1:17" x14ac:dyDescent="0.25">
      <c r="A119" s="3">
        <f>'Monthly Data'!A119</f>
        <v>45566</v>
      </c>
      <c r="B119" s="1">
        <f t="shared" si="7"/>
        <v>2024</v>
      </c>
      <c r="C119" s="1">
        <f t="shared" si="8"/>
        <v>10</v>
      </c>
      <c r="D119" s="24">
        <f ca="1">'Monthly Data'!S119</f>
        <v>7448548.8781870529</v>
      </c>
      <c r="E119" s="269">
        <f>'Monthly Data'!BE119</f>
        <v>3.0458333333333378</v>
      </c>
      <c r="F119" s="269">
        <f>'Monthly Data'!CG119</f>
        <v>0</v>
      </c>
      <c r="G119" s="269">
        <f>'Monthly Data'!AQ119</f>
        <v>228.7</v>
      </c>
      <c r="H119" s="269">
        <f>'Monthly Data'!CD119</f>
        <v>31</v>
      </c>
      <c r="J119" s="18">
        <f>'GS 1k-4,999 Predicted Monthly'!$T$10</f>
        <v>1375460.7545834701</v>
      </c>
      <c r="K119" s="18">
        <f>E119*'GS 1k-4,999 Predicted Monthly'!$T$11</f>
        <v>27215.198900923195</v>
      </c>
      <c r="L119" s="18">
        <f>F119*'GS 1k-4,999 Predicted Monthly'!$T$12</f>
        <v>0</v>
      </c>
      <c r="M119" s="18">
        <f>G119*'GS 1k-4,999 Predicted Monthly'!$T$13</f>
        <v>2506359.3646767586</v>
      </c>
      <c r="N119" s="18">
        <f>H119*'GS 1k-4,999 Predicted Monthly'!$T$14</f>
        <v>3509355.4704038892</v>
      </c>
      <c r="O119" s="18">
        <f t="shared" si="11"/>
        <v>7418390.7885650415</v>
      </c>
      <c r="P119" s="18">
        <f t="shared" ca="1" si="12"/>
        <v>-30158.089622011408</v>
      </c>
      <c r="Q119" s="270">
        <f t="shared" ca="1" si="13"/>
        <v>4.0488543628046606E-3</v>
      </c>
    </row>
    <row r="120" spans="1:17" x14ac:dyDescent="0.25">
      <c r="A120" s="3">
        <f>'Monthly Data'!A120</f>
        <v>45597</v>
      </c>
      <c r="B120" s="1">
        <f t="shared" si="7"/>
        <v>2024</v>
      </c>
      <c r="C120" s="1">
        <f t="shared" si="8"/>
        <v>11</v>
      </c>
      <c r="D120" s="24">
        <f ca="1">'Monthly Data'!S120</f>
        <v>7029118.2164177522</v>
      </c>
      <c r="E120" s="269">
        <f>'Monthly Data'!BE120</f>
        <v>1.5041666666666629</v>
      </c>
      <c r="F120" s="269">
        <f>'Monthly Data'!CG120</f>
        <v>0</v>
      </c>
      <c r="G120" s="269">
        <f>'Monthly Data'!AQ120</f>
        <v>228.7</v>
      </c>
      <c r="H120" s="269">
        <f>'Monthly Data'!CD120</f>
        <v>30</v>
      </c>
      <c r="J120" s="18">
        <f>'GS 1k-4,999 Predicted Monthly'!$T$10</f>
        <v>1375460.7545834701</v>
      </c>
      <c r="K120" s="18">
        <f>E120*'GS 1k-4,999 Predicted Monthly'!$T$11</f>
        <v>13440.064026310854</v>
      </c>
      <c r="L120" s="18">
        <f>F120*'GS 1k-4,999 Predicted Monthly'!$T$12</f>
        <v>0</v>
      </c>
      <c r="M120" s="18">
        <f>G120*'GS 1k-4,999 Predicted Monthly'!$T$13</f>
        <v>2506359.3646767586</v>
      </c>
      <c r="N120" s="18">
        <f>H120*'GS 1k-4,999 Predicted Monthly'!$T$14</f>
        <v>3396150.4552295702</v>
      </c>
      <c r="O120" s="18">
        <f t="shared" si="11"/>
        <v>7291410.6385161094</v>
      </c>
      <c r="P120" s="18">
        <f t="shared" ca="1" si="12"/>
        <v>262292.42209835723</v>
      </c>
      <c r="Q120" s="270">
        <f t="shared" ca="1" si="13"/>
        <v>3.7315124603499589E-2</v>
      </c>
    </row>
    <row r="121" spans="1:17" x14ac:dyDescent="0.25">
      <c r="A121" s="3">
        <f>'Monthly Data'!A121</f>
        <v>45627</v>
      </c>
      <c r="B121" s="1">
        <f t="shared" si="7"/>
        <v>2024</v>
      </c>
      <c r="C121" s="1">
        <f t="shared" si="8"/>
        <v>12</v>
      </c>
      <c r="D121" s="24">
        <f ca="1">'Monthly Data'!S121</f>
        <v>7448387.5546484515</v>
      </c>
      <c r="E121" s="269">
        <f>'Monthly Data'!BE121</f>
        <v>0</v>
      </c>
      <c r="F121" s="269">
        <f>'Monthly Data'!CG121</f>
        <v>0</v>
      </c>
      <c r="G121" s="269">
        <f>'Monthly Data'!AQ121</f>
        <v>227</v>
      </c>
      <c r="H121" s="269">
        <f>'Monthly Data'!CD121</f>
        <v>31</v>
      </c>
      <c r="J121" s="18">
        <f>'GS 1k-4,999 Predicted Monthly'!$T$10</f>
        <v>1375460.7545834701</v>
      </c>
      <c r="K121" s="18">
        <f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2487728.7965965206</v>
      </c>
      <c r="N121" s="18">
        <f>H121*'GS 1k-4,999 Predicted Monthly'!$T$14</f>
        <v>3509355.4704038892</v>
      </c>
      <c r="O121" s="18">
        <f t="shared" si="11"/>
        <v>7372545.0215838794</v>
      </c>
      <c r="P121" s="18">
        <f t="shared" ca="1" si="12"/>
        <v>-75842.533064572141</v>
      </c>
      <c r="Q121" s="270">
        <f t="shared" ca="1" si="13"/>
        <v>1.0182409616594092E-2</v>
      </c>
    </row>
    <row r="122" spans="1:17" x14ac:dyDescent="0.25">
      <c r="A122" s="3"/>
      <c r="Q122" s="395">
        <f ca="1">AVERAGE(Q2:Q121)</f>
        <v>4.3941590541289481E-2</v>
      </c>
    </row>
    <row r="123" spans="1:17" x14ac:dyDescent="0.25">
      <c r="A123" s="3"/>
    </row>
    <row r="124" spans="1:17" x14ac:dyDescent="0.25">
      <c r="A124" s="3"/>
    </row>
    <row r="125" spans="1:17" x14ac:dyDescent="0.25">
      <c r="A125" s="3"/>
    </row>
    <row r="126" spans="1:17" x14ac:dyDescent="0.25">
      <c r="A126" s="3"/>
    </row>
    <row r="127" spans="1:17" x14ac:dyDescent="0.25">
      <c r="A127" s="3"/>
    </row>
    <row r="128" spans="1:17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e7f71cab7805b42e3797bc90a0a9397c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733d02bb5508b88af29dbc434c7b82d0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B6EDA7-BDB7-4DB4-B40C-7FE3C7F7DF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5BF261-1556-48B4-B4D7-FDB72C5C14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10E28-FF87-4C0E-8322-6719561754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Load Forecast Summary</vt:lpstr>
      <vt:lpstr>Monthly Data</vt:lpstr>
      <vt:lpstr>Economic</vt:lpstr>
      <vt:lpstr>Weather</vt:lpstr>
      <vt:lpstr>CDM</vt:lpstr>
      <vt:lpstr>Res Predicted Monthly</vt:lpstr>
      <vt:lpstr>GS&lt;50 Predicted Monthly</vt:lpstr>
      <vt:lpstr>GS 50-999 Predicted Monthly</vt:lpstr>
      <vt:lpstr>GS 1k-4,999 Predicted Monthly</vt:lpstr>
      <vt:lpstr>Large Use Predicted Monthly</vt:lpstr>
      <vt:lpstr>EV Data</vt:lpstr>
      <vt:lpstr>EV Forecast</vt:lpstr>
      <vt:lpstr>Heating</vt:lpstr>
      <vt:lpstr>Total Additional-Lost Loads</vt:lpstr>
      <vt:lpstr>Model Summary</vt:lpstr>
      <vt:lpstr>Res Normalized Monthly</vt:lpstr>
      <vt:lpstr>GS&lt;50 Normalized Monthly</vt:lpstr>
      <vt:lpstr>GS 50-999 Normalized Monthly</vt:lpstr>
      <vt:lpstr>GS 1k-4,999 Normalized Monthly</vt:lpstr>
      <vt:lpstr>Large Use Normalized Monthly</vt:lpstr>
      <vt:lpstr>Normalized Annual Summary</vt:lpstr>
      <vt:lpstr>Customer Count</vt:lpstr>
      <vt:lpstr>kW Forecast</vt:lpstr>
      <vt:lpstr>kW Forecast (Weather Normal)</vt:lpstr>
      <vt:lpstr>CDM Framework</vt:lpstr>
      <vt:lpstr>CDM Adjustment</vt:lpstr>
      <vt:lpstr>Summary Tables</vt:lpstr>
      <vt:lpstr>Res Normalized Monthly WN</vt:lpstr>
      <vt:lpstr>GS&lt;50 Normalized Monthly WN</vt:lpstr>
      <vt:lpstr>GS50-999 Normalized Monthly WN</vt:lpstr>
      <vt:lpstr>GS 1k-4,999 Normalized Mont WN</vt:lpstr>
      <vt:lpstr>Large Use Normalized Monthl WN</vt:lpstr>
      <vt:lpstr>Summary Tables (Weather Normal)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Blair</dc:creator>
  <cp:keywords/>
  <dc:description/>
  <cp:lastModifiedBy>Andrew Blair</cp:lastModifiedBy>
  <cp:revision/>
  <dcterms:created xsi:type="dcterms:W3CDTF">2018-12-19T20:07:02Z</dcterms:created>
  <dcterms:modified xsi:type="dcterms:W3CDTF">2025-07-25T17:07:39Z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0x010100167F7894191A4349AFFBDB0ED3014EF7</vt:lpwstr>
  </property>
</Properties>
</file>