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2-02002024Rebasing/TC Undertakings  Phase 3/"/>
    </mc:Choice>
  </mc:AlternateContent>
  <xr:revisionPtr revIDLastSave="0" documentId="8_{0ACF7072-3656-46EC-9B9B-C33CE221567A}" xr6:coauthVersionLast="47" xr6:coauthVersionMax="47" xr10:uidLastSave="{00000000-0000-0000-0000-000000000000}"/>
  <bookViews>
    <workbookView xWindow="-14190" yWindow="-16320" windowWidth="29040" windowHeight="15720" firstSheet="2" activeTab="2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P2" i="5" s="1"/>
  <c r="P3" i="5" s="1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P4" i="5" l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L22" i="3"/>
  <c r="K21" i="3"/>
  <c r="J22" i="3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D26" i="3" l="1"/>
  <c r="V92" i="4"/>
  <c r="U92" i="4"/>
  <c r="W123" i="4"/>
  <c r="W92" i="4"/>
  <c r="T123" i="4"/>
  <c r="T107" i="4"/>
  <c r="W107" i="4"/>
  <c r="V107" i="4"/>
  <c r="G49" i="4"/>
  <c r="G35" i="4"/>
  <c r="I54" i="4"/>
  <c r="I40" i="4"/>
  <c r="H59" i="4"/>
  <c r="K58" i="4" s="1"/>
  <c r="H45" i="4"/>
  <c r="K44" i="4" s="1"/>
  <c r="G48" i="4"/>
  <c r="G34" i="4"/>
  <c r="I53" i="4"/>
  <c r="I39" i="4"/>
  <c r="H58" i="4"/>
  <c r="K57" i="4" s="1"/>
  <c r="H44" i="4"/>
  <c r="K43" i="4" s="1"/>
  <c r="G47" i="4"/>
  <c r="G33" i="4"/>
  <c r="I52" i="4"/>
  <c r="I38" i="4"/>
  <c r="H57" i="4"/>
  <c r="K56" i="4" s="1"/>
  <c r="H43" i="4"/>
  <c r="K42" i="4" s="1"/>
  <c r="I32" i="4"/>
  <c r="H37" i="4"/>
  <c r="K36" i="4" s="1"/>
  <c r="L36" i="4" s="1"/>
  <c r="G51" i="4"/>
  <c r="G37" i="4"/>
  <c r="I56" i="4"/>
  <c r="I42" i="4"/>
  <c r="H61" i="4"/>
  <c r="K60" i="4" s="1"/>
  <c r="H47" i="4"/>
  <c r="K46" i="4" s="1"/>
  <c r="H33" i="4"/>
  <c r="K32" i="4" s="1"/>
  <c r="G60" i="4"/>
  <c r="G46" i="4"/>
  <c r="G32" i="4"/>
  <c r="I51" i="4"/>
  <c r="I37" i="4"/>
  <c r="H56" i="4"/>
  <c r="K55" i="4" s="1"/>
  <c r="H42" i="4"/>
  <c r="K41" i="4" s="1"/>
  <c r="G41" i="4"/>
  <c r="I46" i="4"/>
  <c r="H51" i="4"/>
  <c r="K50" i="4" s="1"/>
  <c r="G59" i="4"/>
  <c r="G45" i="4"/>
  <c r="G31" i="4"/>
  <c r="I50" i="4"/>
  <c r="I36" i="4"/>
  <c r="H55" i="4"/>
  <c r="K54" i="4" s="1"/>
  <c r="H41" i="4"/>
  <c r="K40" i="4" s="1"/>
  <c r="G58" i="4"/>
  <c r="G44" i="4"/>
  <c r="I49" i="4"/>
  <c r="N49" i="4" s="1"/>
  <c r="I35" i="4"/>
  <c r="N35" i="4" s="1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I60" i="4"/>
  <c r="N60" i="4" s="1"/>
  <c r="AA60" i="4" s="1"/>
  <c r="AE60" i="4" s="1"/>
  <c r="AI60" i="4" s="1"/>
  <c r="G56" i="4"/>
  <c r="G42" i="4"/>
  <c r="I47" i="4"/>
  <c r="N47" i="4" s="1"/>
  <c r="I33" i="4"/>
  <c r="N33" i="4" s="1"/>
  <c r="H52" i="4"/>
  <c r="K51" i="4" s="1"/>
  <c r="H38" i="4"/>
  <c r="K37" i="4" s="1"/>
  <c r="G55" i="4"/>
  <c r="G54" i="4"/>
  <c r="G40" i="4"/>
  <c r="I59" i="4"/>
  <c r="I45" i="4"/>
  <c r="I31" i="4"/>
  <c r="H50" i="4"/>
  <c r="K49" i="4" s="1"/>
  <c r="H36" i="4"/>
  <c r="K35" i="4" s="1"/>
  <c r="G52" i="4"/>
  <c r="G38" i="4"/>
  <c r="I57" i="4"/>
  <c r="I43" i="4"/>
  <c r="H48" i="4"/>
  <c r="K47" i="4" s="1"/>
  <c r="L47" i="4" s="1"/>
  <c r="M47" i="4" s="1"/>
  <c r="H34" i="4"/>
  <c r="K33" i="4" s="1"/>
  <c r="L33" i="4" s="1"/>
  <c r="M33" i="4" s="1"/>
  <c r="O33" i="4" s="1"/>
  <c r="G50" i="4"/>
  <c r="G36" i="4"/>
  <c r="I55" i="4"/>
  <c r="I41" i="4"/>
  <c r="H60" i="4"/>
  <c r="K59" i="4" s="1"/>
  <c r="H46" i="4"/>
  <c r="K45" i="4" s="1"/>
  <c r="H32" i="4"/>
  <c r="K31" i="4" s="1"/>
  <c r="G53" i="4"/>
  <c r="G39" i="4"/>
  <c r="I58" i="4"/>
  <c r="I44" i="4"/>
  <c r="H49" i="4"/>
  <c r="K48" i="4" s="1"/>
  <c r="H35" i="4"/>
  <c r="K34" i="4" s="1"/>
  <c r="T120" i="4"/>
  <c r="O60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G10" i="4"/>
  <c r="I15" i="4"/>
  <c r="G2" i="4"/>
  <c r="H8" i="4"/>
  <c r="K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G17" i="4"/>
  <c r="G3" i="4"/>
  <c r="I8" i="4"/>
  <c r="H15" i="4"/>
  <c r="K14" i="4" s="1"/>
  <c r="G16" i="4"/>
  <c r="I7" i="4"/>
  <c r="H14" i="4"/>
  <c r="K13" i="4" s="1"/>
  <c r="G15" i="4"/>
  <c r="I20" i="4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7" i="4" l="1"/>
  <c r="M7" i="4" s="1"/>
  <c r="N32" i="4"/>
  <c r="L14" i="4"/>
  <c r="N27" i="4"/>
  <c r="N43" i="4"/>
  <c r="L16" i="4"/>
  <c r="L19" i="4"/>
  <c r="L5" i="4"/>
  <c r="M5" i="4" s="1"/>
  <c r="L13" i="4"/>
  <c r="L40" i="4"/>
  <c r="M40" i="4" s="1"/>
  <c r="L54" i="4"/>
  <c r="M54" i="4" s="1"/>
  <c r="P54" i="4" s="1"/>
  <c r="Q54" i="4" s="1"/>
  <c r="L8" i="4"/>
  <c r="M8" i="4" s="1"/>
  <c r="L17" i="4"/>
  <c r="M17" i="4" s="1"/>
  <c r="N24" i="4"/>
  <c r="N45" i="4"/>
  <c r="L31" i="4"/>
  <c r="M31" i="4" s="1"/>
  <c r="L49" i="4"/>
  <c r="M49" i="4" s="1"/>
  <c r="L38" i="4"/>
  <c r="M38" i="4" s="1"/>
  <c r="P38" i="4" s="1"/>
  <c r="Q38" i="4" s="1"/>
  <c r="N36" i="4"/>
  <c r="L12" i="4"/>
  <c r="M12" i="4" s="1"/>
  <c r="M36" i="4"/>
  <c r="P36" i="4" s="1"/>
  <c r="Q36" i="4" s="1"/>
  <c r="L45" i="4"/>
  <c r="M45" i="4" s="1"/>
  <c r="N31" i="4"/>
  <c r="L52" i="4"/>
  <c r="M52" i="4" s="1"/>
  <c r="N50" i="4"/>
  <c r="L32" i="4"/>
  <c r="M32" i="4" s="1"/>
  <c r="L59" i="4"/>
  <c r="M59" i="4"/>
  <c r="N34" i="4"/>
  <c r="L46" i="4"/>
  <c r="M46" i="4" s="1"/>
  <c r="L43" i="4"/>
  <c r="M43" i="4" s="1"/>
  <c r="N41" i="4"/>
  <c r="N59" i="4"/>
  <c r="O59" i="4"/>
  <c r="P59" i="4"/>
  <c r="Q59" i="4" s="1"/>
  <c r="N48" i="4"/>
  <c r="L60" i="4"/>
  <c r="M60" i="4"/>
  <c r="L57" i="4"/>
  <c r="M57" i="4" s="1"/>
  <c r="L9" i="4"/>
  <c r="M9" i="4" s="1"/>
  <c r="N25" i="4"/>
  <c r="N55" i="4"/>
  <c r="N42" i="4"/>
  <c r="N39" i="4"/>
  <c r="O47" i="4"/>
  <c r="L50" i="4"/>
  <c r="M50" i="4" s="1"/>
  <c r="O50" i="4" s="1"/>
  <c r="N56" i="4"/>
  <c r="N53" i="4"/>
  <c r="N20" i="4"/>
  <c r="L6" i="4"/>
  <c r="M6" i="4" s="1"/>
  <c r="P60" i="4"/>
  <c r="Q60" i="4" s="1"/>
  <c r="P47" i="4"/>
  <c r="Q47" i="4" s="1"/>
  <c r="L39" i="4"/>
  <c r="M39" i="4" s="1"/>
  <c r="N46" i="4"/>
  <c r="L37" i="4"/>
  <c r="M37" i="4" s="1"/>
  <c r="L53" i="4"/>
  <c r="M53" i="4" s="1"/>
  <c r="L44" i="4"/>
  <c r="M44" i="4" s="1"/>
  <c r="L51" i="4"/>
  <c r="M51" i="4"/>
  <c r="O51" i="4" s="1"/>
  <c r="L41" i="4"/>
  <c r="M41" i="4" s="1"/>
  <c r="L48" i="4"/>
  <c r="M48" i="4" s="1"/>
  <c r="L55" i="4"/>
  <c r="M55" i="4" s="1"/>
  <c r="L58" i="4"/>
  <c r="M58" i="4" s="1"/>
  <c r="P33" i="4"/>
  <c r="Q33" i="4" s="1"/>
  <c r="N44" i="4"/>
  <c r="N57" i="4"/>
  <c r="N37" i="4"/>
  <c r="L42" i="4"/>
  <c r="M42" i="4" s="1"/>
  <c r="N40" i="4"/>
  <c r="N58" i="4"/>
  <c r="N51" i="4"/>
  <c r="L56" i="4"/>
  <c r="M56" i="4" s="1"/>
  <c r="N54" i="4"/>
  <c r="L34" i="4"/>
  <c r="M34" i="4" s="1"/>
  <c r="P34" i="4" s="1"/>
  <c r="Q34" i="4" s="1"/>
  <c r="L15" i="4"/>
  <c r="M15" i="4" s="1"/>
  <c r="L4" i="4"/>
  <c r="M4" i="4" s="1"/>
  <c r="N23" i="4"/>
  <c r="N29" i="4"/>
  <c r="N38" i="4"/>
  <c r="L18" i="4"/>
  <c r="M18" i="4" s="1"/>
  <c r="L35" i="4"/>
  <c r="M35" i="4" s="1"/>
  <c r="N52" i="4"/>
  <c r="O36" i="4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M13" i="4"/>
  <c r="N4" i="4"/>
  <c r="N6" i="4"/>
  <c r="N7" i="4"/>
  <c r="N12" i="4"/>
  <c r="M16" i="4"/>
  <c r="M11" i="4"/>
  <c r="N18" i="4"/>
  <c r="N15" i="4"/>
  <c r="N16" i="4"/>
  <c r="N11" i="4"/>
  <c r="N9" i="4"/>
  <c r="N10" i="4"/>
  <c r="M10" i="4"/>
  <c r="N8" i="4"/>
  <c r="M3" i="4"/>
  <c r="N3" i="4"/>
  <c r="M14" i="4"/>
  <c r="M20" i="4"/>
  <c r="M19" i="4"/>
  <c r="N14" i="4"/>
  <c r="N19" i="4"/>
  <c r="B6" i="6" l="1"/>
  <c r="P51" i="4"/>
  <c r="Q51" i="4" s="1"/>
  <c r="P35" i="4"/>
  <c r="Q35" i="4" s="1"/>
  <c r="O35" i="4"/>
  <c r="O40" i="4"/>
  <c r="P40" i="4"/>
  <c r="Q40" i="4" s="1"/>
  <c r="O54" i="4"/>
  <c r="O39" i="4"/>
  <c r="P39" i="4"/>
  <c r="Q39" i="4" s="1"/>
  <c r="O55" i="4"/>
  <c r="P55" i="4"/>
  <c r="Q55" i="4" s="1"/>
  <c r="O42" i="4"/>
  <c r="P42" i="4"/>
  <c r="Q42" i="4" s="1"/>
  <c r="P57" i="4"/>
  <c r="Q57" i="4" s="1"/>
  <c r="O57" i="4"/>
  <c r="P58" i="4"/>
  <c r="Q58" i="4" s="1"/>
  <c r="O58" i="4"/>
  <c r="P48" i="4"/>
  <c r="Q48" i="4" s="1"/>
  <c r="O48" i="4"/>
  <c r="O44" i="4"/>
  <c r="P44" i="4"/>
  <c r="Q44" i="4" s="1"/>
  <c r="P32" i="4"/>
  <c r="Q32" i="4" s="1"/>
  <c r="O32" i="4"/>
  <c r="P52" i="4"/>
  <c r="Q52" i="4" s="1"/>
  <c r="O52" i="4"/>
  <c r="O41" i="4"/>
  <c r="P41" i="4"/>
  <c r="Q41" i="4" s="1"/>
  <c r="P56" i="4"/>
  <c r="Q56" i="4" s="1"/>
  <c r="O56" i="4"/>
  <c r="P43" i="4"/>
  <c r="Q43" i="4" s="1"/>
  <c r="O43" i="4"/>
  <c r="P49" i="4"/>
  <c r="Q49" i="4" s="1"/>
  <c r="O49" i="4"/>
  <c r="P45" i="4"/>
  <c r="Q45" i="4" s="1"/>
  <c r="O45" i="4"/>
  <c r="O53" i="4"/>
  <c r="P53" i="4"/>
  <c r="Q53" i="4" s="1"/>
  <c r="P37" i="4"/>
  <c r="Q37" i="4" s="1"/>
  <c r="O37" i="4"/>
  <c r="O46" i="4"/>
  <c r="P46" i="4"/>
  <c r="Q46" i="4" s="1"/>
  <c r="P31" i="4"/>
  <c r="Q31" i="4" s="1"/>
  <c r="O31" i="4"/>
  <c r="O34" i="4"/>
  <c r="AA59" i="4"/>
  <c r="AE59" i="4" s="1"/>
  <c r="AI59" i="4" s="1"/>
  <c r="Y59" i="4"/>
  <c r="AC59" i="4" s="1"/>
  <c r="AG59" i="4" s="1"/>
  <c r="Z59" i="4"/>
  <c r="AD59" i="4" s="1"/>
  <c r="AH59" i="4" s="1"/>
  <c r="P50" i="4"/>
  <c r="Q50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 s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J59" i="4" l="1"/>
  <c r="R28" i="4"/>
  <c r="J29" i="4"/>
  <c r="V27" i="4"/>
  <c r="U27" i="4"/>
  <c r="T27" i="4"/>
  <c r="W27" i="4"/>
  <c r="R59" i="4" l="1"/>
  <c r="J60" i="4"/>
  <c r="R60" i="4" s="1"/>
  <c r="R29" i="4"/>
  <c r="J30" i="4"/>
  <c r="V28" i="4"/>
  <c r="T28" i="4"/>
  <c r="U28" i="4"/>
  <c r="W28" i="4"/>
  <c r="R30" i="4" l="1"/>
  <c r="J31" i="4"/>
  <c r="T59" i="4"/>
  <c r="U59" i="4"/>
  <c r="V59" i="4"/>
  <c r="W59" i="4"/>
  <c r="W60" i="4"/>
  <c r="U60" i="4"/>
  <c r="V60" i="4"/>
  <c r="T60" i="4"/>
  <c r="W30" i="4"/>
  <c r="T30" i="4"/>
  <c r="V30" i="4"/>
  <c r="U30" i="4"/>
  <c r="W29" i="4"/>
  <c r="U29" i="4"/>
  <c r="V29" i="4"/>
  <c r="T29" i="4"/>
  <c r="J32" i="4" l="1"/>
  <c r="R31" i="4"/>
  <c r="W31" i="4" l="1"/>
  <c r="V31" i="4"/>
  <c r="T31" i="4"/>
  <c r="U31" i="4"/>
  <c r="R32" i="4"/>
  <c r="J33" i="4"/>
  <c r="Z58" i="4" l="1"/>
  <c r="AD58" i="4" s="1"/>
  <c r="AH58" i="4" s="1"/>
  <c r="AA58" i="4"/>
  <c r="AE58" i="4" s="1"/>
  <c r="AI58" i="4" s="1"/>
  <c r="Y58" i="4"/>
  <c r="AC58" i="4" s="1"/>
  <c r="AG58" i="4" s="1"/>
  <c r="R33" i="4"/>
  <c r="J34" i="4"/>
  <c r="W32" i="4"/>
  <c r="T32" i="4"/>
  <c r="V32" i="4"/>
  <c r="U32" i="4"/>
  <c r="Y57" i="4"/>
  <c r="Z57" i="4"/>
  <c r="AA57" i="4"/>
  <c r="R34" i="4" l="1"/>
  <c r="J35" i="4"/>
  <c r="T33" i="4"/>
  <c r="W33" i="4"/>
  <c r="U33" i="4"/>
  <c r="V33" i="4"/>
  <c r="R35" i="4" l="1"/>
  <c r="J36" i="4"/>
  <c r="U34" i="4"/>
  <c r="W34" i="4"/>
  <c r="T34" i="4"/>
  <c r="V34" i="4"/>
  <c r="AC57" i="4"/>
  <c r="AG57" i="4" s="1"/>
  <c r="AD57" i="4"/>
  <c r="AH57" i="4" s="1"/>
  <c r="AE57" i="4"/>
  <c r="AI57" i="4" s="1"/>
  <c r="R36" i="4" l="1"/>
  <c r="J37" i="4"/>
  <c r="T35" i="4"/>
  <c r="U35" i="4"/>
  <c r="V35" i="4"/>
  <c r="W35" i="4"/>
  <c r="R37" i="4" l="1"/>
  <c r="J38" i="4"/>
  <c r="W36" i="4"/>
  <c r="V36" i="4"/>
  <c r="T36" i="4"/>
  <c r="U36" i="4"/>
  <c r="R38" i="4" l="1"/>
  <c r="J39" i="4"/>
  <c r="W37" i="4"/>
  <c r="U37" i="4"/>
  <c r="T37" i="4"/>
  <c r="V37" i="4"/>
  <c r="R39" i="4" l="1"/>
  <c r="J40" i="4"/>
  <c r="V38" i="4"/>
  <c r="U38" i="4"/>
  <c r="W38" i="4"/>
  <c r="T38" i="4"/>
  <c r="R40" i="4" l="1"/>
  <c r="J41" i="4"/>
  <c r="T39" i="4"/>
  <c r="U39" i="4"/>
  <c r="V39" i="4"/>
  <c r="W39" i="4"/>
  <c r="R41" i="4" l="1"/>
  <c r="J42" i="4"/>
  <c r="W40" i="4"/>
  <c r="T40" i="4"/>
  <c r="V40" i="4"/>
  <c r="U40" i="4"/>
  <c r="R42" i="4" l="1"/>
  <c r="J43" i="4"/>
  <c r="T41" i="4"/>
  <c r="U41" i="4"/>
  <c r="W41" i="4"/>
  <c r="V41" i="4"/>
  <c r="R43" i="4" l="1"/>
  <c r="J44" i="4"/>
  <c r="W42" i="4"/>
  <c r="U42" i="4"/>
  <c r="V42" i="4"/>
  <c r="T42" i="4"/>
  <c r="R44" i="4" l="1"/>
  <c r="J45" i="4"/>
  <c r="T43" i="4"/>
  <c r="W43" i="4"/>
  <c r="U43" i="4"/>
  <c r="V43" i="4"/>
  <c r="R45" i="4" l="1"/>
  <c r="J46" i="4"/>
  <c r="T44" i="4"/>
  <c r="V44" i="4"/>
  <c r="W44" i="4"/>
  <c r="U44" i="4"/>
  <c r="R46" i="4" l="1"/>
  <c r="J47" i="4"/>
  <c r="W45" i="4"/>
  <c r="U45" i="4"/>
  <c r="T45" i="4"/>
  <c r="V45" i="4"/>
  <c r="R47" i="4" l="1"/>
  <c r="J48" i="4"/>
  <c r="V46" i="4"/>
  <c r="W46" i="4"/>
  <c r="T46" i="4"/>
  <c r="U46" i="4"/>
  <c r="R48" i="4" l="1"/>
  <c r="J49" i="4"/>
  <c r="W47" i="4"/>
  <c r="T47" i="4"/>
  <c r="U47" i="4"/>
  <c r="V47" i="4"/>
  <c r="R49" i="4" l="1"/>
  <c r="J50" i="4"/>
  <c r="W48" i="4"/>
  <c r="T48" i="4"/>
  <c r="V48" i="4"/>
  <c r="U48" i="4"/>
  <c r="R50" i="4" l="1"/>
  <c r="J51" i="4"/>
  <c r="T49" i="4"/>
  <c r="V49" i="4"/>
  <c r="U49" i="4"/>
  <c r="W49" i="4"/>
  <c r="R51" i="4" l="1"/>
  <c r="J52" i="4"/>
  <c r="U50" i="4"/>
  <c r="T50" i="4"/>
  <c r="W50" i="4"/>
  <c r="V50" i="4"/>
  <c r="R52" i="4" l="1"/>
  <c r="J53" i="4"/>
  <c r="V51" i="4"/>
  <c r="U51" i="4"/>
  <c r="W51" i="4"/>
  <c r="T51" i="4"/>
  <c r="R53" i="4" l="1"/>
  <c r="J54" i="4"/>
  <c r="U52" i="4"/>
  <c r="V52" i="4"/>
  <c r="T52" i="4"/>
  <c r="W52" i="4"/>
  <c r="R54" i="4" l="1"/>
  <c r="J55" i="4"/>
  <c r="U53" i="4"/>
  <c r="T53" i="4"/>
  <c r="W53" i="4"/>
  <c r="V53" i="4"/>
  <c r="J56" i="4" l="1"/>
  <c r="R55" i="4"/>
  <c r="U54" i="4"/>
  <c r="W54" i="4"/>
  <c r="T54" i="4"/>
  <c r="V54" i="4"/>
  <c r="U55" i="4" l="1"/>
  <c r="W55" i="4"/>
  <c r="T55" i="4"/>
  <c r="V55" i="4"/>
  <c r="R56" i="4"/>
  <c r="J57" i="4"/>
  <c r="R57" i="4" l="1"/>
  <c r="J58" i="4"/>
  <c r="R58" i="4" s="1"/>
  <c r="U56" i="4"/>
  <c r="W56" i="4"/>
  <c r="V56" i="4"/>
  <c r="T56" i="4"/>
  <c r="T58" i="4" l="1"/>
  <c r="U58" i="4"/>
  <c r="W58" i="4"/>
  <c r="V58" i="4"/>
  <c r="U57" i="4"/>
  <c r="W57" i="4"/>
  <c r="V57" i="4"/>
  <c r="T57" i="4"/>
  <c r="M6" i="3" l="1"/>
  <c r="M7" i="3"/>
  <c r="M3" i="3"/>
  <c r="M8" i="3"/>
  <c r="N3" i="3"/>
  <c r="N7" i="3"/>
  <c r="N6" i="3"/>
  <c r="N8" i="3"/>
  <c r="L7" i="3"/>
  <c r="L6" i="3"/>
  <c r="L8" i="3"/>
  <c r="L3" i="3"/>
  <c r="L5" i="3" s="1"/>
  <c r="L10" i="3" s="1"/>
  <c r="K3" i="3"/>
  <c r="K5" i="3" s="1"/>
  <c r="K10" i="3" s="1"/>
  <c r="K7" i="3"/>
  <c r="K6" i="3"/>
  <c r="K8" i="3"/>
  <c r="N5" i="3" l="1"/>
  <c r="N10" i="3" s="1"/>
  <c r="L4" i="3"/>
  <c r="L9" i="3" s="1"/>
  <c r="L12" i="3" s="1"/>
  <c r="L13" i="3" s="1"/>
  <c r="N4" i="3"/>
  <c r="N9" i="3" s="1"/>
  <c r="N12" i="3" s="1"/>
  <c r="N13" i="3" s="1"/>
  <c r="M4" i="3"/>
  <c r="M9" i="3" s="1"/>
  <c r="K4" i="3"/>
  <c r="K9" i="3" s="1"/>
  <c r="X81" i="4"/>
  <c r="AB81" i="4" s="1"/>
  <c r="AF81" i="4" s="1"/>
  <c r="X61" i="4"/>
  <c r="AB61" i="4" s="1"/>
  <c r="AF61" i="4" s="1"/>
  <c r="X98" i="4"/>
  <c r="AB98" i="4" s="1"/>
  <c r="AF98" i="4" s="1"/>
  <c r="X72" i="4"/>
  <c r="AB72" i="4" s="1"/>
  <c r="AF72" i="4" s="1"/>
  <c r="X73" i="4"/>
  <c r="AB73" i="4" s="1"/>
  <c r="AF73" i="4" s="1"/>
  <c r="X67" i="4"/>
  <c r="AB67" i="4" s="1"/>
  <c r="AF67" i="4" s="1"/>
  <c r="X94" i="4"/>
  <c r="AB94" i="4" s="1"/>
  <c r="AF94" i="4" s="1"/>
  <c r="X123" i="4"/>
  <c r="AB123" i="4" s="1"/>
  <c r="AF123" i="4" s="1"/>
  <c r="X92" i="4"/>
  <c r="AB92" i="4" s="1"/>
  <c r="AF92" i="4" s="1"/>
  <c r="X130" i="4"/>
  <c r="AB130" i="4" s="1"/>
  <c r="AF130" i="4" s="1"/>
  <c r="X113" i="4"/>
  <c r="AB113" i="4" s="1"/>
  <c r="AF113" i="4" s="1"/>
  <c r="X117" i="4"/>
  <c r="AB117" i="4" s="1"/>
  <c r="AF117" i="4" s="1"/>
  <c r="X99" i="4"/>
  <c r="AB99" i="4" s="1"/>
  <c r="AF99" i="4" s="1"/>
  <c r="X79" i="4"/>
  <c r="AB79" i="4" s="1"/>
  <c r="AF79" i="4" s="1"/>
  <c r="X103" i="4"/>
  <c r="AB103" i="4" s="1"/>
  <c r="AF103" i="4" s="1"/>
  <c r="X65" i="4"/>
  <c r="AB65" i="4" s="1"/>
  <c r="AF65" i="4" s="1"/>
  <c r="X104" i="4"/>
  <c r="AB104" i="4" s="1"/>
  <c r="AF104" i="4" s="1"/>
  <c r="X96" i="4"/>
  <c r="AB96" i="4" s="1"/>
  <c r="AF96" i="4" s="1"/>
  <c r="K12" i="3"/>
  <c r="X116" i="4"/>
  <c r="AB116" i="4" s="1"/>
  <c r="AF116" i="4" s="1"/>
  <c r="X85" i="4"/>
  <c r="AB85" i="4" s="1"/>
  <c r="AF85" i="4" s="1"/>
  <c r="X120" i="4"/>
  <c r="AB120" i="4" s="1"/>
  <c r="AF120" i="4" s="1"/>
  <c r="X82" i="4"/>
  <c r="AB82" i="4" s="1"/>
  <c r="AF82" i="4" s="1"/>
  <c r="X101" i="4"/>
  <c r="AB101" i="4" s="1"/>
  <c r="AF101" i="4" s="1"/>
  <c r="X111" i="4"/>
  <c r="AB111" i="4" s="1"/>
  <c r="AF111" i="4" s="1"/>
  <c r="X74" i="4"/>
  <c r="AB74" i="4" s="1"/>
  <c r="AF74" i="4" s="1"/>
  <c r="X95" i="4"/>
  <c r="AB95" i="4" s="1"/>
  <c r="AF95" i="4" s="1"/>
  <c r="X80" i="4"/>
  <c r="AB80" i="4" s="1"/>
  <c r="AF80" i="4" s="1"/>
  <c r="X100" i="4"/>
  <c r="AB100" i="4" s="1"/>
  <c r="AF100" i="4" s="1"/>
  <c r="X77" i="4"/>
  <c r="AB77" i="4" s="1"/>
  <c r="AF77" i="4" s="1"/>
  <c r="X91" i="4"/>
  <c r="AB91" i="4" s="1"/>
  <c r="AF91" i="4" s="1"/>
  <c r="X133" i="4"/>
  <c r="AB133" i="4" s="1"/>
  <c r="AF133" i="4" s="1"/>
  <c r="X115" i="4"/>
  <c r="AB115" i="4" s="1"/>
  <c r="AF115" i="4" s="1"/>
  <c r="X114" i="4"/>
  <c r="AB114" i="4" s="1"/>
  <c r="AF114" i="4" s="1"/>
  <c r="X119" i="4"/>
  <c r="AB119" i="4" s="1"/>
  <c r="AF119" i="4" s="1"/>
  <c r="X64" i="4"/>
  <c r="AB64" i="4" s="1"/>
  <c r="AF64" i="4" s="1"/>
  <c r="X66" i="4"/>
  <c r="AB66" i="4" s="1"/>
  <c r="AF66" i="4" s="1"/>
  <c r="X118" i="4"/>
  <c r="AB118" i="4" s="1"/>
  <c r="AF118" i="4" s="1"/>
  <c r="X121" i="4"/>
  <c r="AB121" i="4" s="1"/>
  <c r="AF121" i="4" s="1"/>
  <c r="X106" i="4"/>
  <c r="AB106" i="4" s="1"/>
  <c r="AF106" i="4" s="1"/>
  <c r="X58" i="4"/>
  <c r="AB58" i="4" s="1"/>
  <c r="AF58" i="4" s="1"/>
  <c r="X125" i="4"/>
  <c r="AB125" i="4" s="1"/>
  <c r="AF125" i="4" s="1"/>
  <c r="X124" i="4"/>
  <c r="AB124" i="4" s="1"/>
  <c r="AF124" i="4" s="1"/>
  <c r="X87" i="4"/>
  <c r="AB87" i="4" s="1"/>
  <c r="AF87" i="4" s="1"/>
  <c r="X63" i="4"/>
  <c r="AB63" i="4" s="1"/>
  <c r="AF63" i="4" s="1"/>
  <c r="X84" i="4"/>
  <c r="AB84" i="4" s="1"/>
  <c r="AF84" i="4" s="1"/>
  <c r="X105" i="4"/>
  <c r="AB105" i="4" s="1"/>
  <c r="AF105" i="4" s="1"/>
  <c r="X110" i="4"/>
  <c r="AB110" i="4" s="1"/>
  <c r="AF110" i="4" s="1"/>
  <c r="X112" i="4"/>
  <c r="AB112" i="4" s="1"/>
  <c r="AF112" i="4" s="1"/>
  <c r="X122" i="4"/>
  <c r="AB122" i="4" s="1"/>
  <c r="AF122" i="4" s="1"/>
  <c r="X62" i="4"/>
  <c r="AB62" i="4" s="1"/>
  <c r="AF62" i="4" s="1"/>
  <c r="X131" i="4"/>
  <c r="AB131" i="4" s="1"/>
  <c r="AF131" i="4" s="1"/>
  <c r="X127" i="4"/>
  <c r="AB127" i="4" s="1"/>
  <c r="AF127" i="4" s="1"/>
  <c r="X59" i="4"/>
  <c r="AB59" i="4" s="1"/>
  <c r="AF59" i="4" s="1"/>
  <c r="X109" i="4"/>
  <c r="AB109" i="4" s="1"/>
  <c r="AF109" i="4" s="1"/>
  <c r="X68" i="4"/>
  <c r="AB68" i="4" s="1"/>
  <c r="AF68" i="4" s="1"/>
  <c r="X97" i="4"/>
  <c r="AB97" i="4" s="1"/>
  <c r="AF97" i="4" s="1"/>
  <c r="X102" i="4"/>
  <c r="AB102" i="4" s="1"/>
  <c r="AF102" i="4" s="1"/>
  <c r="X129" i="4"/>
  <c r="AB129" i="4" s="1"/>
  <c r="AF129" i="4" s="1"/>
  <c r="X108" i="4"/>
  <c r="AB108" i="4" s="1"/>
  <c r="AF108" i="4" s="1"/>
  <c r="X132" i="4"/>
  <c r="AB132" i="4" s="1"/>
  <c r="AF132" i="4" s="1"/>
  <c r="X69" i="4"/>
  <c r="AB69" i="4" s="1"/>
  <c r="AF69" i="4" s="1"/>
  <c r="X78" i="4"/>
  <c r="AB78" i="4" s="1"/>
  <c r="AF78" i="4" s="1"/>
  <c r="X60" i="4"/>
  <c r="AB60" i="4" s="1"/>
  <c r="AF60" i="4" s="1"/>
  <c r="X76" i="4"/>
  <c r="AB76" i="4" s="1"/>
  <c r="AF76" i="4" s="1"/>
  <c r="X88" i="4"/>
  <c r="AB88" i="4" s="1"/>
  <c r="AF88" i="4" s="1"/>
  <c r="X86" i="4"/>
  <c r="AB86" i="4" s="1"/>
  <c r="AF86" i="4" s="1"/>
  <c r="X75" i="4"/>
  <c r="AB75" i="4" s="1"/>
  <c r="AF75" i="4" s="1"/>
  <c r="X89" i="4"/>
  <c r="AB89" i="4" s="1"/>
  <c r="AF89" i="4" s="1"/>
  <c r="X107" i="4"/>
  <c r="AB107" i="4" s="1"/>
  <c r="AF107" i="4" s="1"/>
  <c r="X71" i="4"/>
  <c r="AB71" i="4" s="1"/>
  <c r="AF71" i="4" s="1"/>
  <c r="X128" i="4"/>
  <c r="AB128" i="4" s="1"/>
  <c r="AF128" i="4" s="1"/>
  <c r="X90" i="4"/>
  <c r="AB90" i="4" s="1"/>
  <c r="AF90" i="4" s="1"/>
  <c r="X83" i="4"/>
  <c r="AB83" i="4" s="1"/>
  <c r="AF83" i="4" s="1"/>
  <c r="X70" i="4"/>
  <c r="AB70" i="4" s="1"/>
  <c r="AF70" i="4" s="1"/>
  <c r="X93" i="4"/>
  <c r="AB93" i="4" s="1"/>
  <c r="AF93" i="4" s="1"/>
  <c r="X126" i="4"/>
  <c r="AB126" i="4" s="1"/>
  <c r="AF126" i="4" s="1"/>
  <c r="K13" i="3"/>
  <c r="X30" i="4" s="1"/>
  <c r="K14" i="3"/>
  <c r="X57" i="4"/>
  <c r="AB57" i="4" s="1"/>
  <c r="AF57" i="4" s="1"/>
  <c r="M5" i="3"/>
  <c r="M10" i="3" s="1"/>
  <c r="M12" i="3" s="1"/>
  <c r="M13" i="3" s="1"/>
  <c r="M15" i="3" s="1"/>
  <c r="X8" i="4" l="1"/>
  <c r="AA35" i="4"/>
  <c r="AA55" i="4"/>
  <c r="AA50" i="4"/>
  <c r="AA20" i="4"/>
  <c r="AA4" i="4"/>
  <c r="AA38" i="4"/>
  <c r="AA7" i="4"/>
  <c r="AA54" i="4"/>
  <c r="AA39" i="4"/>
  <c r="AA5" i="4"/>
  <c r="AA41" i="4"/>
  <c r="AA9" i="4"/>
  <c r="AA53" i="4"/>
  <c r="AA27" i="4"/>
  <c r="AA15" i="4"/>
  <c r="AA47" i="4"/>
  <c r="AA51" i="4"/>
  <c r="AA48" i="4"/>
  <c r="AA43" i="4"/>
  <c r="AA33" i="4"/>
  <c r="AA17" i="4"/>
  <c r="AA34" i="4"/>
  <c r="AA40" i="4"/>
  <c r="AA49" i="4"/>
  <c r="AA19" i="4"/>
  <c r="AA32" i="4"/>
  <c r="AA37" i="4"/>
  <c r="AA14" i="4"/>
  <c r="AA13" i="4"/>
  <c r="AA31" i="4"/>
  <c r="AA16" i="4"/>
  <c r="AA52" i="4"/>
  <c r="AA29" i="4"/>
  <c r="AA18" i="4"/>
  <c r="AA24" i="4"/>
  <c r="AA42" i="4"/>
  <c r="AA8" i="4"/>
  <c r="AA56" i="4"/>
  <c r="AA25" i="4"/>
  <c r="AA22" i="4"/>
  <c r="AA3" i="4"/>
  <c r="AA11" i="4"/>
  <c r="AA46" i="4"/>
  <c r="AA23" i="4"/>
  <c r="AA12" i="4"/>
  <c r="AA26" i="4"/>
  <c r="AA6" i="4"/>
  <c r="AA2" i="4"/>
  <c r="AA21" i="4"/>
  <c r="AA44" i="4"/>
  <c r="AA30" i="4"/>
  <c r="AA28" i="4"/>
  <c r="AA10" i="4"/>
  <c r="AA36" i="4"/>
  <c r="AA45" i="4"/>
  <c r="N15" i="3"/>
  <c r="Y22" i="4"/>
  <c r="Y37" i="4"/>
  <c r="Y5" i="4"/>
  <c r="Y3" i="4"/>
  <c r="Y4" i="4"/>
  <c r="Y50" i="4"/>
  <c r="Y28" i="4"/>
  <c r="Y49" i="4"/>
  <c r="Y54" i="4"/>
  <c r="Y15" i="4"/>
  <c r="Y12" i="4"/>
  <c r="Y36" i="4"/>
  <c r="Y7" i="4"/>
  <c r="Y42" i="4"/>
  <c r="Y17" i="4"/>
  <c r="Y25" i="4"/>
  <c r="Y55" i="4"/>
  <c r="Y33" i="4"/>
  <c r="Y6" i="4"/>
  <c r="Y9" i="4"/>
  <c r="Y41" i="4"/>
  <c r="Y52" i="4"/>
  <c r="Y20" i="4"/>
  <c r="Y24" i="4"/>
  <c r="Y43" i="4"/>
  <c r="Y51" i="4"/>
  <c r="Y16" i="4"/>
  <c r="Y27" i="4"/>
  <c r="Y34" i="4"/>
  <c r="Y13" i="4"/>
  <c r="Y46" i="4"/>
  <c r="Y48" i="4"/>
  <c r="Y44" i="4"/>
  <c r="Y19" i="4"/>
  <c r="Y30" i="4"/>
  <c r="Y31" i="4"/>
  <c r="Y32" i="4"/>
  <c r="Y56" i="4"/>
  <c r="Y23" i="4"/>
  <c r="Y26" i="4"/>
  <c r="Y47" i="4"/>
  <c r="Y40" i="4"/>
  <c r="Y53" i="4"/>
  <c r="Y14" i="4"/>
  <c r="Y35" i="4"/>
  <c r="Y39" i="4"/>
  <c r="Y38" i="4"/>
  <c r="Y8" i="4"/>
  <c r="Y10" i="4"/>
  <c r="Y29" i="4"/>
  <c r="Y21" i="4"/>
  <c r="Y11" i="4"/>
  <c r="Y45" i="4"/>
  <c r="Y2" i="4"/>
  <c r="Y18" i="4"/>
  <c r="L15" i="3"/>
  <c r="X56" i="4"/>
  <c r="X20" i="4"/>
  <c r="X55" i="4"/>
  <c r="X11" i="4"/>
  <c r="M14" i="3"/>
  <c r="X18" i="4"/>
  <c r="L14" i="3"/>
  <c r="X16" i="4"/>
  <c r="X24" i="4"/>
  <c r="X53" i="4"/>
  <c r="X49" i="4"/>
  <c r="X23" i="4"/>
  <c r="X48" i="4"/>
  <c r="Z23" i="4"/>
  <c r="Z39" i="4"/>
  <c r="Z28" i="4"/>
  <c r="Z27" i="4"/>
  <c r="Z17" i="4"/>
  <c r="Z5" i="4"/>
  <c r="Z19" i="4"/>
  <c r="Z51" i="4"/>
  <c r="Z33" i="4"/>
  <c r="Z26" i="4"/>
  <c r="Z13" i="4"/>
  <c r="Z37" i="4"/>
  <c r="Z14" i="4"/>
  <c r="Z34" i="4"/>
  <c r="Z49" i="4"/>
  <c r="Z11" i="4"/>
  <c r="Z42" i="4"/>
  <c r="Z44" i="4"/>
  <c r="Z6" i="4"/>
  <c r="Z30" i="4"/>
  <c r="Z46" i="4"/>
  <c r="Z31" i="4"/>
  <c r="Z4" i="4"/>
  <c r="Z9" i="4"/>
  <c r="Z36" i="4"/>
  <c r="Z20" i="4"/>
  <c r="Z15" i="4"/>
  <c r="Z52" i="4"/>
  <c r="Z45" i="4"/>
  <c r="Z16" i="4"/>
  <c r="Z55" i="4"/>
  <c r="Z8" i="4"/>
  <c r="Z48" i="4"/>
  <c r="Z56" i="4"/>
  <c r="Z29" i="4"/>
  <c r="Z12" i="4"/>
  <c r="Z54" i="4"/>
  <c r="Z21" i="4"/>
  <c r="Z10" i="4"/>
  <c r="Z2" i="4"/>
  <c r="Z18" i="4"/>
  <c r="Z43" i="4"/>
  <c r="Z47" i="4"/>
  <c r="Z40" i="4"/>
  <c r="Z53" i="4"/>
  <c r="Z25" i="4"/>
  <c r="Z7" i="4"/>
  <c r="Z35" i="4"/>
  <c r="Z32" i="4"/>
  <c r="Z38" i="4"/>
  <c r="Z3" i="4"/>
  <c r="Z50" i="4"/>
  <c r="Z41" i="4"/>
  <c r="Z22" i="4"/>
  <c r="Z24" i="4"/>
  <c r="X52" i="4"/>
  <c r="X41" i="4"/>
  <c r="X25" i="4"/>
  <c r="X43" i="4"/>
  <c r="X21" i="4"/>
  <c r="X9" i="4"/>
  <c r="X45" i="4"/>
  <c r="X37" i="4"/>
  <c r="X10" i="4"/>
  <c r="X17" i="4"/>
  <c r="X12" i="4"/>
  <c r="X19" i="4"/>
  <c r="X22" i="4"/>
  <c r="X15" i="4"/>
  <c r="X47" i="4"/>
  <c r="X28" i="4"/>
  <c r="X26" i="4"/>
  <c r="X7" i="4"/>
  <c r="X35" i="4"/>
  <c r="X4" i="4"/>
  <c r="X42" i="4"/>
  <c r="X36" i="4"/>
  <c r="X50" i="4"/>
  <c r="X2" i="4"/>
  <c r="X6" i="4"/>
  <c r="X38" i="4"/>
  <c r="X32" i="4"/>
  <c r="X31" i="4"/>
  <c r="X33" i="4"/>
  <c r="X44" i="4"/>
  <c r="N14" i="3"/>
  <c r="X5" i="4"/>
  <c r="X29" i="4"/>
  <c r="X34" i="4"/>
  <c r="X3" i="4"/>
  <c r="X51" i="4"/>
  <c r="X40" i="4"/>
  <c r="X54" i="4"/>
  <c r="X39" i="4"/>
  <c r="X46" i="4"/>
  <c r="X27" i="4"/>
  <c r="X14" i="4"/>
  <c r="X13" i="4"/>
  <c r="K15" i="3"/>
  <c r="AB50" i="4" l="1"/>
  <c r="AF50" i="4" s="1"/>
  <c r="AD54" i="4"/>
  <c r="AH54" i="4" s="1"/>
  <c r="K11" i="3"/>
  <c r="AB6" i="4" s="1"/>
  <c r="AF6" i="4" s="1"/>
  <c r="AB54" i="4"/>
  <c r="AF54" i="4" s="1"/>
  <c r="N11" i="3"/>
  <c r="AE12" i="4" s="1"/>
  <c r="AI12" i="4" s="1"/>
  <c r="L11" i="3"/>
  <c r="AC17" i="4" s="1"/>
  <c r="AG17" i="4" s="1"/>
  <c r="AB51" i="4"/>
  <c r="AF51" i="4" s="1"/>
  <c r="AC54" i="4"/>
  <c r="AG54" i="4" s="1"/>
  <c r="M11" i="3"/>
  <c r="AD18" i="4" s="1"/>
  <c r="AH18" i="4" s="1"/>
  <c r="AB44" i="4" l="1"/>
  <c r="AF44" i="4" s="1"/>
  <c r="AC3" i="4"/>
  <c r="AG3" i="4" s="1"/>
  <c r="AC33" i="4"/>
  <c r="AG33" i="4" s="1"/>
  <c r="AC48" i="4"/>
  <c r="AG48" i="4" s="1"/>
  <c r="AC13" i="4"/>
  <c r="AG13" i="4" s="1"/>
  <c r="AB24" i="4"/>
  <c r="AF24" i="4" s="1"/>
  <c r="AB3" i="4"/>
  <c r="AF3" i="4" s="1"/>
  <c r="AC28" i="4"/>
  <c r="AG28" i="4" s="1"/>
  <c r="AC25" i="4"/>
  <c r="AG25" i="4" s="1"/>
  <c r="AB45" i="4"/>
  <c r="AF45" i="4" s="1"/>
  <c r="AC41" i="4"/>
  <c r="AG41" i="4" s="1"/>
  <c r="AB40" i="4"/>
  <c r="AF40" i="4" s="1"/>
  <c r="AC30" i="4"/>
  <c r="AG30" i="4" s="1"/>
  <c r="AC14" i="4"/>
  <c r="AG14" i="4" s="1"/>
  <c r="AC6" i="4"/>
  <c r="AG6" i="4" s="1"/>
  <c r="AC10" i="4"/>
  <c r="AG10" i="4" s="1"/>
  <c r="AD45" i="4"/>
  <c r="AH45" i="4" s="1"/>
  <c r="AB20" i="4"/>
  <c r="AF20" i="4" s="1"/>
  <c r="AC44" i="4"/>
  <c r="AG44" i="4" s="1"/>
  <c r="AC38" i="4"/>
  <c r="AG38" i="4" s="1"/>
  <c r="AB47" i="4"/>
  <c r="AF47" i="4" s="1"/>
  <c r="AB21" i="4"/>
  <c r="AF21" i="4" s="1"/>
  <c r="AD34" i="4"/>
  <c r="AH34" i="4" s="1"/>
  <c r="AB33" i="4"/>
  <c r="AF33" i="4" s="1"/>
  <c r="AB7" i="4"/>
  <c r="AF7" i="4" s="1"/>
  <c r="AD3" i="4"/>
  <c r="AH3" i="4" s="1"/>
  <c r="AD47" i="4"/>
  <c r="AH47" i="4" s="1"/>
  <c r="AB22" i="4"/>
  <c r="AF22" i="4" s="1"/>
  <c r="AB19" i="4"/>
  <c r="AF19" i="4" s="1"/>
  <c r="AB41" i="4"/>
  <c r="AF41" i="4" s="1"/>
  <c r="AB48" i="4"/>
  <c r="AF48" i="4" s="1"/>
  <c r="AB23" i="4"/>
  <c r="AF23" i="4" s="1"/>
  <c r="AB17" i="4"/>
  <c r="AF17" i="4" s="1"/>
  <c r="AB5" i="4"/>
  <c r="AF5" i="4" s="1"/>
  <c r="AD32" i="4"/>
  <c r="AH32" i="4" s="1"/>
  <c r="AD43" i="4"/>
  <c r="AH43" i="4" s="1"/>
  <c r="AB4" i="4"/>
  <c r="AF4" i="4" s="1"/>
  <c r="AB37" i="4"/>
  <c r="AF37" i="4" s="1"/>
  <c r="AB28" i="4"/>
  <c r="AF28" i="4" s="1"/>
  <c r="AB42" i="4"/>
  <c r="AF42" i="4" s="1"/>
  <c r="AC15" i="4"/>
  <c r="AG15" i="4" s="1"/>
  <c r="AB13" i="4"/>
  <c r="AF13" i="4" s="1"/>
  <c r="AC5" i="4"/>
  <c r="AG5" i="4" s="1"/>
  <c r="AC39" i="4"/>
  <c r="AG39" i="4" s="1"/>
  <c r="AC51" i="4"/>
  <c r="AG51" i="4" s="1"/>
  <c r="AD56" i="4"/>
  <c r="AH56" i="4" s="1"/>
  <c r="AE2" i="4"/>
  <c r="AI2" i="4" s="1"/>
  <c r="AB39" i="4"/>
  <c r="AF39" i="4" s="1"/>
  <c r="AD31" i="4"/>
  <c r="AH31" i="4" s="1"/>
  <c r="AE42" i="4"/>
  <c r="AI42" i="4" s="1"/>
  <c r="AD36" i="4"/>
  <c r="AH36" i="4" s="1"/>
  <c r="AC56" i="4"/>
  <c r="AG56" i="4" s="1"/>
  <c r="AE52" i="4"/>
  <c r="AI52" i="4" s="1"/>
  <c r="AE10" i="4"/>
  <c r="AI10" i="4" s="1"/>
  <c r="AE19" i="4"/>
  <c r="AI19" i="4" s="1"/>
  <c r="AE34" i="4"/>
  <c r="AI34" i="4" s="1"/>
  <c r="AD20" i="4"/>
  <c r="AH20" i="4" s="1"/>
  <c r="AB36" i="4"/>
  <c r="AF36" i="4" s="1"/>
  <c r="AE32" i="4"/>
  <c r="AI32" i="4" s="1"/>
  <c r="AD55" i="4"/>
  <c r="AH55" i="4" s="1"/>
  <c r="AC55" i="4"/>
  <c r="AG55" i="4" s="1"/>
  <c r="AE41" i="4"/>
  <c r="AI41" i="4" s="1"/>
  <c r="AB11" i="4"/>
  <c r="AF11" i="4" s="1"/>
  <c r="AD24" i="4"/>
  <c r="AH24" i="4" s="1"/>
  <c r="AD35" i="4"/>
  <c r="AH35" i="4" s="1"/>
  <c r="AC50" i="4"/>
  <c r="AG50" i="4" s="1"/>
  <c r="AB49" i="4"/>
  <c r="AF49" i="4" s="1"/>
  <c r="AD12" i="4"/>
  <c r="AH12" i="4" s="1"/>
  <c r="AE44" i="4"/>
  <c r="AI44" i="4" s="1"/>
  <c r="AC43" i="4"/>
  <c r="AG43" i="4" s="1"/>
  <c r="AC11" i="4"/>
  <c r="AG11" i="4" s="1"/>
  <c r="AE15" i="4"/>
  <c r="AI15" i="4" s="1"/>
  <c r="AE28" i="4"/>
  <c r="AI28" i="4" s="1"/>
  <c r="AE46" i="4"/>
  <c r="AI46" i="4" s="1"/>
  <c r="AD28" i="4"/>
  <c r="AH28" i="4" s="1"/>
  <c r="AE16" i="4"/>
  <c r="AI16" i="4" s="1"/>
  <c r="AD30" i="4"/>
  <c r="AH30" i="4" s="1"/>
  <c r="AD51" i="4"/>
  <c r="AH51" i="4" s="1"/>
  <c r="AC22" i="4"/>
  <c r="AG22" i="4" s="1"/>
  <c r="AC32" i="4"/>
  <c r="AG32" i="4" s="1"/>
  <c r="AE14" i="4"/>
  <c r="AI14" i="4" s="1"/>
  <c r="AC53" i="4"/>
  <c r="AG53" i="4" s="1"/>
  <c r="AE45" i="4"/>
  <c r="AI45" i="4" s="1"/>
  <c r="AD53" i="4"/>
  <c r="AH53" i="4" s="1"/>
  <c r="AC46" i="4"/>
  <c r="AG46" i="4" s="1"/>
  <c r="AB38" i="4"/>
  <c r="AF38" i="4" s="1"/>
  <c r="AD17" i="4"/>
  <c r="AH17" i="4" s="1"/>
  <c r="AC7" i="4"/>
  <c r="AG7" i="4" s="1"/>
  <c r="AB34" i="4"/>
  <c r="AF34" i="4" s="1"/>
  <c r="AC9" i="4"/>
  <c r="AG9" i="4" s="1"/>
  <c r="AB46" i="4"/>
  <c r="AF46" i="4" s="1"/>
  <c r="AD38" i="4"/>
  <c r="AH38" i="4" s="1"/>
  <c r="AC49" i="4"/>
  <c r="AG49" i="4" s="1"/>
  <c r="AC36" i="4"/>
  <c r="AG36" i="4" s="1"/>
  <c r="AB53" i="4"/>
  <c r="AF53" i="4" s="1"/>
  <c r="AE56" i="4"/>
  <c r="AI56" i="4" s="1"/>
  <c r="AD10" i="4"/>
  <c r="AH10" i="4" s="1"/>
  <c r="AE18" i="4"/>
  <c r="AI18" i="4" s="1"/>
  <c r="AD21" i="4"/>
  <c r="AH21" i="4" s="1"/>
  <c r="AD42" i="4"/>
  <c r="AH42" i="4" s="1"/>
  <c r="AE27" i="4"/>
  <c r="AI27" i="4" s="1"/>
  <c r="AC34" i="4"/>
  <c r="AG34" i="4" s="1"/>
  <c r="AC20" i="4"/>
  <c r="AG20" i="4" s="1"/>
  <c r="AE11" i="4"/>
  <c r="AI11" i="4" s="1"/>
  <c r="AE25" i="4"/>
  <c r="AI25" i="4" s="1"/>
  <c r="AB56" i="4"/>
  <c r="AF56" i="4" s="1"/>
  <c r="AD52" i="4"/>
  <c r="AH52" i="4" s="1"/>
  <c r="AB43" i="4"/>
  <c r="AF43" i="4" s="1"/>
  <c r="AC35" i="4"/>
  <c r="AG35" i="4" s="1"/>
  <c r="AD14" i="4"/>
  <c r="AH14" i="4" s="1"/>
  <c r="AD6" i="4"/>
  <c r="AH6" i="4" s="1"/>
  <c r="AB52" i="4"/>
  <c r="AF52" i="4" s="1"/>
  <c r="AD26" i="4"/>
  <c r="AH26" i="4" s="1"/>
  <c r="AC19" i="4"/>
  <c r="AG19" i="4" s="1"/>
  <c r="AE36" i="4"/>
  <c r="AI36" i="4" s="1"/>
  <c r="AB10" i="4"/>
  <c r="AF10" i="4" s="1"/>
  <c r="AC52" i="4"/>
  <c r="AG52" i="4" s="1"/>
  <c r="AE53" i="4"/>
  <c r="AI53" i="4" s="1"/>
  <c r="AD13" i="4"/>
  <c r="AH13" i="4" s="1"/>
  <c r="AE49" i="4"/>
  <c r="AI49" i="4" s="1"/>
  <c r="AD5" i="4"/>
  <c r="AH5" i="4" s="1"/>
  <c r="AE54" i="4"/>
  <c r="AI54" i="4" s="1"/>
  <c r="AC42" i="4"/>
  <c r="AG42" i="4" s="1"/>
  <c r="AE55" i="4"/>
  <c r="AI55" i="4" s="1"/>
  <c r="AB26" i="4"/>
  <c r="AF26" i="4" s="1"/>
  <c r="AB55" i="4"/>
  <c r="AF55" i="4" s="1"/>
  <c r="AB27" i="4"/>
  <c r="AF27" i="4" s="1"/>
  <c r="AD48" i="4"/>
  <c r="AH48" i="4" s="1"/>
  <c r="AE4" i="4"/>
  <c r="AI4" i="4" s="1"/>
  <c r="AB12" i="4"/>
  <c r="AF12" i="4" s="1"/>
  <c r="AC8" i="4"/>
  <c r="AG8" i="4" s="1"/>
  <c r="AC18" i="4"/>
  <c r="AG18" i="4" s="1"/>
  <c r="AC21" i="4"/>
  <c r="AG21" i="4" s="1"/>
  <c r="AC31" i="4"/>
  <c r="AG31" i="4" s="1"/>
  <c r="AE39" i="4"/>
  <c r="AI39" i="4" s="1"/>
  <c r="AE38" i="4"/>
  <c r="AI38" i="4" s="1"/>
  <c r="AE50" i="4"/>
  <c r="AI50" i="4" s="1"/>
  <c r="AE33" i="4"/>
  <c r="AI33" i="4" s="1"/>
  <c r="AE13" i="4"/>
  <c r="AI13" i="4" s="1"/>
  <c r="AB14" i="4"/>
  <c r="AF14" i="4" s="1"/>
  <c r="AB30" i="4"/>
  <c r="AF30" i="4" s="1"/>
  <c r="AB8" i="4"/>
  <c r="AF8" i="4" s="1"/>
  <c r="AC29" i="4"/>
  <c r="AG29" i="4" s="1"/>
  <c r="AE40" i="4"/>
  <c r="AI40" i="4" s="1"/>
  <c r="AD37" i="4"/>
  <c r="AH37" i="4" s="1"/>
  <c r="AE26" i="4"/>
  <c r="AI26" i="4" s="1"/>
  <c r="AD19" i="4"/>
  <c r="AH19" i="4" s="1"/>
  <c r="AE17" i="4"/>
  <c r="AI17" i="4" s="1"/>
  <c r="AB2" i="4"/>
  <c r="AF2" i="4" s="1"/>
  <c r="AB16" i="4"/>
  <c r="AF16" i="4" s="1"/>
  <c r="AE8" i="4"/>
  <c r="AI8" i="4" s="1"/>
  <c r="AC26" i="4"/>
  <c r="AG26" i="4" s="1"/>
  <c r="AE35" i="4"/>
  <c r="AI35" i="4" s="1"/>
  <c r="AD2" i="4"/>
  <c r="AH2" i="4" s="1"/>
  <c r="AE47" i="4"/>
  <c r="AI47" i="4" s="1"/>
  <c r="AD27" i="4"/>
  <c r="AH27" i="4" s="1"/>
  <c r="AD7" i="4"/>
  <c r="AH7" i="4" s="1"/>
  <c r="AC12" i="4"/>
  <c r="AG12" i="4" s="1"/>
  <c r="AB18" i="4"/>
  <c r="AF18" i="4" s="1"/>
  <c r="AC40" i="4"/>
  <c r="AG40" i="4" s="1"/>
  <c r="AD16" i="4"/>
  <c r="AH16" i="4" s="1"/>
  <c r="AC45" i="4"/>
  <c r="AG45" i="4" s="1"/>
  <c r="AB9" i="4"/>
  <c r="AF9" i="4" s="1"/>
  <c r="AD15" i="4"/>
  <c r="AH15" i="4" s="1"/>
  <c r="AD40" i="4"/>
  <c r="AH40" i="4" s="1"/>
  <c r="AE23" i="4"/>
  <c r="AI23" i="4" s="1"/>
  <c r="AD22" i="4"/>
  <c r="AH22" i="4" s="1"/>
  <c r="AD8" i="4"/>
  <c r="AH8" i="4" s="1"/>
  <c r="AE20" i="4"/>
  <c r="AI20" i="4" s="1"/>
  <c r="AB35" i="4"/>
  <c r="AF35" i="4" s="1"/>
  <c r="AE6" i="4"/>
  <c r="AI6" i="4" s="1"/>
  <c r="AC2" i="4"/>
  <c r="AG2" i="4" s="1"/>
  <c r="AD46" i="4"/>
  <c r="AH46" i="4" s="1"/>
  <c r="AE24" i="4"/>
  <c r="AI24" i="4" s="1"/>
  <c r="AD41" i="4"/>
  <c r="AH41" i="4" s="1"/>
  <c r="AD33" i="4"/>
  <c r="AH33" i="4" s="1"/>
  <c r="AD50" i="4"/>
  <c r="AH50" i="4" s="1"/>
  <c r="AE3" i="4"/>
  <c r="AI3" i="4" s="1"/>
  <c r="AD9" i="4"/>
  <c r="AH9" i="4" s="1"/>
  <c r="AE37" i="4"/>
  <c r="AI37" i="4" s="1"/>
  <c r="AE51" i="4"/>
  <c r="AI51" i="4" s="1"/>
  <c r="AC24" i="4"/>
  <c r="AG24" i="4" s="1"/>
  <c r="AD39" i="4"/>
  <c r="AH39" i="4" s="1"/>
  <c r="AC27" i="4"/>
  <c r="AG27" i="4" s="1"/>
  <c r="AD11" i="4"/>
  <c r="AH11" i="4" s="1"/>
  <c r="AE30" i="4"/>
  <c r="AI30" i="4" s="1"/>
  <c r="AC47" i="4"/>
  <c r="AG47" i="4" s="1"/>
  <c r="AE43" i="4"/>
  <c r="AI43" i="4" s="1"/>
  <c r="AE7" i="4"/>
  <c r="AI7" i="4" s="1"/>
  <c r="AE22" i="4"/>
  <c r="AI22" i="4" s="1"/>
  <c r="AE31" i="4"/>
  <c r="AI31" i="4" s="1"/>
  <c r="AD44" i="4"/>
  <c r="AH44" i="4" s="1"/>
  <c r="AB31" i="4"/>
  <c r="AF31" i="4" s="1"/>
  <c r="AE29" i="4"/>
  <c r="AI29" i="4" s="1"/>
  <c r="AD23" i="4"/>
  <c r="AH23" i="4" s="1"/>
  <c r="AD49" i="4"/>
  <c r="AH49" i="4" s="1"/>
  <c r="AC16" i="4"/>
  <c r="AG16" i="4" s="1"/>
  <c r="AB25" i="4"/>
  <c r="AF25" i="4" s="1"/>
  <c r="AC37" i="4"/>
  <c r="AG37" i="4" s="1"/>
  <c r="AE9" i="4"/>
  <c r="AI9" i="4" s="1"/>
  <c r="AD25" i="4"/>
  <c r="AH25" i="4" s="1"/>
  <c r="AE48" i="4"/>
  <c r="AI48" i="4" s="1"/>
  <c r="AB29" i="4"/>
  <c r="AF29" i="4" s="1"/>
  <c r="AC4" i="4"/>
  <c r="AG4" i="4" s="1"/>
  <c r="AB32" i="4"/>
  <c r="AF32" i="4" s="1"/>
  <c r="AD29" i="4"/>
  <c r="AH29" i="4" s="1"/>
  <c r="AE21" i="4"/>
  <c r="AI21" i="4" s="1"/>
  <c r="AC23" i="4"/>
  <c r="AG23" i="4" s="1"/>
  <c r="AD4" i="4"/>
  <c r="AH4" i="4" s="1"/>
  <c r="AE5" i="4"/>
  <c r="AI5" i="4" s="1"/>
  <c r="AB15" i="4"/>
  <c r="AF15" i="4" s="1"/>
  <c r="E3" i="3" l="1"/>
  <c r="D6" i="3"/>
  <c r="D7" i="3"/>
  <c r="D3" i="3"/>
  <c r="D5" i="3" s="1"/>
  <c r="D10" i="3" s="1"/>
  <c r="D8" i="3"/>
  <c r="G3" i="3"/>
  <c r="G4" i="3" s="1"/>
  <c r="G9" i="3" s="1"/>
  <c r="G8" i="3"/>
  <c r="G6" i="3"/>
  <c r="G7" i="3"/>
  <c r="E6" i="3"/>
  <c r="E8" i="3"/>
  <c r="E5" i="3"/>
  <c r="E10" i="3" s="1"/>
  <c r="E7" i="3"/>
  <c r="F7" i="3"/>
  <c r="F3" i="3"/>
  <c r="F4" i="3" s="1"/>
  <c r="F9" i="3" s="1"/>
  <c r="F8" i="3"/>
  <c r="F6" i="3"/>
  <c r="G5" i="3" l="1"/>
  <c r="G10" i="3" s="1"/>
  <c r="G12" i="3" s="1"/>
  <c r="E4" i="3"/>
  <c r="E9" i="3" s="1"/>
  <c r="E12" i="3" s="1"/>
  <c r="F5" i="3"/>
  <c r="F10" i="3" s="1"/>
  <c r="F12" i="3" s="1"/>
  <c r="F13" i="3" s="1"/>
  <c r="F15" i="3" s="1"/>
  <c r="D4" i="3"/>
  <c r="D9" i="3" s="1"/>
  <c r="D12" i="3" s="1"/>
  <c r="D14" i="3" l="1"/>
  <c r="F14" i="3"/>
  <c r="E13" i="3"/>
  <c r="E15" i="3" s="1"/>
  <c r="E14" i="3"/>
  <c r="G14" i="3"/>
  <c r="G13" i="3"/>
  <c r="G15" i="3" s="1"/>
  <c r="D13" i="3"/>
  <c r="D15" i="3" s="1"/>
  <c r="B6" i="1" l="1"/>
  <c r="B7" i="1"/>
  <c r="B4" i="1"/>
  <c r="B5" i="1"/>
  <c r="D23" i="3"/>
  <c r="S92" i="4" l="1"/>
  <c r="S51" i="4"/>
  <c r="S83" i="4"/>
  <c r="S129" i="4"/>
  <c r="S35" i="4"/>
  <c r="S111" i="4"/>
  <c r="S78" i="4"/>
  <c r="S71" i="4"/>
  <c r="S7" i="4"/>
  <c r="S64" i="4"/>
  <c r="S122" i="4"/>
  <c r="S117" i="4"/>
  <c r="S107" i="4"/>
  <c r="S79" i="4"/>
  <c r="S37" i="4"/>
  <c r="S125" i="4"/>
  <c r="S94" i="4"/>
  <c r="S93" i="4"/>
  <c r="S73" i="4"/>
  <c r="S75" i="4"/>
  <c r="S95" i="4"/>
  <c r="S4" i="4"/>
  <c r="S131" i="4"/>
  <c r="S43" i="4"/>
  <c r="S30" i="4"/>
  <c r="S124" i="4"/>
  <c r="S105" i="4"/>
  <c r="S96" i="4"/>
  <c r="S110" i="4"/>
  <c r="S70" i="4"/>
  <c r="S88" i="4"/>
  <c r="S130" i="4"/>
  <c r="S50" i="4"/>
  <c r="S108" i="4"/>
  <c r="S6" i="4"/>
  <c r="S123" i="4"/>
  <c r="S91" i="4"/>
  <c r="S14" i="4"/>
  <c r="S33" i="4"/>
  <c r="S12" i="4"/>
  <c r="S115" i="4"/>
  <c r="S19" i="4"/>
  <c r="S34" i="4"/>
  <c r="S8" i="4"/>
  <c r="S65" i="4"/>
  <c r="S61" i="4"/>
  <c r="S102" i="4"/>
  <c r="S112" i="4"/>
  <c r="S114" i="4"/>
  <c r="S48" i="4"/>
  <c r="S58" i="4"/>
  <c r="S113" i="4"/>
  <c r="S9" i="4"/>
  <c r="S10" i="4"/>
  <c r="S101" i="4"/>
  <c r="S103" i="4"/>
  <c r="S42" i="4"/>
  <c r="S59" i="4"/>
  <c r="S36" i="4"/>
  <c r="S28" i="4"/>
  <c r="S119" i="4"/>
  <c r="S3" i="4"/>
  <c r="S13" i="4"/>
  <c r="S41" i="4"/>
  <c r="S99" i="4"/>
  <c r="S121" i="4"/>
  <c r="S15" i="4"/>
  <c r="S46" i="4"/>
  <c r="S47" i="4"/>
  <c r="S97" i="4"/>
  <c r="S44" i="4"/>
  <c r="S86" i="4"/>
  <c r="S82" i="4"/>
  <c r="S116" i="4"/>
  <c r="S32" i="4"/>
  <c r="S106" i="4"/>
  <c r="S25" i="4"/>
  <c r="S5" i="4"/>
  <c r="S74" i="4"/>
  <c r="S84" i="4"/>
  <c r="S118" i="4"/>
  <c r="S39" i="4"/>
  <c r="S132" i="4"/>
  <c r="S55" i="4"/>
  <c r="S56" i="4"/>
  <c r="S23" i="4"/>
  <c r="S57" i="4"/>
  <c r="S20" i="4"/>
  <c r="S120" i="4"/>
  <c r="S89" i="4"/>
  <c r="S45" i="4"/>
  <c r="S127" i="4"/>
  <c r="S98" i="4"/>
  <c r="S16" i="4"/>
  <c r="S87" i="4"/>
  <c r="S85" i="4"/>
  <c r="S60" i="4"/>
  <c r="S21" i="4"/>
  <c r="S2" i="4"/>
  <c r="S27" i="4"/>
  <c r="S52" i="4"/>
  <c r="S49" i="4"/>
  <c r="S22" i="4"/>
  <c r="S53" i="4"/>
  <c r="S77" i="4"/>
  <c r="S18" i="4"/>
  <c r="S40" i="4"/>
  <c r="S38" i="4"/>
  <c r="S54" i="4"/>
  <c r="S11" i="4"/>
  <c r="U4" i="3" s="1" a="1"/>
  <c r="S63" i="4"/>
  <c r="S66" i="4"/>
  <c r="S72" i="4"/>
  <c r="S126" i="4"/>
  <c r="S29" i="4"/>
  <c r="S68" i="4"/>
  <c r="S109" i="4"/>
  <c r="S76" i="4"/>
  <c r="S100" i="4"/>
  <c r="S128" i="4"/>
  <c r="S104" i="4"/>
  <c r="S24" i="4"/>
  <c r="S80" i="4"/>
  <c r="S81" i="4"/>
  <c r="S26" i="4"/>
  <c r="S17" i="4"/>
  <c r="S31" i="4"/>
  <c r="S69" i="4"/>
  <c r="S62" i="4"/>
  <c r="S133" i="4"/>
  <c r="S90" i="4"/>
  <c r="S67" i="4"/>
  <c r="B8" i="1"/>
  <c r="B18" i="6"/>
  <c r="U4" i="3" l="1"/>
  <c r="AC4" i="3" s="1" a="1"/>
  <c r="AC4" i="3" s="1"/>
  <c r="AB4" i="3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<sst xmlns="http://schemas.openxmlformats.org/spreadsheetml/2006/main" count="212" uniqueCount="127">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</sst>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724.53173948887058</c:v>
                </c:pt>
                <c:pt idx="1">
                  <c:v>88.069105691056905</c:v>
                </c:pt>
                <c:pt idx="2">
                  <c:v>886.44467425025857</c:v>
                </c:pt>
                <c:pt idx="3">
                  <c:v>1313.4827586206898</c:v>
                </c:pt>
                <c:pt idx="7">
                  <c:v>3054.7854772089368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4.8774193736814677</c:v>
                </c:pt>
                <c:pt idx="1">
                  <c:v>4.3216498320255443</c:v>
                </c:pt>
                <c:pt idx="2">
                  <c:v>11.713793086594549</c:v>
                </c:pt>
                <c:pt idx="3">
                  <c:v>15.434482760727406</c:v>
                </c:pt>
                <c:pt idx="4">
                  <c:v>9.2419354919224013</c:v>
                </c:pt>
                <c:pt idx="5">
                  <c:v>-2.7216000280380248</c:v>
                </c:pt>
                <c:pt idx="6">
                  <c:v>-1.7035088162673149</c:v>
                </c:pt>
                <c:pt idx="7">
                  <c:v>10.438043464623068</c:v>
                </c:pt>
                <c:pt idx="8">
                  <c:v>0.35818186239762717</c:v>
                </c:pt>
                <c:pt idx="9">
                  <c:v>-4.948437511920929</c:v>
                </c:pt>
                <c:pt idx="10">
                  <c:v>7.8000000214708436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624.38709677419354</c:v>
                </c:pt>
                <c:pt idx="1">
                  <c:v>962.96717171717171</c:v>
                </c:pt>
                <c:pt idx="2">
                  <c:v>1635.0689655172414</c:v>
                </c:pt>
                <c:pt idx="3">
                  <c:v>1313.4827586206898</c:v>
                </c:pt>
                <c:pt idx="4">
                  <c:v>920.19354838709683</c:v>
                </c:pt>
                <c:pt idx="5">
                  <c:v>127.568</c:v>
                </c:pt>
                <c:pt idx="6">
                  <c:v>70.175438596491233</c:v>
                </c:pt>
                <c:pt idx="7">
                  <c:v>881.50543478260875</c:v>
                </c:pt>
                <c:pt idx="8">
                  <c:v>273.0181818181818</c:v>
                </c:pt>
                <c:pt idx="9">
                  <c:v>26.859375</c:v>
                </c:pt>
                <c:pt idx="10">
                  <c:v>755.40331491712709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4.8774193736814677</c:v>
                </c:pt>
                <c:pt idx="1">
                  <c:v>4.3216498320255443</c:v>
                </c:pt>
                <c:pt idx="2">
                  <c:v>11.713793086594549</c:v>
                </c:pt>
                <c:pt idx="3">
                  <c:v>15.434482760727406</c:v>
                </c:pt>
                <c:pt idx="4">
                  <c:v>9.2419354919224013</c:v>
                </c:pt>
                <c:pt idx="5">
                  <c:v>10.438043464623068</c:v>
                </c:pt>
                <c:pt idx="6">
                  <c:v>0.35818186239762717</c:v>
                </c:pt>
                <c:pt idx="7">
                  <c:v>7.8000000214708436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624.38709677419354</c:v>
                </c:pt>
                <c:pt idx="1">
                  <c:v>962.96717171717171</c:v>
                </c:pt>
                <c:pt idx="2">
                  <c:v>1635.0689655172414</c:v>
                </c:pt>
                <c:pt idx="3">
                  <c:v>1313.4827586206898</c:v>
                </c:pt>
                <c:pt idx="4">
                  <c:v>920.19354838709683</c:v>
                </c:pt>
                <c:pt idx="5">
                  <c:v>881.50543478260875</c:v>
                </c:pt>
                <c:pt idx="6">
                  <c:v>273.0181818181818</c:v>
                </c:pt>
                <c:pt idx="7">
                  <c:v>755.40331491712709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bottomRight" activeCell="A3" sqref="A3:A46"/>
      <selection pane="bottomLeft" activeCell="A2" sqref="A2"/>
      <selection pane="topRight" activeCell="D1" sqref="D1"/>
    </sheetView>
  </sheetViews>
  <sheetFormatPr defaultColWidth="10.5" defaultRowHeight="15.6"/>
  <cols>
    <col min="1" max="6" width="12.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/>
      <c r="B3" s="11">
        <v>44348</v>
      </c>
      <c r="C3" s="11">
        <v>44382</v>
      </c>
      <c r="D3" s="12">
        <v>35</v>
      </c>
      <c r="E3" s="12">
        <v>30088</v>
      </c>
      <c r="F3" s="15" t="s">
        <v>9</v>
      </c>
      <c r="G3" s="19">
        <v>760</v>
      </c>
      <c r="M3" s="2"/>
      <c r="N3" s="2"/>
      <c r="O3" s="2"/>
      <c r="U3" s="2"/>
      <c r="V3" s="2"/>
      <c r="W3" s="2"/>
    </row>
    <row r="4" spans="1:23">
      <c r="A4" s="11"/>
      <c r="B4" s="11">
        <v>44383</v>
      </c>
      <c r="C4" s="11">
        <v>44412</v>
      </c>
      <c r="D4" s="12">
        <v>30</v>
      </c>
      <c r="E4" s="12">
        <v>30094</v>
      </c>
      <c r="F4" s="15" t="s">
        <v>9</v>
      </c>
      <c r="G4" s="19">
        <v>169</v>
      </c>
      <c r="M4" s="2"/>
      <c r="N4" s="2"/>
      <c r="O4" s="2"/>
      <c r="U4" s="2"/>
      <c r="V4" s="2"/>
      <c r="W4" s="2"/>
    </row>
    <row r="5" spans="1:23">
      <c r="A5" s="11"/>
      <c r="B5" s="11">
        <v>44315</v>
      </c>
      <c r="C5" s="11">
        <v>44473</v>
      </c>
      <c r="D5" s="12">
        <v>159</v>
      </c>
      <c r="E5" s="12">
        <v>0</v>
      </c>
      <c r="F5" s="15" t="s">
        <v>9</v>
      </c>
      <c r="G5" s="19">
        <v>8593</v>
      </c>
      <c r="M5" s="2"/>
      <c r="N5" s="2"/>
      <c r="O5" s="2"/>
      <c r="U5" s="2"/>
      <c r="V5" s="2"/>
      <c r="W5" s="2"/>
    </row>
    <row r="6" spans="1:23">
      <c r="A6" s="11"/>
      <c r="B6" s="11">
        <v>44474</v>
      </c>
      <c r="C6" s="11">
        <v>44503</v>
      </c>
      <c r="D6" s="12">
        <v>30</v>
      </c>
      <c r="E6" s="12">
        <v>30361</v>
      </c>
      <c r="F6" s="15" t="s">
        <v>9</v>
      </c>
      <c r="G6" s="19">
        <v>8452</v>
      </c>
      <c r="M6" s="2"/>
      <c r="N6" s="2"/>
      <c r="O6" s="2"/>
      <c r="U6" s="2"/>
      <c r="V6" s="2"/>
      <c r="W6" s="2"/>
    </row>
    <row r="7" spans="1:23">
      <c r="A7" s="11"/>
      <c r="B7" s="11">
        <v>44504</v>
      </c>
      <c r="C7" s="11">
        <v>44533</v>
      </c>
      <c r="D7" s="12">
        <v>30</v>
      </c>
      <c r="E7" s="12">
        <v>31130</v>
      </c>
      <c r="F7" s="15" t="s">
        <v>9</v>
      </c>
      <c r="G7" s="19">
        <v>21666</v>
      </c>
      <c r="M7" s="2"/>
      <c r="N7" s="2"/>
      <c r="O7" s="2"/>
      <c r="U7" s="2"/>
      <c r="V7" s="2"/>
      <c r="W7" s="2"/>
    </row>
    <row r="8" spans="1:23">
      <c r="A8" s="11"/>
      <c r="B8" s="11">
        <v>44534</v>
      </c>
      <c r="C8" s="11">
        <v>44566</v>
      </c>
      <c r="D8" s="12">
        <v>33</v>
      </c>
      <c r="E8" s="12">
        <v>32445</v>
      </c>
      <c r="F8" s="15" t="s">
        <v>10</v>
      </c>
      <c r="G8" s="19">
        <v>37049</v>
      </c>
      <c r="M8" s="2"/>
      <c r="N8" s="2"/>
      <c r="O8" s="2"/>
      <c r="U8" s="2"/>
      <c r="V8" s="2"/>
      <c r="W8" s="2"/>
    </row>
    <row r="9" spans="1:23">
      <c r="A9" s="11"/>
      <c r="B9" s="11">
        <v>44567</v>
      </c>
      <c r="C9" s="11">
        <v>44595</v>
      </c>
      <c r="D9" s="12">
        <v>29</v>
      </c>
      <c r="E9" s="12">
        <v>33739</v>
      </c>
      <c r="F9" s="15" t="s">
        <v>9</v>
      </c>
      <c r="G9" s="19">
        <v>36457</v>
      </c>
      <c r="M9" s="2"/>
      <c r="N9" s="2"/>
      <c r="O9" s="2"/>
      <c r="U9" s="2"/>
      <c r="V9" s="2"/>
      <c r="W9" s="2"/>
    </row>
    <row r="10" spans="1:23">
      <c r="A10" s="11"/>
      <c r="B10" s="11">
        <v>44596</v>
      </c>
      <c r="C10" s="11">
        <v>44624</v>
      </c>
      <c r="D10" s="12">
        <v>29</v>
      </c>
      <c r="E10" s="12">
        <v>34862</v>
      </c>
      <c r="F10" s="15" t="s">
        <v>9</v>
      </c>
      <c r="G10" s="19">
        <v>31639</v>
      </c>
      <c r="M10" s="2"/>
      <c r="N10" s="2"/>
      <c r="O10" s="2"/>
      <c r="U10" s="2"/>
      <c r="V10" s="2"/>
      <c r="W10" s="2"/>
    </row>
    <row r="11" spans="1:23">
      <c r="A11" s="11"/>
      <c r="B11" s="11">
        <v>44625</v>
      </c>
      <c r="C11" s="11">
        <v>44655</v>
      </c>
      <c r="D11" s="12">
        <v>31</v>
      </c>
      <c r="E11" s="12">
        <v>35762</v>
      </c>
      <c r="F11" s="15" t="s">
        <v>9</v>
      </c>
      <c r="G11" s="19">
        <v>25357</v>
      </c>
      <c r="M11" s="2"/>
      <c r="N11" s="2"/>
      <c r="O11" s="2"/>
      <c r="U11" s="2"/>
      <c r="V11" s="2"/>
      <c r="W11" s="2"/>
    </row>
    <row r="12" spans="1:23">
      <c r="A12" s="11"/>
      <c r="B12" s="11">
        <v>44656</v>
      </c>
      <c r="C12" s="11">
        <v>44715</v>
      </c>
      <c r="D12" s="12">
        <v>60</v>
      </c>
      <c r="E12" s="12">
        <v>37069</v>
      </c>
      <c r="F12" s="15" t="s">
        <v>9</v>
      </c>
      <c r="G12" s="19">
        <v>38767</v>
      </c>
      <c r="M12" s="2"/>
      <c r="N12" s="2"/>
      <c r="O12" s="2"/>
      <c r="U12" s="2"/>
      <c r="V12" s="2"/>
      <c r="W12" s="2"/>
    </row>
    <row r="13" spans="1:23">
      <c r="A13" s="11"/>
      <c r="B13" s="11">
        <v>44716</v>
      </c>
      <c r="C13" s="11">
        <v>44747</v>
      </c>
      <c r="D13" s="12">
        <v>32</v>
      </c>
      <c r="E13" s="12">
        <v>37298</v>
      </c>
      <c r="F13" s="15" t="s">
        <v>10</v>
      </c>
      <c r="G13" s="19">
        <v>4508</v>
      </c>
      <c r="M13" s="2"/>
      <c r="N13" s="2"/>
      <c r="O13" s="2"/>
      <c r="U13" s="2"/>
      <c r="V13" s="2"/>
      <c r="W13" s="2"/>
    </row>
    <row r="14" spans="1:23">
      <c r="A14" s="11"/>
      <c r="B14" s="11">
        <v>44748</v>
      </c>
      <c r="C14" s="11">
        <v>44778</v>
      </c>
      <c r="D14" s="12">
        <v>31</v>
      </c>
      <c r="E14" s="12">
        <v>37369</v>
      </c>
      <c r="F14" s="15" t="s">
        <v>9</v>
      </c>
      <c r="G14" s="19">
        <v>0</v>
      </c>
      <c r="M14" s="2"/>
      <c r="N14" s="2"/>
      <c r="O14" s="2"/>
      <c r="U14" s="2"/>
      <c r="V14" s="2"/>
      <c r="W14" s="2"/>
    </row>
    <row r="15" spans="1:23">
      <c r="A15" s="11"/>
      <c r="B15" s="11">
        <v>44748</v>
      </c>
      <c r="C15" s="11">
        <v>44811</v>
      </c>
      <c r="D15" s="12">
        <v>64</v>
      </c>
      <c r="E15" s="12"/>
      <c r="F15" s="15" t="s">
        <v>10</v>
      </c>
      <c r="G15" s="19">
        <v>1719</v>
      </c>
      <c r="M15" s="2"/>
      <c r="N15" s="2"/>
      <c r="O15" s="2"/>
      <c r="U15" s="2"/>
      <c r="V15" s="2"/>
      <c r="W15" s="2"/>
    </row>
    <row r="16" spans="1:23">
      <c r="A16" s="11"/>
      <c r="B16" s="11">
        <v>44812</v>
      </c>
      <c r="C16" s="11">
        <v>44839</v>
      </c>
      <c r="D16" s="12">
        <v>28</v>
      </c>
      <c r="E16" s="12">
        <v>37391</v>
      </c>
      <c r="F16" s="15" t="s">
        <v>9</v>
      </c>
      <c r="G16" s="19">
        <v>901</v>
      </c>
      <c r="M16" s="2"/>
      <c r="N16" s="2"/>
      <c r="O16" s="2"/>
      <c r="U16" s="2"/>
      <c r="V16" s="2"/>
      <c r="W16" s="2"/>
    </row>
    <row r="17" spans="1:23">
      <c r="A17" s="11"/>
      <c r="B17" s="11">
        <v>44840</v>
      </c>
      <c r="C17" s="11">
        <v>44866</v>
      </c>
      <c r="D17" s="12">
        <v>27</v>
      </c>
      <c r="E17" s="12">
        <v>37892</v>
      </c>
      <c r="F17" s="15" t="s">
        <v>10</v>
      </c>
      <c r="G17" s="19">
        <v>14115</v>
      </c>
      <c r="M17" s="2"/>
      <c r="N17" s="2"/>
      <c r="O17" s="2"/>
      <c r="U17" s="2"/>
      <c r="V17" s="2"/>
      <c r="W17" s="2"/>
    </row>
    <row r="18" spans="1:23">
      <c r="A18" s="11"/>
      <c r="B18" s="11">
        <v>44867</v>
      </c>
      <c r="C18" s="11">
        <v>44897</v>
      </c>
      <c r="D18" s="12">
        <v>31</v>
      </c>
      <c r="E18" s="12">
        <v>38717</v>
      </c>
      <c r="F18" s="15" t="s">
        <v>9</v>
      </c>
      <c r="G18" s="19">
        <v>23244</v>
      </c>
      <c r="M18" s="2"/>
      <c r="N18" s="2"/>
      <c r="O18" s="2"/>
      <c r="U18" s="2"/>
      <c r="V18" s="2"/>
      <c r="W18" s="2"/>
    </row>
    <row r="19" spans="1:23">
      <c r="A19" s="11"/>
      <c r="B19" s="11">
        <v>44898</v>
      </c>
      <c r="C19" s="11">
        <v>44960</v>
      </c>
      <c r="D19" s="12">
        <v>63</v>
      </c>
      <c r="E19" s="12">
        <v>39916</v>
      </c>
      <c r="F19" s="15" t="s">
        <v>9</v>
      </c>
      <c r="G19" s="19">
        <v>68913</v>
      </c>
      <c r="M19" s="2"/>
      <c r="N19" s="2"/>
      <c r="O19" s="2"/>
      <c r="U19" s="2"/>
      <c r="V19" s="2"/>
      <c r="W19" s="2"/>
    </row>
    <row r="20" spans="1:23">
      <c r="A20" s="11"/>
      <c r="B20" s="11">
        <v>44961</v>
      </c>
      <c r="C20" s="11">
        <v>44991</v>
      </c>
      <c r="D20" s="12">
        <v>31</v>
      </c>
      <c r="E20" s="12">
        <v>42308</v>
      </c>
      <c r="F20" s="15" t="s">
        <v>9</v>
      </c>
      <c r="G20" s="19">
        <v>32259</v>
      </c>
      <c r="M20" s="2"/>
      <c r="N20" s="2"/>
      <c r="O20" s="2"/>
      <c r="U20" s="2"/>
      <c r="V20" s="2"/>
      <c r="W20" s="2"/>
    </row>
    <row r="21" spans="1:23">
      <c r="A21" s="11"/>
      <c r="B21" s="11">
        <v>44992</v>
      </c>
      <c r="C21" s="11">
        <v>45020</v>
      </c>
      <c r="D21" s="12">
        <v>29</v>
      </c>
      <c r="E21" s="12">
        <v>43294</v>
      </c>
      <c r="F21" s="15" t="s">
        <v>9</v>
      </c>
      <c r="G21" s="19">
        <v>27779</v>
      </c>
      <c r="M21" s="2"/>
      <c r="N21" s="2"/>
      <c r="O21" s="2"/>
      <c r="U21" s="2"/>
      <c r="V21" s="2"/>
      <c r="W21" s="2"/>
    </row>
    <row r="22" spans="1:23">
      <c r="A22" s="11"/>
      <c r="B22" s="11">
        <v>45021</v>
      </c>
      <c r="C22" s="11">
        <v>45050</v>
      </c>
      <c r="D22" s="12">
        <v>30</v>
      </c>
      <c r="E22" s="12">
        <v>43649</v>
      </c>
      <c r="F22" s="15" t="s">
        <v>10</v>
      </c>
      <c r="G22" s="19">
        <v>10002</v>
      </c>
      <c r="M22" s="2"/>
      <c r="N22" s="2"/>
      <c r="O22" s="2"/>
      <c r="U22" s="2"/>
      <c r="V22" s="2"/>
      <c r="W22" s="2"/>
    </row>
    <row r="23" spans="1:23">
      <c r="A23" s="11"/>
      <c r="B23" s="11">
        <v>45051</v>
      </c>
      <c r="C23" s="11">
        <v>45082</v>
      </c>
      <c r="D23" s="12">
        <v>32</v>
      </c>
      <c r="E23" s="12">
        <v>44012</v>
      </c>
      <c r="F23" s="15" t="s">
        <v>9</v>
      </c>
      <c r="G23" s="19">
        <v>0</v>
      </c>
      <c r="M23" s="2"/>
      <c r="N23" s="2"/>
      <c r="O23" s="2"/>
      <c r="U23" s="2"/>
      <c r="V23" s="2"/>
      <c r="W23" s="2"/>
    </row>
    <row r="24" spans="1:23">
      <c r="A24" s="11"/>
      <c r="B24" s="11">
        <v>45051</v>
      </c>
      <c r="C24" s="11">
        <v>45107</v>
      </c>
      <c r="D24" s="12">
        <v>57</v>
      </c>
      <c r="E24" s="12"/>
      <c r="F24" s="15" t="s">
        <v>10</v>
      </c>
      <c r="G24" s="19">
        <v>4000</v>
      </c>
      <c r="M24" s="2"/>
      <c r="N24" s="2"/>
      <c r="O24" s="2"/>
      <c r="U24" s="2"/>
      <c r="V24" s="2"/>
      <c r="W24" s="2"/>
    </row>
    <row r="25" spans="1:23">
      <c r="A25" s="11"/>
      <c r="B25" s="11">
        <v>45108</v>
      </c>
      <c r="C25" s="11">
        <v>45141</v>
      </c>
      <c r="D25" s="12">
        <v>34</v>
      </c>
      <c r="E25" s="12">
        <v>43871</v>
      </c>
      <c r="F25" s="15" t="s">
        <v>9</v>
      </c>
      <c r="G25" s="19">
        <v>2254</v>
      </c>
      <c r="M25" s="2"/>
      <c r="N25" s="2"/>
      <c r="O25" s="2"/>
      <c r="U25" s="2"/>
      <c r="V25" s="2"/>
      <c r="W25" s="2"/>
    </row>
    <row r="26" spans="1:23">
      <c r="A26" s="11"/>
      <c r="B26" s="11">
        <v>45142</v>
      </c>
      <c r="C26" s="11">
        <v>45174</v>
      </c>
      <c r="D26" s="12">
        <v>33</v>
      </c>
      <c r="E26" s="12">
        <v>43948</v>
      </c>
      <c r="F26" s="15" t="s">
        <v>9</v>
      </c>
      <c r="G26" s="19">
        <v>2169</v>
      </c>
      <c r="M26" s="2"/>
      <c r="N26" s="2"/>
      <c r="O26" s="2"/>
      <c r="U26" s="2"/>
      <c r="V26" s="2"/>
      <c r="W26" s="2"/>
    </row>
    <row r="27" spans="1:23">
      <c r="A27" s="11"/>
      <c r="B27" s="11">
        <v>45175</v>
      </c>
      <c r="C27" s="11">
        <v>45204</v>
      </c>
      <c r="D27" s="12">
        <v>30</v>
      </c>
      <c r="E27" s="12">
        <v>44018</v>
      </c>
      <c r="F27" s="15" t="s">
        <v>9</v>
      </c>
      <c r="G27" s="19">
        <v>1972</v>
      </c>
      <c r="M27" s="2"/>
      <c r="N27" s="2"/>
      <c r="O27" s="2"/>
      <c r="U27" s="2"/>
      <c r="V27" s="2"/>
      <c r="W27" s="2"/>
    </row>
    <row r="28" spans="1:23">
      <c r="A28" s="11"/>
      <c r="B28" s="11">
        <v>45205</v>
      </c>
      <c r="C28" s="11">
        <v>45232</v>
      </c>
      <c r="D28" s="12">
        <v>28</v>
      </c>
      <c r="E28" s="12">
        <v>44357</v>
      </c>
      <c r="F28" s="15" t="s">
        <v>10</v>
      </c>
      <c r="G28" s="19">
        <v>9551</v>
      </c>
      <c r="M28" s="2"/>
      <c r="N28" s="2"/>
      <c r="O28" s="2"/>
      <c r="U28" s="2"/>
      <c r="V28" s="2"/>
      <c r="W28" s="2"/>
    </row>
    <row r="29" spans="1:23">
      <c r="A29" s="11"/>
      <c r="B29" s="11">
        <v>45233</v>
      </c>
      <c r="C29" s="11">
        <v>45262</v>
      </c>
      <c r="D29" s="12">
        <v>30</v>
      </c>
      <c r="E29" s="12">
        <v>45146</v>
      </c>
      <c r="F29" s="15" t="s">
        <v>9</v>
      </c>
      <c r="G29" s="19">
        <v>22229</v>
      </c>
      <c r="M29" s="2"/>
      <c r="N29" s="2"/>
      <c r="O29" s="2"/>
      <c r="U29" s="2"/>
      <c r="V29" s="2"/>
      <c r="W29" s="2"/>
    </row>
    <row r="30" spans="1:23">
      <c r="A30" s="11"/>
      <c r="B30" s="11">
        <v>45263</v>
      </c>
      <c r="C30" s="11">
        <v>45294</v>
      </c>
      <c r="D30" s="12">
        <v>32</v>
      </c>
      <c r="E30" s="12">
        <v>46382</v>
      </c>
      <c r="F30" s="15" t="s">
        <v>10</v>
      </c>
      <c r="G30" s="19">
        <v>34823</v>
      </c>
      <c r="M30" s="2"/>
      <c r="N30" s="2"/>
      <c r="O30" s="2"/>
      <c r="U30" s="2"/>
      <c r="V30" s="2"/>
      <c r="W30" s="2"/>
    </row>
    <row r="31" spans="1:23">
      <c r="A31" s="11"/>
      <c r="B31" s="11">
        <v>45295</v>
      </c>
      <c r="C31" s="11">
        <v>45323</v>
      </c>
      <c r="D31" s="12">
        <v>29</v>
      </c>
      <c r="E31" s="12">
        <v>47734</v>
      </c>
      <c r="F31" s="15" t="s">
        <v>10</v>
      </c>
      <c r="G31" s="19">
        <v>38091</v>
      </c>
      <c r="M31" s="2"/>
      <c r="N31" s="2"/>
      <c r="O31" s="2"/>
      <c r="U31" s="2"/>
      <c r="V31" s="2"/>
      <c r="W31" s="2"/>
    </row>
    <row r="32" spans="1:23">
      <c r="A32" s="11"/>
      <c r="B32" s="11">
        <v>45324</v>
      </c>
      <c r="C32" s="11">
        <v>45352</v>
      </c>
      <c r="D32" s="12">
        <v>29</v>
      </c>
      <c r="E32" s="12">
        <v>49417</v>
      </c>
      <c r="F32" s="15" t="s">
        <v>10</v>
      </c>
      <c r="G32" s="19">
        <v>47417</v>
      </c>
      <c r="M32" s="2"/>
      <c r="N32" s="2"/>
      <c r="O32" s="2"/>
      <c r="U32" s="2"/>
      <c r="V32" s="2"/>
      <c r="W32" s="2"/>
    </row>
    <row r="33" spans="1:23">
      <c r="A33" s="11"/>
      <c r="B33" s="11">
        <v>45353</v>
      </c>
      <c r="C33" s="11">
        <v>45385</v>
      </c>
      <c r="D33" s="12">
        <v>33</v>
      </c>
      <c r="E33" s="12">
        <v>50308</v>
      </c>
      <c r="F33" s="15" t="s">
        <v>9</v>
      </c>
      <c r="G33" s="19">
        <v>25103</v>
      </c>
      <c r="M33" s="2"/>
      <c r="N33" s="2"/>
      <c r="O33" s="2"/>
      <c r="U33" s="2"/>
      <c r="V33" s="2"/>
      <c r="W33" s="2"/>
    </row>
    <row r="34" spans="1:23">
      <c r="A34" s="11"/>
      <c r="B34" s="11">
        <v>45386</v>
      </c>
      <c r="C34" s="11">
        <v>45413</v>
      </c>
      <c r="D34" s="12">
        <v>28</v>
      </c>
      <c r="E34" s="12">
        <v>50741</v>
      </c>
      <c r="F34" s="15" t="s">
        <v>9</v>
      </c>
      <c r="G34" s="19">
        <v>12200</v>
      </c>
      <c r="M34" s="2"/>
      <c r="N34" s="2"/>
      <c r="O34" s="2"/>
      <c r="U34" s="2"/>
      <c r="V34" s="2"/>
      <c r="W34" s="2"/>
    </row>
    <row r="35" spans="1:23">
      <c r="A35" s="11"/>
      <c r="B35" s="11">
        <v>45414</v>
      </c>
      <c r="C35" s="11">
        <v>45447</v>
      </c>
      <c r="D35" s="12">
        <v>34</v>
      </c>
      <c r="E35" s="12">
        <v>50821</v>
      </c>
      <c r="F35" s="15" t="s">
        <v>9</v>
      </c>
      <c r="G35" s="19">
        <v>2254</v>
      </c>
      <c r="M35" s="2"/>
      <c r="N35" s="2"/>
      <c r="O35" s="2"/>
      <c r="U35" s="2"/>
      <c r="V35" s="2"/>
      <c r="W35" s="2"/>
    </row>
    <row r="36" spans="1:23">
      <c r="A36" s="11"/>
      <c r="B36" s="11">
        <v>45448</v>
      </c>
      <c r="C36" s="11">
        <v>45476</v>
      </c>
      <c r="D36" s="12">
        <v>29</v>
      </c>
      <c r="E36" s="12">
        <v>50889</v>
      </c>
      <c r="F36" s="15" t="s">
        <v>9</v>
      </c>
      <c r="G36" s="19">
        <v>1916</v>
      </c>
      <c r="M36" s="2"/>
      <c r="N36" s="2"/>
      <c r="O36" s="2"/>
      <c r="U36" s="2"/>
      <c r="V36" s="2"/>
      <c r="W36" s="2"/>
    </row>
    <row r="37" spans="1:23">
      <c r="A37" s="11"/>
      <c r="B37" s="11">
        <v>45477</v>
      </c>
      <c r="C37" s="11">
        <v>45505</v>
      </c>
      <c r="D37" s="12">
        <v>29</v>
      </c>
      <c r="E37" s="12">
        <v>50961</v>
      </c>
      <c r="F37" s="15" t="s">
        <v>9</v>
      </c>
      <c r="G37" s="19">
        <v>2029</v>
      </c>
      <c r="M37" s="2"/>
      <c r="N37" s="2"/>
      <c r="O37" s="2"/>
      <c r="U37" s="2"/>
      <c r="V37" s="2"/>
      <c r="W37" s="2"/>
    </row>
    <row r="38" spans="1:23">
      <c r="A38" s="11"/>
      <c r="B38" s="11">
        <v>45506</v>
      </c>
      <c r="C38" s="11">
        <v>45538</v>
      </c>
      <c r="D38" s="12">
        <v>33</v>
      </c>
      <c r="E38" s="12">
        <v>51043</v>
      </c>
      <c r="F38" s="15" t="s">
        <v>9</v>
      </c>
      <c r="G38" s="19">
        <v>2310</v>
      </c>
      <c r="M38" s="2"/>
      <c r="N38" s="2"/>
      <c r="O38" s="2"/>
      <c r="U38" s="2"/>
      <c r="V38" s="2"/>
      <c r="W38" s="2"/>
    </row>
    <row r="39" spans="1:23">
      <c r="A39" s="11"/>
      <c r="B39" s="11">
        <v>45539</v>
      </c>
      <c r="C39" s="11">
        <v>45568</v>
      </c>
      <c r="D39" s="12">
        <v>30</v>
      </c>
      <c r="E39" s="12">
        <v>51118</v>
      </c>
      <c r="F39" s="15" t="s">
        <v>9</v>
      </c>
      <c r="G39" s="19">
        <v>2113</v>
      </c>
      <c r="M39" s="2"/>
      <c r="N39" s="2"/>
      <c r="O39" s="2"/>
      <c r="U39" s="2"/>
      <c r="V39" s="2"/>
      <c r="W39" s="2"/>
    </row>
    <row r="40" spans="1:23">
      <c r="A40" s="11"/>
      <c r="B40" s="11">
        <v>45569</v>
      </c>
      <c r="C40" s="11">
        <v>45597</v>
      </c>
      <c r="D40" s="12">
        <v>29</v>
      </c>
      <c r="E40" s="12">
        <v>51428</v>
      </c>
      <c r="F40" s="15" t="s">
        <v>9</v>
      </c>
      <c r="G40" s="19">
        <v>8734</v>
      </c>
      <c r="M40" s="2"/>
      <c r="N40" s="2"/>
      <c r="O40" s="2"/>
      <c r="U40" s="2"/>
      <c r="V40" s="2"/>
      <c r="W40" s="2"/>
    </row>
    <row r="41" spans="1:23">
      <c r="A41" s="11"/>
      <c r="B41" s="11">
        <v>45598</v>
      </c>
      <c r="C41" s="11">
        <v>45629</v>
      </c>
      <c r="D41" s="12">
        <v>32</v>
      </c>
      <c r="E41" s="12">
        <v>52198</v>
      </c>
      <c r="F41" s="15" t="s">
        <v>9</v>
      </c>
      <c r="G41" s="19">
        <v>21694</v>
      </c>
      <c r="M41" s="2"/>
      <c r="N41" s="2"/>
      <c r="O41" s="2"/>
      <c r="U41" s="2"/>
      <c r="V41" s="2"/>
      <c r="W41" s="2"/>
    </row>
    <row r="42" spans="1:23">
      <c r="A42" s="11"/>
      <c r="B42" s="11">
        <v>45630</v>
      </c>
      <c r="C42" s="11">
        <v>45660</v>
      </c>
      <c r="D42" s="12">
        <v>31</v>
      </c>
      <c r="E42" s="12">
        <v>53405</v>
      </c>
      <c r="F42" s="15" t="s">
        <v>9</v>
      </c>
      <c r="G42" s="19">
        <v>34006</v>
      </c>
      <c r="M42" s="2"/>
      <c r="N42" s="2"/>
      <c r="O42" s="2"/>
      <c r="U42" s="2"/>
      <c r="V42" s="2"/>
      <c r="W42" s="2"/>
    </row>
    <row r="43" spans="1:23">
      <c r="A43" s="11"/>
      <c r="B43" s="11">
        <v>45661</v>
      </c>
      <c r="C43" s="11">
        <v>45691</v>
      </c>
      <c r="D43" s="12">
        <v>31</v>
      </c>
      <c r="E43" s="12">
        <v>55031</v>
      </c>
      <c r="F43" s="15" t="s">
        <v>9</v>
      </c>
      <c r="G43" s="19">
        <v>45811</v>
      </c>
      <c r="M43" s="2"/>
      <c r="N43" s="2"/>
      <c r="O43" s="2"/>
      <c r="U43" s="2"/>
      <c r="V43" s="2"/>
      <c r="W43" s="2"/>
    </row>
    <row r="44" spans="1:23">
      <c r="A44" s="11"/>
      <c r="B44" s="11">
        <v>45353</v>
      </c>
      <c r="C44" s="11">
        <v>45721</v>
      </c>
      <c r="D44" s="12">
        <v>369</v>
      </c>
      <c r="E44" s="12">
        <v>800</v>
      </c>
      <c r="F44" s="15" t="s">
        <v>9</v>
      </c>
      <c r="G44" s="19">
        <v>206374</v>
      </c>
      <c r="M44" s="2"/>
      <c r="N44" s="2"/>
      <c r="O44" s="2"/>
      <c r="U44" s="2"/>
      <c r="V44" s="2"/>
      <c r="W44" s="2"/>
    </row>
    <row r="45" spans="1:23">
      <c r="A45" s="11"/>
      <c r="B45" s="11">
        <v>45722</v>
      </c>
      <c r="C45" s="11">
        <v>45748</v>
      </c>
      <c r="D45" s="12">
        <v>27</v>
      </c>
      <c r="E45" s="12">
        <v>7297</v>
      </c>
      <c r="F45" s="15" t="s">
        <v>10</v>
      </c>
      <c r="G45" s="19">
        <v>16791</v>
      </c>
      <c r="M45" s="2"/>
      <c r="O45" s="2"/>
      <c r="U45" s="2"/>
      <c r="W45" s="2"/>
    </row>
    <row r="46" spans="1:23">
      <c r="A46" s="11"/>
      <c r="B46" s="11">
        <v>45749</v>
      </c>
      <c r="C46" s="11">
        <v>45779</v>
      </c>
      <c r="D46" s="12">
        <v>31</v>
      </c>
      <c r="E46" s="12">
        <v>7984</v>
      </c>
      <c r="F46" s="15" t="s">
        <v>10</v>
      </c>
      <c r="G46" s="19">
        <v>19356</v>
      </c>
      <c r="M46" s="2"/>
      <c r="O46" s="2"/>
      <c r="U46" s="2"/>
      <c r="W46" s="2"/>
    </row>
    <row r="47" spans="1:23">
      <c r="A47" s="11"/>
      <c r="B47" s="11"/>
      <c r="C47" s="11"/>
      <c r="D47" s="12"/>
      <c r="E47" s="12"/>
      <c r="F47" s="15"/>
      <c r="G47" s="19"/>
      <c r="M47" s="2"/>
      <c r="O47" s="2"/>
      <c r="U47" s="2"/>
      <c r="W47" s="2"/>
    </row>
    <row r="48" spans="1:23">
      <c r="A48" s="11"/>
      <c r="B48" s="11"/>
      <c r="C48" s="11"/>
      <c r="D48" s="12"/>
      <c r="E48" s="12"/>
      <c r="F48" s="15"/>
      <c r="G48" s="19"/>
      <c r="M48" s="2"/>
      <c r="O48" s="2"/>
      <c r="U48" s="2"/>
      <c r="W48" s="2"/>
    </row>
    <row r="49" spans="1:23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B15" sqref="B15:C17"/>
    </sheetView>
  </sheetViews>
  <sheetFormatPr defaultColWidth="10.5" defaultRowHeight="15.6"/>
  <cols>
    <col min="1" max="1" width="47" customWidth="1"/>
    <col min="2" max="2" width="10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Thunder Bay</v>
      </c>
    </row>
    <row r="5" spans="1:3">
      <c r="A5" s="23" t="s">
        <v>12</v>
      </c>
      <c r="B5" s="23"/>
    </row>
    <row r="6" spans="1:3">
      <c r="A6" t="s">
        <v>13</v>
      </c>
      <c r="B6" s="7">
        <f>SUM(WorkingData!$G$2:$G$133)/SUM(WorkingData!$I$2:$I$133)</f>
        <v>724.53173948887058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88.069105691056905</v>
      </c>
    </row>
    <row r="8" spans="1:3">
      <c r="A8" t="s">
        <v>15</v>
      </c>
      <c r="B8" s="7">
        <f>SUMPRODUCT(WorkingData!$G$2:$G$133,WorkingData!$Q$2:$Q$133)/SUMPRODUCT(WorkingData!$I$2:$I$133,WorkingData!$Q$2:$Q$133)</f>
        <v>886.44467425025857</v>
      </c>
    </row>
    <row r="9" spans="1:3">
      <c r="A9" t="s">
        <v>16</v>
      </c>
      <c r="B9" s="13">
        <f>SUMPRODUCT(WorkingData!$G$2:$G$133,WorkingData!$Q$2:$Q$133)/SUMPRODUCT(WorkingData!$M$2:$M$133,WorkingData!$Q$2:$Q$133)</f>
        <v>75.126555918339434</v>
      </c>
    </row>
    <row r="10" spans="1:3">
      <c r="A10" t="s">
        <v>17</v>
      </c>
      <c r="B10" s="7">
        <f>_xlfn.XLOOKUP(MAX(WorkingData!$O$2:$O$133),WorkingData!$O$2:$O$133,WorkingData!$N$2:$N$133)</f>
        <v>1313.4827586206898</v>
      </c>
    </row>
    <row r="11" spans="1:3">
      <c r="A11" t="s">
        <v>18</v>
      </c>
      <c r="B11" s="14">
        <f>_xlfn.XLOOKUP(MAX(WorkingData!$O$2:$O$133),WorkingData!$O$2:$O$133,WorkingData!$O$2:$O$133)</f>
        <v>20.434482760727406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/>
      <c r="C15" s="14"/>
    </row>
    <row r="16" spans="1:3">
      <c r="A16" t="s">
        <v>24</v>
      </c>
      <c r="B16" s="7"/>
      <c r="C16" s="14"/>
    </row>
    <row r="17" spans="1:3">
      <c r="A17" t="s">
        <v>25</v>
      </c>
      <c r="B17" s="7"/>
      <c r="C17" s="14"/>
    </row>
    <row r="18" spans="1:3">
      <c r="A18" t="s">
        <v>26</v>
      </c>
      <c r="B18" s="7">
        <f>'DDD Model Summary'!$B$6+(C18-5)*'DDD Model Summary'!$B$5</f>
        <v>3054.7854772089368</v>
      </c>
      <c r="C18" s="14">
        <f>'DDD Model Calculations'!D21</f>
        <v>43.1</v>
      </c>
    </row>
    <row r="19" spans="1:3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30" zoomScaleNormal="130" workbookViewId="0">
      <selection activeCell="B4" sqref="B4"/>
    </sheetView>
  </sheetViews>
  <sheetFormatPr defaultColWidth="10.5" defaultRowHeight="15.6"/>
  <cols>
    <col min="1" max="1" width="40" customWidth="1"/>
    <col min="2" max="2" width="10" customWidth="1"/>
  </cols>
  <sheetData>
    <row r="1" spans="1:2">
      <c r="A1" t="s">
        <v>27</v>
      </c>
    </row>
    <row r="3" spans="1:2">
      <c r="A3" t="s">
        <v>0</v>
      </c>
      <c r="B3" t="str">
        <f>'DDD Model Calculations'!D19</f>
        <v>Thunder Bay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4 years</v>
      </c>
    </row>
    <row r="5" spans="1:2">
      <c r="A5" t="s">
        <v>29</v>
      </c>
      <c r="B5" s="13">
        <f>_xlfn.XLOOKUP(MAX('DDD Model Calculations'!$D$14:$G$14),'DDD Model Calculations'!$D$14:$G$14,'DDD Model Calculations'!$D12:$G12)</f>
        <v>70.952738772156692</v>
      </c>
    </row>
    <row r="6" spans="1:2">
      <c r="A6" t="s">
        <v>30</v>
      </c>
      <c r="B6" s="13">
        <f>_xlfn.XLOOKUP(MAX('DDD Model Calculations'!$D$14:$G$14),'DDD Model Calculations'!$D$14:$G$14,'DDD Model Calculations'!$D13:$G13)</f>
        <v>351.4861299897666</v>
      </c>
    </row>
    <row r="7" spans="1:2">
      <c r="A7" t="s">
        <v>31</v>
      </c>
      <c r="B7" s="13">
        <f>_xlfn.XLOOKUP(MAX('DDD Model Calculations'!$D$14:$G$14),'DDD Model Calculations'!$D$14:$G$14,'DDD Model Calculations'!$D14:$G14)</f>
        <v>0.66255372382070121</v>
      </c>
    </row>
    <row r="8" spans="1:2">
      <c r="A8" t="s">
        <v>26</v>
      </c>
      <c r="B8" s="7">
        <f>B6+(B10)*B5</f>
        <v>3054.7854772089368</v>
      </c>
    </row>
    <row r="9" spans="1:2">
      <c r="A9" t="s">
        <v>32</v>
      </c>
      <c r="B9">
        <f>'DDD Model Calculations'!D21</f>
        <v>43.1</v>
      </c>
    </row>
    <row r="10" spans="1:2">
      <c r="A10" t="s">
        <v>33</v>
      </c>
      <c r="B10">
        <f>B9-5</f>
        <v>38.1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I23" sqref="I23"/>
    </sheetView>
  </sheetViews>
  <sheetFormatPr defaultColWidth="10.5" defaultRowHeight="15.6"/>
  <cols>
    <col min="3" max="3" width="18.25" customWidth="1"/>
    <col min="10" max="10" width="18.75" customWidth="1"/>
    <col min="16" max="16" width="43.75" customWidth="1"/>
  </cols>
  <sheetData>
    <row r="1" spans="2:29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0</v>
      </c>
      <c r="E3">
        <f>IF(ISERROR(SUMPRODUCT(WorkingData!$Q$2:$Q$133,WorkingData!U$2:U$133,WorkingData!AG$2:AG$133)),0,SUMPRODUCT(WorkingData!$Q$2:$Q$133,WorkingData!U$2:U$133,WorkingData!AG$2:AG$133))</f>
        <v>5</v>
      </c>
      <c r="F3">
        <f>SUMPRODUCT(WorkingData!$Q$2:$Q$133,WorkingData!V$2:V$133,WorkingData!AH$2:AH$133)</f>
        <v>8</v>
      </c>
      <c r="G3">
        <f>SUMPRODUCT(WorkingData!$Q$2:$Q$133,WorkingData!W$2:W$133,WorkingData!AI$2:AI$133)</f>
        <v>8</v>
      </c>
      <c r="J3" t="s">
        <v>42</v>
      </c>
      <c r="K3">
        <f>SUMPRODUCT(WorkingData!$Q$2:$Q$133,WorkingData!T$2:T$133)</f>
        <v>1</v>
      </c>
      <c r="L3">
        <f>SUMPRODUCT(WorkingData!$Q$2:$Q$133,WorkingData!U$2:U$133)</f>
        <v>5</v>
      </c>
      <c r="M3">
        <f>SUMPRODUCT(WorkingData!$Q$2:$Q$133,WorkingData!V$2:V$133)</f>
        <v>8</v>
      </c>
      <c r="N3">
        <f>SUMPRODUCT(WorkingData!$Q$2:$Q$133,WorkingData!W$2:W$133)</f>
        <v>8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 t="e">
        <f>SUMPRODUCT(WorkingData!$Q$2:$Q$133,WorkingData!T$2:T$133,WorkingData!$N$2:$N$133,WorkingData!AF$2:AF$133)/D$3</f>
        <v>#DIV/0!</v>
      </c>
      <c r="E4" s="3">
        <f>SUMPRODUCT(WorkingData!$Q$2:$Q$133,WorkingData!U$2:U$133,WorkingData!$N$2:$N$133,WorkingData!AG$2:AG$133)/E$3</f>
        <v>1091.2199082032785</v>
      </c>
      <c r="F4" s="3">
        <f>SUMPRODUCT(WorkingData!$Q$2:$Q$133,WorkingData!V$2:V$133,WorkingData!$N$2:$N$133,WorkingData!AH$2:AH$133)/F$3</f>
        <v>920.7533090667888</v>
      </c>
      <c r="G4" s="3">
        <f>SUMPRODUCT(WorkingData!$Q$2:$Q$133,WorkingData!W$2:W$133,WorkingData!$N$2:$N$133,WorkingData!AI$2:AI$133)/G$3</f>
        <v>920.7533090667888</v>
      </c>
      <c r="I4" t="s">
        <v>45</v>
      </c>
      <c r="J4" t="s">
        <v>46</v>
      </c>
      <c r="K4" s="3">
        <f>SUMPRODUCT(WorkingData!$Q$2:$Q$133,WorkingData!T$2:T$133,WorkingData!$N$2:$N$133)/K$3</f>
        <v>624.38709677419354</v>
      </c>
      <c r="L4" s="3">
        <f>SUMPRODUCT(WorkingData!$Q$2:$Q$133,WorkingData!U$2:U$133,WorkingData!$N$2:$N$133)/L$3</f>
        <v>1091.2199082032785</v>
      </c>
      <c r="M4" s="3">
        <f>SUMPRODUCT(WorkingData!$Q$2:$Q$133,WorkingData!V$2:V$133,WorkingData!$N$2:$N$133)/M$3</f>
        <v>920.7533090667888</v>
      </c>
      <c r="N4" s="3">
        <f>SUMPRODUCT(WorkingData!$Q$2:$Q$133,WorkingData!W$2:W$133,WorkingData!$N$2:$N$133)/N$3</f>
        <v>920.7533090667888</v>
      </c>
      <c r="P4" s="3" t="s">
        <v>47</v>
      </c>
      <c r="Q4" cm="1">
        <f t="array" aca="1" ref="Q4:Q14" ca="1">OFFSET(WorkingData!$P$2,0,0,COUNTIF(WorkingData!$P$2:$P$132,"&gt;=-5"))</f>
        <v>4.8774193736814677</v>
      </c>
      <c r="R4" cm="1">
        <f t="array" aca="1" ref="R4:R14" ca="1">OFFSET(WorkingData!$O$2,0,0,COUNTIF(WorkingData!$O$2:$O$132,"&gt;=0"))</f>
        <v>9.8774193736814677</v>
      </c>
      <c r="S4" cm="1">
        <f t="array" aca="1" ref="S4:S14" ca="1">OFFSET(WorkingData!$N$2,0,0,COUNTIF(WorkingData!$N$2:$N$132,"&gt;=0"))</f>
        <v>624.38709677419354</v>
      </c>
      <c r="U4" cm="1">
        <f t="array" ref="U4:Z11">_xlfn._xlws.FILTER(WorkingData!N2:S132,(WorkingData!Q2:Q132=1)*(WorkingData!R2:R132&lt;=D23)*(WorkingData!S2:S132=1))</f>
        <v>624.38709677419354</v>
      </c>
      <c r="V4">
        <v>9.8774193736814677</v>
      </c>
      <c r="W4">
        <v>4.8774193736814677</v>
      </c>
      <c r="X4">
        <v>1</v>
      </c>
      <c r="Y4">
        <v>1</v>
      </c>
      <c r="Z4">
        <v>1</v>
      </c>
      <c r="AB4" cm="1">
        <f t="array" aca="1" ref="AB4:AB11" ca="1">OFFSET(W4,0,0,COUNTIF(W4:W134,"&gt;=0"))</f>
        <v>4.8774193736814677</v>
      </c>
      <c r="AC4" cm="1">
        <f t="array" aca="1" ref="AC4:AC11" ca="1">OFFSET(U4,0,0,COUNTIF(U4:U134,"&gt;=0"))</f>
        <v>624.38709677419354</v>
      </c>
    </row>
    <row r="5" spans="2:29">
      <c r="B5" t="s">
        <v>48</v>
      </c>
      <c r="C5" t="s">
        <v>49</v>
      </c>
      <c r="D5" s="3" t="e">
        <f>SUMPRODUCT(WorkingData!$Q$2:$Q$133,WorkingData!T$2:T$133,WorkingData!$P$2:$P$133,WorkingData!AF$2:AF$133)/D$3</f>
        <v>#DIV/0!</v>
      </c>
      <c r="E5" s="3">
        <f>SUMPRODUCT(WorkingData!$Q$2:$Q$133,WorkingData!U$2:U$133,WorkingData!$P$2:$P$133,WorkingData!AG$2:AG$133)/E$3</f>
        <v>9.1178561089902725</v>
      </c>
      <c r="F5" s="3">
        <f>SUMPRODUCT(WorkingData!$Q$2:$Q$133,WorkingData!V$2:V$133,WorkingData!$P$2:$P$133,WorkingData!AH$2:AH$133)/F$3</f>
        <v>8.0231882366803617</v>
      </c>
      <c r="G5" s="3">
        <f>SUMPRODUCT(WorkingData!$Q$2:$Q$133,WorkingData!W$2:W$133,WorkingData!$P$2:$P$133,WorkingData!AI$2:AI$133)/G$3</f>
        <v>8.0231882366803617</v>
      </c>
      <c r="I5" t="s">
        <v>48</v>
      </c>
      <c r="J5" t="s">
        <v>49</v>
      </c>
      <c r="K5" s="3">
        <f>SUMPRODUCT(WorkingData!$Q$2:$Q$133,WorkingData!T$2:T$133,WorkingData!$P$2:$P$133)/K$3</f>
        <v>4.8774193736814677</v>
      </c>
      <c r="L5" s="3">
        <f>SUMPRODUCT(WorkingData!$Q$2:$Q$133,WorkingData!U$2:U$133,WorkingData!$P$2:$P$133)/L$3</f>
        <v>9.1178561089902725</v>
      </c>
      <c r="M5" s="3">
        <f>SUMPRODUCT(WorkingData!$Q$2:$Q$133,WorkingData!V$2:V$133,WorkingData!$P$2:$P$133)/M$3</f>
        <v>8.0231882366803617</v>
      </c>
      <c r="N5" s="3">
        <f>SUMPRODUCT(WorkingData!$Q$2:$Q$133,WorkingData!W$2:W$133,WorkingData!$P$2:$P$133)/N$3</f>
        <v>8.0231882366803617</v>
      </c>
      <c r="Q5">
        <f ca="1"/>
        <v>4.3216498320255443</v>
      </c>
      <c r="R5">
        <f ca="1"/>
        <v>9.3216498320255443</v>
      </c>
      <c r="S5">
        <f ca="1"/>
        <v>962.96717171717171</v>
      </c>
      <c r="U5">
        <v>962.96717171717171</v>
      </c>
      <c r="V5">
        <v>9.3216498320255443</v>
      </c>
      <c r="W5">
        <v>4.3216498320255443</v>
      </c>
      <c r="X5">
        <v>1</v>
      </c>
      <c r="Y5">
        <v>2</v>
      </c>
      <c r="Z5">
        <v>1</v>
      </c>
      <c r="AB5">
        <f ca="1"/>
        <v>4.3216498320255443</v>
      </c>
      <c r="AC5">
        <f ca="1"/>
        <v>962.96717171717171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0</v>
      </c>
      <c r="E6" s="3">
        <f>SUMPRODUCT(WorkingData!$Q$2:$Q$133,WorkingData!U$2:U$133,WorkingData!$N$2:$N$133,WorkingData!$P$2:$P$133,WorkingData!AG$2:AG$133)</f>
        <v>55137.160591482403</v>
      </c>
      <c r="F6" s="3">
        <f>SUMPRODUCT(WorkingData!$Q$2:$Q$133,WorkingData!V$2:V$133,WorkingData!$N$2:$N$133,WorkingData!$P$2:$P$133,WorkingData!AH$2:AH$133)</f>
        <v>70328.288667449524</v>
      </c>
      <c r="G6" s="3">
        <f>SUMPRODUCT(WorkingData!$Q$2:$Q$133,WorkingData!W$2:W$133,WorkingData!$N$2:$N$133,WorkingData!$P$2:$P$133,WorkingData!AI$2:AI$133)</f>
        <v>70328.288667449524</v>
      </c>
      <c r="J6" t="s">
        <v>50</v>
      </c>
      <c r="K6" s="3">
        <f>SUMPRODUCT(WorkingData!$Q$2:$Q$133,WorkingData!T$2:T$133,WorkingData!$N$2:$N$133,WorkingData!$P$2:$P$133)</f>
        <v>3045.3977224831769</v>
      </c>
      <c r="L6" s="3">
        <f>SUMPRODUCT(WorkingData!$Q$2:$Q$133,WorkingData!U$2:U$133,WorkingData!$N$2:$N$133,WorkingData!$P$2:$P$133)</f>
        <v>55137.160591482403</v>
      </c>
      <c r="M6" s="3">
        <f>SUMPRODUCT(WorkingData!$Q$2:$Q$133,WorkingData!V$2:V$133,WorkingData!$N$2:$N$133,WorkingData!$P$2:$P$133)</f>
        <v>70328.288667449524</v>
      </c>
      <c r="N6" s="3">
        <f>SUMPRODUCT(WorkingData!$Q$2:$Q$133,WorkingData!W$2:W$133,WorkingData!$N$2:$N$133,WorkingData!$P$2:$P$133)</f>
        <v>70328.288667449524</v>
      </c>
      <c r="Q6">
        <f ca="1"/>
        <v>11.713793086594549</v>
      </c>
      <c r="R6">
        <f ca="1"/>
        <v>16.713793086594549</v>
      </c>
      <c r="S6">
        <f ca="1"/>
        <v>1635.0689655172414</v>
      </c>
      <c r="U6">
        <v>1635.0689655172414</v>
      </c>
      <c r="V6">
        <v>16.713793086594549</v>
      </c>
      <c r="W6">
        <v>11.713793086594549</v>
      </c>
      <c r="X6">
        <v>1</v>
      </c>
      <c r="Y6">
        <v>2</v>
      </c>
      <c r="Z6">
        <v>1</v>
      </c>
      <c r="AB6">
        <f ca="1"/>
        <v>11.713793086594549</v>
      </c>
      <c r="AC6">
        <f ca="1"/>
        <v>1635.0689655172414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0</v>
      </c>
      <c r="E7" s="3">
        <f>SUMPRODUCT(WorkingData!$Q$2:$Q$133,WorkingData!U$2:U$133,WorkingData!$P$2:$P$133,WorkingData!$P$2:$P$133,WorkingData!AG$2:AG$133)</f>
        <v>503.3154552210064</v>
      </c>
      <c r="F7" s="3">
        <f>SUMPRODUCT(WorkingData!$Q$2:$Q$133,WorkingData!V$2:V$133,WorkingData!$P$2:$P$133,WorkingData!$P$2:$P$133,WorkingData!AH$2:AH$133)</f>
        <v>673.23650117186253</v>
      </c>
      <c r="G7" s="3">
        <f>SUMPRODUCT(WorkingData!$Q$2:$Q$133,WorkingData!W$2:W$133,WorkingData!$P$2:$P$133,WorkingData!$P$2:$P$133,WorkingData!AI$2:AI$133)</f>
        <v>673.23650117186253</v>
      </c>
      <c r="J7" t="s">
        <v>51</v>
      </c>
      <c r="K7" s="3">
        <f>SUMPRODUCT(WorkingData!$Q$2:$Q$133,WorkingData!T$2:T$133,WorkingData!$P$2:$P$133,WorkingData!$P$2:$P$133)</f>
        <v>23.789219746763322</v>
      </c>
      <c r="L7" s="3">
        <f>SUMPRODUCT(WorkingData!$Q$2:$Q$133,WorkingData!U$2:U$133,WorkingData!$P$2:$P$133,WorkingData!$P$2:$P$133)</f>
        <v>503.3154552210064</v>
      </c>
      <c r="M7" s="3">
        <f>SUMPRODUCT(WorkingData!$Q$2:$Q$133,WorkingData!V$2:V$133,WorkingData!$P$2:$P$133,WorkingData!$P$2:$P$133)</f>
        <v>673.23650117186253</v>
      </c>
      <c r="N7" s="3">
        <f>SUMPRODUCT(WorkingData!$Q$2:$Q$133,WorkingData!W$2:W$133,WorkingData!$P$2:$P$133,WorkingData!$P$2:$P$133)</f>
        <v>673.23650117186253</v>
      </c>
      <c r="Q7">
        <f ca="1"/>
        <v>15.434482760727406</v>
      </c>
      <c r="R7">
        <f ca="1"/>
        <v>20.434482760727406</v>
      </c>
      <c r="S7">
        <f ca="1"/>
        <v>1313.4827586206898</v>
      </c>
      <c r="U7">
        <v>1313.4827586206898</v>
      </c>
      <c r="V7">
        <v>20.434482760727406</v>
      </c>
      <c r="W7">
        <v>15.434482760727406</v>
      </c>
      <c r="X7">
        <v>1</v>
      </c>
      <c r="Y7">
        <v>2</v>
      </c>
      <c r="Z7">
        <v>1</v>
      </c>
      <c r="AB7">
        <f ca="1"/>
        <v>15.434482760727406</v>
      </c>
      <c r="AC7">
        <f ca="1"/>
        <v>1313.4827586206898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0</v>
      </c>
      <c r="E8" s="3">
        <f>SUMPRODUCT(WorkingData!$Q$2:$Q$133,WorkingData!U$2:U$133,WorkingData!$N$2:$N$133,WorkingData!$N$2:$N$133,WorkingData!AG$2:AG$133)</f>
        <v>6562608.6661077505</v>
      </c>
      <c r="F8" s="3">
        <f>SUMPRODUCT(WorkingData!$Q$2:$Q$133,WorkingData!V$2:V$133,WorkingData!$N$2:$N$133,WorkingData!$N$2:$N$133,WorkingData!AH$2:AH$133)</f>
        <v>7984833.593450116</v>
      </c>
      <c r="G8" s="3">
        <f>SUMPRODUCT(WorkingData!$Q$2:$Q$133,WorkingData!W$2:W$133,WorkingData!$N$2:$N$133,WorkingData!$N$2:$N$133,WorkingData!AI$2:AI$133)</f>
        <v>7984833.593450116</v>
      </c>
      <c r="J8" t="s">
        <v>52</v>
      </c>
      <c r="K8" s="3">
        <f>SUMPRODUCT(WorkingData!$Q$2:$Q$133,WorkingData!T$2:T$133,WorkingData!$N$2:$N$133,WorkingData!$N$2:$N$133)</f>
        <v>389859.24661810615</v>
      </c>
      <c r="L8" s="3">
        <f>SUMPRODUCT(WorkingData!$Q$2:$Q$133,WorkingData!U$2:U$133,WorkingData!$N$2:$N$133,WorkingData!$N$2:$N$133)</f>
        <v>6562608.6661077505</v>
      </c>
      <c r="M8" s="3">
        <f>SUMPRODUCT(WorkingData!$Q$2:$Q$133,WorkingData!V$2:V$133,WorkingData!$N$2:$N$133,WorkingData!$N$2:$N$133)</f>
        <v>7984833.593450116</v>
      </c>
      <c r="N8" s="3">
        <f>SUMPRODUCT(WorkingData!$Q$2:$Q$133,WorkingData!W$2:W$133,WorkingData!$N$2:$N$133,WorkingData!$N$2:$N$133)</f>
        <v>7984833.593450116</v>
      </c>
      <c r="Q8">
        <f ca="1"/>
        <v>9.2419354919224013</v>
      </c>
      <c r="R8">
        <f ca="1"/>
        <v>14.241935491922401</v>
      </c>
      <c r="S8">
        <f ca="1"/>
        <v>920.19354838709683</v>
      </c>
      <c r="U8">
        <v>920.19354838709683</v>
      </c>
      <c r="V8">
        <v>14.241935491922401</v>
      </c>
      <c r="W8">
        <v>9.2419354919224013</v>
      </c>
      <c r="X8">
        <v>1</v>
      </c>
      <c r="Y8">
        <v>2</v>
      </c>
      <c r="Z8">
        <v>1</v>
      </c>
      <c r="AB8">
        <f ca="1"/>
        <v>9.2419354919224013</v>
      </c>
      <c r="AC8">
        <f ca="1"/>
        <v>920.19354838709683</v>
      </c>
    </row>
    <row r="9" spans="2:29">
      <c r="C9" t="s">
        <v>53</v>
      </c>
      <c r="D9" s="3" t="e">
        <f t="shared" ref="D9:G10" si="0">D4*D$3</f>
        <v>#DIV/0!</v>
      </c>
      <c r="E9" s="3">
        <f t="shared" si="0"/>
        <v>5456.0995410163923</v>
      </c>
      <c r="F9" s="3">
        <f t="shared" si="0"/>
        <v>7366.0264725343104</v>
      </c>
      <c r="G9" s="3">
        <f t="shared" si="0"/>
        <v>7366.0264725343104</v>
      </c>
      <c r="J9" t="s">
        <v>53</v>
      </c>
      <c r="K9" s="3">
        <f t="shared" ref="K9:N10" si="1">K4*K$3</f>
        <v>624.38709677419354</v>
      </c>
      <c r="L9" s="3">
        <f t="shared" si="1"/>
        <v>5456.0995410163923</v>
      </c>
      <c r="M9" s="3">
        <f t="shared" si="1"/>
        <v>7366.0264725343104</v>
      </c>
      <c r="N9" s="3">
        <f t="shared" si="1"/>
        <v>7366.0264725343104</v>
      </c>
      <c r="Q9">
        <f ca="1"/>
        <v>-2.7216000280380248</v>
      </c>
      <c r="R9">
        <f ca="1"/>
        <v>2.2783999719619752</v>
      </c>
      <c r="S9">
        <f ca="1"/>
        <v>127.568</v>
      </c>
      <c r="U9">
        <v>881.50543478260875</v>
      </c>
      <c r="V9">
        <v>15.438043464623068</v>
      </c>
      <c r="W9">
        <v>10.438043464623068</v>
      </c>
      <c r="X9">
        <v>1</v>
      </c>
      <c r="Y9">
        <v>3</v>
      </c>
      <c r="Z9">
        <v>1</v>
      </c>
      <c r="AB9">
        <f ca="1"/>
        <v>10.438043464623068</v>
      </c>
      <c r="AC9">
        <f ca="1"/>
        <v>881.50543478260875</v>
      </c>
    </row>
    <row r="10" spans="2:29">
      <c r="C10" t="s">
        <v>54</v>
      </c>
      <c r="D10" s="3" t="e">
        <f t="shared" si="0"/>
        <v>#DIV/0!</v>
      </c>
      <c r="E10" s="3">
        <f t="shared" si="0"/>
        <v>45.589280544951365</v>
      </c>
      <c r="F10" s="3">
        <f t="shared" si="0"/>
        <v>64.185505893442894</v>
      </c>
      <c r="G10" s="3">
        <f t="shared" si="0"/>
        <v>64.185505893442894</v>
      </c>
      <c r="J10" t="s">
        <v>54</v>
      </c>
      <c r="K10" s="3">
        <f t="shared" si="1"/>
        <v>4.8774193736814677</v>
      </c>
      <c r="L10" s="3">
        <f t="shared" si="1"/>
        <v>45.589280544951365</v>
      </c>
      <c r="M10" s="3">
        <f t="shared" si="1"/>
        <v>64.185505893442894</v>
      </c>
      <c r="N10" s="3">
        <f t="shared" si="1"/>
        <v>64.185505893442894</v>
      </c>
      <c r="Q10">
        <f ca="1"/>
        <v>-1.7035088162673149</v>
      </c>
      <c r="R10">
        <f ca="1"/>
        <v>3.2964911837326851</v>
      </c>
      <c r="S10">
        <f ca="1"/>
        <v>70.175438596491233</v>
      </c>
      <c r="U10">
        <v>273.0181818181818</v>
      </c>
      <c r="V10">
        <v>5.3581818623976272</v>
      </c>
      <c r="W10">
        <v>0.35818186239762717</v>
      </c>
      <c r="X10">
        <v>1</v>
      </c>
      <c r="Y10">
        <v>3</v>
      </c>
      <c r="Z10">
        <v>1</v>
      </c>
      <c r="AB10">
        <f ca="1"/>
        <v>0.35818186239762717</v>
      </c>
      <c r="AC10">
        <f ca="1"/>
        <v>273.0181818181818</v>
      </c>
    </row>
    <row r="11" spans="2:29">
      <c r="J11" t="s">
        <v>55</v>
      </c>
      <c r="K11" s="8" t="str">
        <f>IF(K3&gt;=3,SQRT(SUMPRODUCT(WorkingData!X$2:X$133,WorkingData!X$2:X$133,WorkingData!$Q$2:$Q$133,WorkingData!T$2:T$133)/('DDD Model Calculations'!K3-2)),"Insufficient Data")</f>
        <v>Insufficient Data</v>
      </c>
      <c r="L11" s="8">
        <f>IF(L3&gt;=3,SQRT(SUMPRODUCT(WorkingData!Y$2:Y$133,WorkingData!Y$2:Y$133,WorkingData!$Q$2:$Q$133,WorkingData!U$2:U$133)/('DDD Model Calculations'!L3-2)),"Insufficient Data")</f>
        <v>304.08406879574096</v>
      </c>
      <c r="M11" s="8">
        <f>IF(M3&gt;=3,SQRT(SUMPRODUCT(WorkingData!Z$2:Z$133,WorkingData!Z$2:Z$133,WorkingData!$Q$2:$Q$133,WorkingData!V$2:V$133)/('DDD Model Calculations'!M3-2)),"Insufficient Data")</f>
        <v>260.06177506587647</v>
      </c>
      <c r="N11" s="8">
        <f>IF(N3&gt;=3,SQRT(SUMPRODUCT(WorkingData!AA$2:AA$133,WorkingData!AA$2:AA$133,WorkingData!$Q$2:$Q$133,WorkingData!W$2:W$133)/('DDD Model Calculations'!N3-2)),"Insufficient Data")</f>
        <v>260.06177506587647</v>
      </c>
      <c r="P11" s="8" t="s">
        <v>56</v>
      </c>
      <c r="Q11">
        <f ca="1"/>
        <v>10.438043464623068</v>
      </c>
      <c r="R11">
        <f ca="1"/>
        <v>15.438043464623068</v>
      </c>
      <c r="S11">
        <f ca="1"/>
        <v>881.50543478260875</v>
      </c>
      <c r="U11">
        <v>755.40331491712709</v>
      </c>
      <c r="V11">
        <v>12.800000021470844</v>
      </c>
      <c r="W11">
        <v>7.8000000214708436</v>
      </c>
      <c r="X11">
        <v>1</v>
      </c>
      <c r="Y11">
        <v>4</v>
      </c>
      <c r="Z11">
        <v>1</v>
      </c>
      <c r="AB11">
        <f ca="1"/>
        <v>7.8000000214708436</v>
      </c>
      <c r="AC11">
        <f ca="1"/>
        <v>755.40331491712709</v>
      </c>
    </row>
    <row r="12" spans="2:29">
      <c r="B12" s="6" t="s">
        <v>29</v>
      </c>
      <c r="C12" t="s">
        <v>57</v>
      </c>
      <c r="D12" s="9" t="str">
        <f>IF(D3&gt;=3,(D$3*D6-D9*D10)/(D$3*D7-D10^2),"Insufficient Data")</f>
        <v>Insufficient Data</v>
      </c>
      <c r="E12" s="9">
        <f>IF(E3&gt;=3,(E$3*E6-E9*E10)/(E$3*E7-E10^2),"Insufficient Data")</f>
        <v>61.493545353582512</v>
      </c>
      <c r="F12" s="9">
        <f>IF(F3&gt;=3,(F$3*F6-F9*F10)/(F$3*F7-F10^2),"Insufficient Data")</f>
        <v>70.952738772156692</v>
      </c>
      <c r="G12" s="9">
        <f>IF(G3&gt;=3,(G$3*G6-G9*G10)/(G$3*G7-G10^2),"Insufficient Data")</f>
        <v>70.952738772156692</v>
      </c>
      <c r="I12" s="6" t="s">
        <v>29</v>
      </c>
      <c r="J12" t="s">
        <v>57</v>
      </c>
      <c r="K12" s="9" t="str">
        <f>IF(K3&gt;=3,(K$3*K6-K9*K10)/(K$3*K7-K10^2),"Insufficient Data")</f>
        <v>Insufficient Data</v>
      </c>
      <c r="L12" s="9">
        <f>IF(L3&gt;=3,(L$3*L6-L9*L10)/(L$3*L7-L10^2),"Insufficient Data")</f>
        <v>61.493545353582512</v>
      </c>
      <c r="M12" s="9">
        <f>IF(M3&gt;=3,(M$3*M6-M9*M10)/(M$3*M7-M10^2),"Insufficient Data")</f>
        <v>70.952738772156692</v>
      </c>
      <c r="N12" s="9">
        <f>IF(N3&gt;=3,(N$3*N6-N9*N10)/(N$3*N7-N10^2),"Insufficient Data")</f>
        <v>70.952738772156692</v>
      </c>
      <c r="P12" s="9" t="s">
        <v>58</v>
      </c>
      <c r="Q12">
        <f ca="1"/>
        <v>0.35818186239762717</v>
      </c>
      <c r="R12">
        <f ca="1"/>
        <v>5.3581818623976272</v>
      </c>
      <c r="S12">
        <f ca="1"/>
        <v>273.0181818181818</v>
      </c>
    </row>
    <row r="13" spans="2:29">
      <c r="B13" s="6" t="s">
        <v>59</v>
      </c>
      <c r="C13" t="s">
        <v>60</v>
      </c>
      <c r="D13" s="9" t="str">
        <f>IF(D3&gt;=3,D4-D5*D12,"Insufficient Data")</f>
        <v>Insufficient Data</v>
      </c>
      <c r="E13" s="9">
        <f>IF(E3&gt;=3,E4-E5*E12,"Insufficient Data")</f>
        <v>530.53061003764572</v>
      </c>
      <c r="F13" s="9">
        <f>IF(F3&gt;=3,F4-F5*F12,"Insufficient Data")</f>
        <v>351.4861299897666</v>
      </c>
      <c r="G13" s="9">
        <f>IF(G3&gt;=3,G4-G5*G12,"Insufficient Data")</f>
        <v>351.4861299897666</v>
      </c>
      <c r="I13" s="6" t="s">
        <v>59</v>
      </c>
      <c r="J13" t="s">
        <v>60</v>
      </c>
      <c r="K13" s="9" t="str">
        <f>IF(K3&gt;=3,K4-K5*K12,"Insufficient Data")</f>
        <v>Insufficient Data</v>
      </c>
      <c r="L13" s="9">
        <f>IF(L3&gt;=3,L4-L5*L12,"Insufficient Data")</f>
        <v>530.53061003764572</v>
      </c>
      <c r="M13" s="9">
        <f>IF(M3&gt;=3,M4-M5*M12,"Insufficient Data")</f>
        <v>351.4861299897666</v>
      </c>
      <c r="N13" s="9">
        <f>IF(N3&gt;=3,N4-N5*N12,"Insufficient Data")</f>
        <v>351.4861299897666</v>
      </c>
      <c r="Q13">
        <f ca="1"/>
        <v>-4.948437511920929</v>
      </c>
      <c r="R13">
        <f ca="1"/>
        <v>5.1562488079071045E-2</v>
      </c>
      <c r="S13">
        <f ca="1"/>
        <v>26.859375</v>
      </c>
    </row>
    <row r="14" spans="2:29">
      <c r="C14" t="s">
        <v>61</v>
      </c>
      <c r="D14" s="10" t="str">
        <f>IF(D3&gt;=3,(((D6/D3)-D4*D5)/SQRT((D7/D3-D5^2)*(D8/D3-D4^2)))^2,"Insufficient Data")</f>
        <v>Insufficient Data</v>
      </c>
      <c r="E14" s="10">
        <f>IF(E3&gt;=3,(((E6/E3)-E4*E5)/SQRT((E7/E3-E5^2)*(E8/E3-E4^2)))^2,"Insufficient Data")</f>
        <v>0.54435046452547198</v>
      </c>
      <c r="F14" s="10">
        <f>IF(F3&gt;=3,(((F6/F3)-F4*F5)/SQRT((F7/F3-F5^2)*(F8/F3-F4^2)))^2,"Insufficient Data")</f>
        <v>0.66255372382070121</v>
      </c>
      <c r="G14" s="10">
        <f>IF(G3&gt;=3,(((G6/G3)-G4*G5)/SQRT((G7/G3-G5^2)*(G8/G3-G4^2)))^2,"Insufficient Data")</f>
        <v>0.66255372382070121</v>
      </c>
      <c r="J14" t="s">
        <v>61</v>
      </c>
      <c r="K14" t="str">
        <f>IF(K3&gt;=3,(((K6/K3)-K4*K5)/SQRT((K7/K3-K5^2)*(K8/K3-K4^2)))^2,"Insufficient Data")</f>
        <v>Insufficient Data</v>
      </c>
      <c r="L14">
        <f>IF(L3&gt;=3,(((L6/L3)-L4*L5)/SQRT((L7/L3-L5^2)*(L8/L3-L4^2)))^2,"Insufficient Data")</f>
        <v>0.54435046452547198</v>
      </c>
      <c r="M14">
        <f>IF(M3&gt;=3,(((M6/M3)-M4*M5)/SQRT((M7/M3-M5^2)*(M8/M3-M4^2)))^2,"Insufficient Data")</f>
        <v>0.66255372382070121</v>
      </c>
      <c r="N14">
        <f>IF(N3&gt;=3,(((N6/N3)-N4*N5)/SQRT((N7/N3-N5^2)*(N8/N3-N4^2)))^2,"Insufficient Data")</f>
        <v>0.66255372382070121</v>
      </c>
      <c r="P14" s="10" t="s">
        <v>62</v>
      </c>
      <c r="Q14">
        <f ca="1"/>
        <v>7.8000000214708436</v>
      </c>
      <c r="R14">
        <f ca="1"/>
        <v>12.800000021470844</v>
      </c>
      <c r="S14">
        <f ca="1"/>
        <v>755.40331491712709</v>
      </c>
    </row>
    <row r="15" spans="2:29">
      <c r="C15" t="s">
        <v>63</v>
      </c>
      <c r="D15" t="str">
        <f>IF(D3&gt;=3,D13+D12*($D$21-5),"Insufficient Data")</f>
        <v>Insufficient Data</v>
      </c>
      <c r="E15">
        <f>IF(E3&gt;=3,E13+E12*($D$21-5),"Insufficient Data")</f>
        <v>2873.4346880091393</v>
      </c>
      <c r="F15">
        <f>IF(F3&gt;=3,F13+F12*($D$21-5),"Insufficient Data")</f>
        <v>3054.7854772089368</v>
      </c>
      <c r="G15">
        <f>IF(G3&gt;=3,G13+G12*($D$21-5),"Insufficient Data")</f>
        <v>3054.7854772089368</v>
      </c>
      <c r="J15" t="s">
        <v>63</v>
      </c>
      <c r="K15" t="str">
        <f>IF(K3&gt;=3,K13+K12*($D$21-5),"Insufficient Data")</f>
        <v>Insufficient Data</v>
      </c>
      <c r="L15">
        <f>IF(L3&gt;=3,L13+L12*($D$21-5),"Insufficient Data")</f>
        <v>2873.4346880091393</v>
      </c>
      <c r="M15">
        <f>IF(M3&gt;=3,M13+M12*($D$21-5),"Insufficient Data")</f>
        <v>3054.7854772089368</v>
      </c>
      <c r="N15">
        <f>IF(N3&gt;=3,N13+N12*($D$21-5),"Insufficient Data")</f>
        <v>3054.7854772089368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</row>
    <row r="17" spans="3:12">
      <c r="J17" t="s">
        <v>65</v>
      </c>
    </row>
    <row r="18" spans="3:12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</row>
    <row r="19" spans="3:12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</row>
    <row r="20" spans="3:12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</row>
    <row r="21" spans="3:12">
      <c r="C21" t="s">
        <v>69</v>
      </c>
      <c r="D21">
        <f>VLOOKUP(D19,$G$19:$I$22,3,FALSE)</f>
        <v>43.1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</row>
    <row r="22" spans="3:12">
      <c r="C22" t="s">
        <v>77</v>
      </c>
      <c r="D22">
        <f>VLOOKUP(D19,$G$19:$I$22,2,FALSE)</f>
        <v>5</v>
      </c>
      <c r="G22" t="s">
        <v>1</v>
      </c>
      <c r="H22">
        <v>5</v>
      </c>
      <c r="I22">
        <v>43.1</v>
      </c>
      <c r="J22" s="14" t="e">
        <f>MAX('Weather Data'!$K:$K)</f>
        <v>#DIV/0!</v>
      </c>
      <c r="K22" s="14" t="e">
        <f>LARGE('Weather Data'!$K:$K,2)</f>
        <v>#DIV/0!</v>
      </c>
      <c r="L22" s="14" t="e">
        <f>LARGE('Weather Data'!$K:$K,3)</f>
        <v>#DIV/0!</v>
      </c>
    </row>
    <row r="23" spans="3:12">
      <c r="C23" t="s">
        <v>78</v>
      </c>
      <c r="D23">
        <f>_xlfn.XLOOKUP(MAX('DDD Model Calculations'!$D$14:$G$14),'DDD Model Calculations'!$D$14:$G$14,'DDD Model Calculations'!$D16:$G16)</f>
        <v>4</v>
      </c>
    </row>
    <row r="24" spans="3:12">
      <c r="C24" t="s">
        <v>70</v>
      </c>
      <c r="D24" t="e">
        <f>VLOOKUP($D$19,$G$19:$L22,4,FALSE)</f>
        <v>#DIV/0!</v>
      </c>
    </row>
    <row r="25" spans="3:12">
      <c r="C25" t="s">
        <v>79</v>
      </c>
      <c r="D25" t="e">
        <f>VLOOKUP($D$19,$G$19:$L23,5,FALSE)</f>
        <v>#DIV/0!</v>
      </c>
    </row>
    <row r="26" spans="3:12">
      <c r="C26" t="s">
        <v>80</v>
      </c>
      <c r="D26" t="e">
        <f>VLOOKUP($D$19,$G$19:$L24,6,FALSE)</f>
        <v>#DIV/0!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topLeftCell="B1" zoomScale="120" zoomScaleNormal="120" workbookViewId="0">
      <selection activeCell="Y2" sqref="Y2"/>
    </sheetView>
  </sheetViews>
  <sheetFormatPr defaultColWidth="10.5" defaultRowHeight="15.6"/>
  <cols>
    <col min="2" max="3" width="10.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13">_xlfn._xlws.SORT(_xlfn._xlws.FILTER('Accumulated Input Data'!A2:F134,('Accumulated Input Data'!D2:D134="A")+('Accumulated Input Data'!D2:D134="01")),1,-1)</f>
        <v>45779</v>
      </c>
      <c r="B2" s="1">
        <v>31</v>
      </c>
      <c r="C2" s="1">
        <v>7984</v>
      </c>
      <c r="D2" t="str">
        <v>A</v>
      </c>
      <c r="E2">
        <v>19356</v>
      </c>
      <c r="F2">
        <v>955546</v>
      </c>
      <c r="G2">
        <f>IF(F3&gt;0,F2-F3,"")</f>
        <v>19356</v>
      </c>
      <c r="H2" s="2">
        <f>IF(A2&lt;&gt;"",DATE(YEAR(A2),MONTH(A2),DAY(A2)),"")</f>
        <v>45779</v>
      </c>
      <c r="I2">
        <f>IF(A3&gt;0,A2-A3,"")</f>
        <v>31</v>
      </c>
      <c r="J2">
        <f>I2</f>
        <v>31</v>
      </c>
      <c r="K2">
        <f>IF(AND($H3&gt;0,$H3&lt;&gt;""),VLOOKUP($H3,'Weather Data'!$L$2:$P$4170,'DDD Model Calculations'!$D$22,FALSE),"")</f>
        <v>53787.073341203897</v>
      </c>
      <c r="L2">
        <f>IF(AND($K2&gt;0,$K2&lt;&gt;""),VLOOKUP($H2,'Weather Data'!$L$2:$P$4170,'DDD Model Calculations'!$D$22,FALSE),"")</f>
        <v>54093.273341788023</v>
      </c>
      <c r="M2">
        <f>L2-K2</f>
        <v>306.20000058412552</v>
      </c>
      <c r="N2">
        <f t="shared" ref="N2:N33" si="0">IF(AND($I2&gt;0,$I2&lt;&gt;""),G2/$I2,"")</f>
        <v>624.38709677419354</v>
      </c>
      <c r="O2">
        <f t="shared" ref="O2:O33" si="1">IF(AND($I2&gt;0,$I2&lt;&gt;""),$M2/$I2,"")</f>
        <v>9.8774193736814677</v>
      </c>
      <c r="P2">
        <f>IF(AND($I2&gt;0,$I2&lt;&gt;""),$M2/$I2-5,"")</f>
        <v>4.8774193736814677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 t="str">
        <f>IF(AND($N2&gt;0,$N2&lt;&gt;"",'DDD Model Calculations'!$K$3&gt;=3),$N2-('DDD Model Calculations'!K$13+'DDD Model Calculations'!K$12*WorkingData!$P2),"")</f>
        <v/>
      </c>
      <c r="Y2">
        <f>IF(AND($N2&gt;0,$N2&lt;&gt;""),$N2-('DDD Model Calculations'!L$13+'DDD Model Calculations'!L$12*WorkingData!$P2),"")</f>
        <v>-206.07332272737551</v>
      </c>
      <c r="Z2">
        <f>IF(AND($N2&gt;0,$N2&lt;&gt;""),$N2-('DDD Model Calculations'!M$13+'DDD Model Calculations'!M$12*WorkingData!$P2),"")</f>
        <v>-73.165295918650372</v>
      </c>
      <c r="AA2">
        <f>IF(AND($N2&gt;0,$N2&lt;&gt;""),$N2-('DDD Model Calculations'!N$13+'DDD Model Calculations'!N$12*WorkingData!$P2),"")</f>
        <v>-73.165295918650372</v>
      </c>
      <c r="AB2" t="str">
        <f>IF(X2&lt;&gt;"",X2/'DDD Model Calculations'!K$11,"")</f>
        <v/>
      </c>
      <c r="AC2">
        <f>IF(Y2&lt;&gt;"",Y2/'DDD Model Calculations'!L$11,"")</f>
        <v>-0.6776853636018626</v>
      </c>
      <c r="AD2">
        <f>IF(Z2&lt;&gt;"",Z2/'DDD Model Calculations'!M$11,"")</f>
        <v>-0.28133813937137364</v>
      </c>
      <c r="AE2">
        <f>IF(AA2&lt;&gt;"",AA2/'DDD Model Calculations'!N$11,"")</f>
        <v>-0.28133813937137364</v>
      </c>
      <c r="AF2" t="str">
        <f t="shared" ref="AF2:AF33" si="8">IF(AB2="","",IF(ABS(AB2)&gt;2,0,1))</f>
        <v/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45748</v>
      </c>
      <c r="B3" s="1">
        <v>27</v>
      </c>
      <c r="C3" s="1">
        <v>7297</v>
      </c>
      <c r="D3" t="str">
        <v>A</v>
      </c>
      <c r="E3">
        <v>16791</v>
      </c>
      <c r="F3">
        <v>936190</v>
      </c>
      <c r="G3">
        <f t="shared" ref="G3:G66" si="12">IF(F4&gt;0,F3-F4,"")</f>
        <v>381335</v>
      </c>
      <c r="H3" s="2">
        <f t="shared" ref="H3:H66" si="13">IF(A3&lt;&gt;"",DATE(YEAR(A3),MONTH(A3),DAY(A3)),"")</f>
        <v>45748</v>
      </c>
      <c r="I3">
        <f t="shared" ref="I3:I66" si="14">IF(A4&gt;0,A3-A4,"")</f>
        <v>396</v>
      </c>
      <c r="J3">
        <f t="shared" ref="J3:J34" si="15">IF(AND(I3&gt;0,I3&lt;&gt;""),I3+J2,"")</f>
        <v>427</v>
      </c>
      <c r="K3">
        <f>IF(AND($H4&gt;0,$H4&lt;&gt;""),VLOOKUP($H4,'Weather Data'!$L$2:$P$4170,'DDD Model Calculations'!$D$22,FALSE),"")</f>
        <v>50095.700007721782</v>
      </c>
      <c r="L3">
        <f>IF(AND($K3&gt;0,$K3&lt;&gt;""),VLOOKUP($H3,'Weather Data'!$L$2:$P$4170,'DDD Model Calculations'!$D$22,FALSE),"")</f>
        <v>53787.073341203897</v>
      </c>
      <c r="M3">
        <f t="shared" ref="M3:M34" si="16">IF(AND(K3&gt;0,K3&lt;&gt;""),L3-K3,"")</f>
        <v>3691.3733334821154</v>
      </c>
      <c r="N3">
        <f t="shared" si="0"/>
        <v>962.96717171717171</v>
      </c>
      <c r="O3">
        <f t="shared" si="1"/>
        <v>9.3216498320255443</v>
      </c>
      <c r="P3">
        <f t="shared" ref="P3:P34" si="17">IF(AND($I3&gt;0,$I3&lt;&gt;""),M3/$I3-5,"")</f>
        <v>4.3216498320255443</v>
      </c>
      <c r="Q3">
        <f t="shared" si="2"/>
        <v>1</v>
      </c>
      <c r="R3">
        <f t="shared" si="3"/>
        <v>2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0</v>
      </c>
      <c r="U3">
        <f t="shared" si="5"/>
        <v>1</v>
      </c>
      <c r="V3">
        <f t="shared" si="6"/>
        <v>1</v>
      </c>
      <c r="W3">
        <f t="shared" si="7"/>
        <v>1</v>
      </c>
      <c r="X3" t="str">
        <f>IF(AND($N3&gt;0,$N3&lt;&gt;"",'DDD Model Calculations'!$K$3&gt;=3),$N3-('DDD Model Calculations'!K$13+'DDD Model Calculations'!K$12*WorkingData!$P3),"")</f>
        <v/>
      </c>
      <c r="Y3">
        <f>IF(AND($N3&gt;0,$N3&lt;&gt;""),$N3-('DDD Model Calculations'!L$13+'DDD Model Calculations'!L$12*WorkingData!$P3),"")</f>
        <v>166.68299173156095</v>
      </c>
      <c r="Z3">
        <f>IF(AND($N3&gt;0,$N3&lt;&gt;""),$N3-('DDD Model Calculations'!M$13+'DDD Model Calculations'!M$12*WorkingData!$P3),"")</f>
        <v>304.84815013096181</v>
      </c>
      <c r="AA3">
        <f>IF(AND($N3&gt;0,$N3&lt;&gt;""),$N3-('DDD Model Calculations'!N$13+'DDD Model Calculations'!N$12*WorkingData!$P3),"")</f>
        <v>304.84815013096181</v>
      </c>
      <c r="AB3" t="str">
        <f>IF(X3&lt;&gt;"",X3/'DDD Model Calculations'!K$11,"")</f>
        <v/>
      </c>
      <c r="AC3">
        <f>IF(Y3&lt;&gt;"",Y3/'DDD Model Calculations'!L$11,"")</f>
        <v>0.54814772898716069</v>
      </c>
      <c r="AD3">
        <f>IF(Z3&lt;&gt;"",Z3/'DDD Model Calculations'!M$11,"")</f>
        <v>1.1722143711959994</v>
      </c>
      <c r="AE3">
        <f>IF(AA3&lt;&gt;"",AA3/'DDD Model Calculations'!N$11,"")</f>
        <v>1.1722143711959994</v>
      </c>
      <c r="AF3" t="str">
        <f t="shared" si="8"/>
        <v/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>
      <c r="A4" s="2">
        <v>45352</v>
      </c>
      <c r="B4" s="1">
        <v>29</v>
      </c>
      <c r="C4" s="1">
        <v>49417</v>
      </c>
      <c r="D4" t="str">
        <v>A</v>
      </c>
      <c r="E4">
        <v>47417</v>
      </c>
      <c r="F4">
        <v>554855</v>
      </c>
      <c r="G4">
        <f t="shared" si="12"/>
        <v>47417</v>
      </c>
      <c r="H4" s="2">
        <f t="shared" si="13"/>
        <v>45352</v>
      </c>
      <c r="I4">
        <f t="shared" si="14"/>
        <v>29</v>
      </c>
      <c r="J4">
        <f t="shared" si="15"/>
        <v>456</v>
      </c>
      <c r="K4">
        <f>IF(AND($H5&gt;0,$H5&lt;&gt;""),VLOOKUP($H5,'Weather Data'!$L$2:$P$4170,'DDD Model Calculations'!$D$22,FALSE),"")</f>
        <v>49611.00000821054</v>
      </c>
      <c r="L4">
        <f>IF(AND($K4&gt;0,$K4&lt;&gt;""),VLOOKUP($H4,'Weather Data'!$L$2:$P$4170,'DDD Model Calculations'!$D$22,FALSE),"")</f>
        <v>50095.700007721782</v>
      </c>
      <c r="M4">
        <f t="shared" si="16"/>
        <v>484.69999951124191</v>
      </c>
      <c r="N4">
        <f t="shared" si="0"/>
        <v>1635.0689655172414</v>
      </c>
      <c r="O4">
        <f t="shared" si="1"/>
        <v>16.713793086594549</v>
      </c>
      <c r="P4">
        <f t="shared" si="17"/>
        <v>11.713793086594549</v>
      </c>
      <c r="Q4">
        <f t="shared" si="2"/>
        <v>1</v>
      </c>
      <c r="R4">
        <f t="shared" si="3"/>
        <v>2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0</v>
      </c>
      <c r="U4">
        <f t="shared" si="5"/>
        <v>1</v>
      </c>
      <c r="V4">
        <f t="shared" si="6"/>
        <v>1</v>
      </c>
      <c r="W4">
        <f t="shared" si="7"/>
        <v>1</v>
      </c>
      <c r="X4" t="str">
        <f>IF(AND($N4&gt;0,$N4&lt;&gt;"",'DDD Model Calculations'!$K$3&gt;=3),$N4-('DDD Model Calculations'!K$13+'DDD Model Calculations'!K$12*WorkingData!$P4),"")</f>
        <v/>
      </c>
      <c r="Y4">
        <f>IF(AND($N4&gt;0,$N4&lt;&gt;""),$N4-('DDD Model Calculations'!L$13+'DDD Model Calculations'!L$12*WorkingData!$P4),"")</f>
        <v>384.21568904661262</v>
      </c>
      <c r="Z4">
        <f>IF(AND($N4&gt;0,$N4&lt;&gt;""),$N4-('DDD Model Calculations'!M$13+'DDD Model Calculations'!M$12*WorkingData!$P4),"")</f>
        <v>452.4571346232367</v>
      </c>
      <c r="AA4">
        <f>IF(AND($N4&gt;0,$N4&lt;&gt;""),$N4-('DDD Model Calculations'!N$13+'DDD Model Calculations'!N$12*WorkingData!$P4),"")</f>
        <v>452.4571346232367</v>
      </c>
      <c r="AB4" t="str">
        <f>IF(X4&lt;&gt;"",X4/'DDD Model Calculations'!K$11,"")</f>
        <v/>
      </c>
      <c r="AC4">
        <f>IF(Y4&lt;&gt;"",Y4/'DDD Model Calculations'!L$11,"")</f>
        <v>1.2635179822744926</v>
      </c>
      <c r="AD4">
        <f>IF(Z4&lt;&gt;"",Z4/'DDD Model Calculations'!M$11,"")</f>
        <v>1.7398063768065275</v>
      </c>
      <c r="AE4">
        <f>IF(AA4&lt;&gt;"",AA4/'DDD Model Calculations'!N$11,"")</f>
        <v>1.7398063768065275</v>
      </c>
      <c r="AF4" t="str">
        <f t="shared" si="8"/>
        <v/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45323</v>
      </c>
      <c r="B5" s="1">
        <v>29</v>
      </c>
      <c r="C5" s="1">
        <v>47734</v>
      </c>
      <c r="D5" t="str">
        <v>A</v>
      </c>
      <c r="E5">
        <v>38091</v>
      </c>
      <c r="F5">
        <v>507438</v>
      </c>
      <c r="G5">
        <f t="shared" si="12"/>
        <v>38091</v>
      </c>
      <c r="H5" s="2">
        <f t="shared" si="13"/>
        <v>45323</v>
      </c>
      <c r="I5">
        <f t="shared" si="14"/>
        <v>29</v>
      </c>
      <c r="J5">
        <f t="shared" si="15"/>
        <v>485</v>
      </c>
      <c r="K5">
        <f>IF(AND($H6&gt;0,$H6&lt;&gt;""),VLOOKUP($H6,'Weather Data'!$L$2:$P$4170,'DDD Model Calculations'!$D$22,FALSE),"")</f>
        <v>49018.400008149445</v>
      </c>
      <c r="L5">
        <f>IF(AND($K5&gt;0,$K5&lt;&gt;""),VLOOKUP($H5,'Weather Data'!$L$2:$P$4170,'DDD Model Calculations'!$D$22,FALSE),"")</f>
        <v>49611.00000821054</v>
      </c>
      <c r="M5">
        <f t="shared" si="16"/>
        <v>592.60000006109476</v>
      </c>
      <c r="N5">
        <f t="shared" si="0"/>
        <v>1313.4827586206898</v>
      </c>
      <c r="O5">
        <f t="shared" si="1"/>
        <v>20.434482760727406</v>
      </c>
      <c r="P5">
        <f t="shared" si="17"/>
        <v>15.434482760727406</v>
      </c>
      <c r="Q5">
        <f t="shared" si="2"/>
        <v>1</v>
      </c>
      <c r="R5">
        <f t="shared" si="3"/>
        <v>2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0</v>
      </c>
      <c r="U5">
        <f t="shared" si="5"/>
        <v>1</v>
      </c>
      <c r="V5">
        <f t="shared" si="6"/>
        <v>1</v>
      </c>
      <c r="W5">
        <f t="shared" si="7"/>
        <v>1</v>
      </c>
      <c r="X5" t="str">
        <f>IF(AND($N5&gt;0,$N5&lt;&gt;"",'DDD Model Calculations'!$K$3&gt;=3),$N5-('DDD Model Calculations'!K$13+'DDD Model Calculations'!K$12*WorkingData!$P5),"")</f>
        <v/>
      </c>
      <c r="Y5">
        <f>IF(AND($N5&gt;0,$N5&lt;&gt;""),$N5-('DDD Model Calculations'!L$13+'DDD Model Calculations'!L$12*WorkingData!$P5),"")</f>
        <v>-166.16891707283412</v>
      </c>
      <c r="Z5">
        <f>IF(AND($N5&gt;0,$N5&lt;&gt;""),$N5-('DDD Model Calculations'!M$13+'DDD Model Calculations'!M$12*WorkingData!$P5),"")</f>
        <v>-133.12219477432427</v>
      </c>
      <c r="AA5">
        <f>IF(AND($N5&gt;0,$N5&lt;&gt;""),$N5-('DDD Model Calculations'!N$13+'DDD Model Calculations'!N$12*WorkingData!$P5),"")</f>
        <v>-133.12219477432427</v>
      </c>
      <c r="AB5" t="str">
        <f>IF(X5&lt;&gt;"",X5/'DDD Model Calculations'!K$11,"")</f>
        <v/>
      </c>
      <c r="AC5">
        <f>IF(Y5&lt;&gt;"",Y5/'DDD Model Calculations'!L$11,"")</f>
        <v>-0.54645716143864453</v>
      </c>
      <c r="AD5">
        <f>IF(Z5&lt;&gt;"",Z5/'DDD Model Calculations'!M$11,"")</f>
        <v>-0.51188681897061949</v>
      </c>
      <c r="AE5">
        <f>IF(AA5&lt;&gt;"",AA5/'DDD Model Calculations'!N$11,"")</f>
        <v>-0.51188681897061949</v>
      </c>
      <c r="AF5" t="str">
        <f t="shared" si="8"/>
        <v/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>
      <c r="A6" s="2">
        <v>45294</v>
      </c>
      <c r="B6" s="1">
        <v>32</v>
      </c>
      <c r="C6" s="1">
        <v>46382</v>
      </c>
      <c r="D6" t="str">
        <v>A</v>
      </c>
      <c r="E6">
        <v>34823</v>
      </c>
      <c r="F6">
        <v>469347</v>
      </c>
      <c r="G6">
        <f t="shared" si="12"/>
        <v>57052</v>
      </c>
      <c r="H6" s="2">
        <f t="shared" si="13"/>
        <v>45294</v>
      </c>
      <c r="I6">
        <f t="shared" si="14"/>
        <v>62</v>
      </c>
      <c r="J6">
        <f t="shared" si="15"/>
        <v>547</v>
      </c>
      <c r="K6">
        <f>IF(AND($H7&gt;0,$H7&lt;&gt;""),VLOOKUP($H7,'Weather Data'!$L$2:$P$4170,'DDD Model Calculations'!$D$22,FALSE),"")</f>
        <v>48135.400007650256</v>
      </c>
      <c r="L6">
        <f>IF(AND($K6&gt;0,$K6&lt;&gt;""),VLOOKUP($H6,'Weather Data'!$L$2:$P$4170,'DDD Model Calculations'!$D$22,FALSE),"")</f>
        <v>49018.400008149445</v>
      </c>
      <c r="M6">
        <f t="shared" si="16"/>
        <v>883.0000004991889</v>
      </c>
      <c r="N6">
        <f t="shared" si="0"/>
        <v>920.19354838709683</v>
      </c>
      <c r="O6">
        <f t="shared" si="1"/>
        <v>14.241935491922401</v>
      </c>
      <c r="P6">
        <f t="shared" si="17"/>
        <v>9.2419354919224013</v>
      </c>
      <c r="Q6">
        <f t="shared" si="2"/>
        <v>1</v>
      </c>
      <c r="R6">
        <f t="shared" si="3"/>
        <v>2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0</v>
      </c>
      <c r="U6">
        <f t="shared" si="5"/>
        <v>1</v>
      </c>
      <c r="V6">
        <f t="shared" si="6"/>
        <v>1</v>
      </c>
      <c r="W6">
        <f t="shared" si="7"/>
        <v>1</v>
      </c>
      <c r="X6" t="str">
        <f>IF(AND($N6&gt;0,$N6&lt;&gt;"",'DDD Model Calculations'!$K$3&gt;=3),$N6-('DDD Model Calculations'!K$13+'DDD Model Calculations'!K$12*WorkingData!$P6),"")</f>
        <v/>
      </c>
      <c r="Y6">
        <f>IF(AND($N6&gt;0,$N6&lt;&gt;""),$N6-('DDD Model Calculations'!L$13+'DDD Model Calculations'!L$12*WorkingData!$P6),"")</f>
        <v>-178.65644097796303</v>
      </c>
      <c r="Z6">
        <f>IF(AND($N6&gt;0,$N6&lt;&gt;""),$N6-('DDD Model Calculations'!M$13+'DDD Model Calculations'!M$12*WorkingData!$P6),"")</f>
        <v>-87.033216310163311</v>
      </c>
      <c r="AA6">
        <f>IF(AND($N6&gt;0,$N6&lt;&gt;""),$N6-('DDD Model Calculations'!N$13+'DDD Model Calculations'!N$12*WorkingData!$P6),"")</f>
        <v>-87.033216310163311</v>
      </c>
      <c r="AB6" t="str">
        <f>IF(X6&lt;&gt;"",X6/'DDD Model Calculations'!K$11,"")</f>
        <v/>
      </c>
      <c r="AC6">
        <f>IF(Y6&lt;&gt;"",Y6/'DDD Model Calculations'!L$11,"")</f>
        <v>-0.58752318622114319</v>
      </c>
      <c r="AD6">
        <f>IF(Z6&lt;&gt;"",Z6/'DDD Model Calculations'!M$11,"")</f>
        <v>-0.33466362477960038</v>
      </c>
      <c r="AE6">
        <f>IF(AA6&lt;&gt;"",AA6/'DDD Model Calculations'!N$11,"")</f>
        <v>-0.33466362477960038</v>
      </c>
      <c r="AF6" t="str">
        <f t="shared" si="8"/>
        <v/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>
      <c r="A7" s="2">
        <v>45232</v>
      </c>
      <c r="B7" s="1">
        <v>28</v>
      </c>
      <c r="C7" s="1">
        <v>44357</v>
      </c>
      <c r="D7" t="str">
        <v>A</v>
      </c>
      <c r="E7">
        <v>9551</v>
      </c>
      <c r="F7">
        <v>412295</v>
      </c>
      <c r="G7">
        <f t="shared" si="12"/>
        <v>15946</v>
      </c>
      <c r="H7" s="2">
        <f t="shared" si="13"/>
        <v>45232</v>
      </c>
      <c r="I7">
        <f t="shared" si="14"/>
        <v>125</v>
      </c>
      <c r="J7">
        <f t="shared" si="15"/>
        <v>672</v>
      </c>
      <c r="K7">
        <f>IF(AND($H8&gt;0,$H8&lt;&gt;""),VLOOKUP($H8,'Weather Data'!$L$2:$P$4170,'DDD Model Calculations'!$D$22,FALSE),"")</f>
        <v>47850.600011155009</v>
      </c>
      <c r="L7">
        <f>IF(AND($K7&gt;0,$K7&lt;&gt;""),VLOOKUP($H7,'Weather Data'!$L$2:$P$4170,'DDD Model Calculations'!$D$22,FALSE),"")</f>
        <v>48135.400007650256</v>
      </c>
      <c r="M7">
        <f t="shared" si="16"/>
        <v>284.79999649524689</v>
      </c>
      <c r="N7">
        <f t="shared" si="0"/>
        <v>127.568</v>
      </c>
      <c r="O7">
        <f t="shared" si="1"/>
        <v>2.2783999719619752</v>
      </c>
      <c r="P7">
        <f t="shared" si="17"/>
        <v>-2.7216000280380248</v>
      </c>
      <c r="Q7">
        <f t="shared" si="2"/>
        <v>0</v>
      </c>
      <c r="R7">
        <f t="shared" si="3"/>
        <v>2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0</v>
      </c>
      <c r="U7">
        <f t="shared" si="5"/>
        <v>1</v>
      </c>
      <c r="V7">
        <f t="shared" si="6"/>
        <v>1</v>
      </c>
      <c r="W7">
        <f t="shared" si="7"/>
        <v>1</v>
      </c>
      <c r="X7" t="str">
        <f>IF(AND($N7&gt;0,$N7&lt;&gt;"",'DDD Model Calculations'!$K$3&gt;=3),$N7-('DDD Model Calculations'!K$13+'DDD Model Calculations'!K$12*WorkingData!$P7),"")</f>
        <v/>
      </c>
      <c r="Y7">
        <f>IF(AND($N7&gt;0,$N7&lt;&gt;""),$N7-('DDD Model Calculations'!L$13+'DDD Model Calculations'!L$12*WorkingData!$P7),"")</f>
        <v>-235.60177527917801</v>
      </c>
      <c r="Z7">
        <f>IF(AND($N7&gt;0,$N7&lt;&gt;""),$N7-('DDD Model Calculations'!M$13+'DDD Model Calculations'!M$12*WorkingData!$P7),"")</f>
        <v>-30.813154158090285</v>
      </c>
      <c r="AA7">
        <f>IF(AND($N7&gt;0,$N7&lt;&gt;""),$N7-('DDD Model Calculations'!N$13+'DDD Model Calculations'!N$12*WorkingData!$P7),"")</f>
        <v>-30.813154158090285</v>
      </c>
      <c r="AB7" t="str">
        <f>IF(X7&lt;&gt;"",X7/'DDD Model Calculations'!K$11,"")</f>
        <v/>
      </c>
      <c r="AC7">
        <f>IF(Y7&lt;&gt;"",Y7/'DDD Model Calculations'!L$11,"")</f>
        <v>-0.77479157725107983</v>
      </c>
      <c r="AD7">
        <f>IF(Z7&lt;&gt;"",Z7/'DDD Model Calculations'!M$11,"")</f>
        <v>-0.11848398000930732</v>
      </c>
      <c r="AE7">
        <f>IF(AA7&lt;&gt;"",AA7/'DDD Model Calculations'!N$11,"")</f>
        <v>-0.11848398000930732</v>
      </c>
      <c r="AF7" t="str">
        <f t="shared" si="8"/>
        <v/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>
      <c r="A8" s="2">
        <v>45107</v>
      </c>
      <c r="B8" s="1">
        <v>57</v>
      </c>
      <c r="C8" s="1">
        <v>0</v>
      </c>
      <c r="D8" t="str">
        <v>A</v>
      </c>
      <c r="E8">
        <v>4000</v>
      </c>
      <c r="F8">
        <v>396349</v>
      </c>
      <c r="G8">
        <f t="shared" si="12"/>
        <v>4000</v>
      </c>
      <c r="H8" s="2">
        <f t="shared" si="13"/>
        <v>45107</v>
      </c>
      <c r="I8">
        <f t="shared" si="14"/>
        <v>57</v>
      </c>
      <c r="J8">
        <f t="shared" si="15"/>
        <v>729</v>
      </c>
      <c r="K8">
        <f>IF(AND($H9&gt;0,$H9&lt;&gt;""),VLOOKUP($H9,'Weather Data'!$L$2:$P$4170,'DDD Model Calculations'!$D$22,FALSE),"")</f>
        <v>47662.700013682246</v>
      </c>
      <c r="L8">
        <f>IF(AND($K8&gt;0,$K8&lt;&gt;""),VLOOKUP($H8,'Weather Data'!$L$2:$P$4170,'DDD Model Calculations'!$D$22,FALSE),"")</f>
        <v>47850.600011155009</v>
      </c>
      <c r="M8">
        <f t="shared" si="16"/>
        <v>187.89999747276306</v>
      </c>
      <c r="N8">
        <f t="shared" si="0"/>
        <v>70.175438596491233</v>
      </c>
      <c r="O8">
        <f t="shared" si="1"/>
        <v>3.2964911837326851</v>
      </c>
      <c r="P8">
        <f t="shared" si="17"/>
        <v>-1.7035088162673149</v>
      </c>
      <c r="Q8">
        <f t="shared" si="2"/>
        <v>0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 t="str">
        <f>IF(AND($N8&gt;0,$N8&lt;&gt;"",'DDD Model Calculations'!$K$3&gt;=3),$N8-('DDD Model Calculations'!K$13+'DDD Model Calculations'!K$12*WorkingData!$P8),"")</f>
        <v/>
      </c>
      <c r="Y8">
        <f>IF(AND($N8&gt;0,$N8&lt;&gt;""),$N8-('DDD Model Calculations'!L$13+'DDD Model Calculations'!L$12*WorkingData!$P8),"")</f>
        <v>-355.6003747877927</v>
      </c>
      <c r="Z8">
        <f>IF(AND($N8&gt;0,$N8&lt;&gt;""),$N8-('DDD Model Calculations'!M$13+'DDD Model Calculations'!M$12*WorkingData!$P8),"")</f>
        <v>-160.4420753565947</v>
      </c>
      <c r="AA8">
        <f>IF(AND($N8&gt;0,$N8&lt;&gt;""),$N8-('DDD Model Calculations'!N$13+'DDD Model Calculations'!N$12*WorkingData!$P8),"")</f>
        <v>-160.4420753565947</v>
      </c>
      <c r="AB8" t="str">
        <f>IF(X8&lt;&gt;"",X8/'DDD Model Calculations'!K$11,"")</f>
        <v/>
      </c>
      <c r="AC8">
        <f>IF(Y8&lt;&gt;"",Y8/'DDD Model Calculations'!L$11,"")</f>
        <v>-1.1694146825779821</v>
      </c>
      <c r="AD8">
        <f>IF(Z8&lt;&gt;"",Z8/'DDD Model Calculations'!M$11,"")</f>
        <v>-0.616938322888679</v>
      </c>
      <c r="AE8">
        <f>IF(AA8&lt;&gt;"",AA8/'DDD Model Calculations'!N$11,"")</f>
        <v>-0.616938322888679</v>
      </c>
      <c r="AF8" t="str">
        <f t="shared" si="8"/>
        <v/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45050</v>
      </c>
      <c r="B9" s="1">
        <v>30</v>
      </c>
      <c r="C9" s="1">
        <v>43649</v>
      </c>
      <c r="D9" t="str">
        <v>A</v>
      </c>
      <c r="E9">
        <v>10002</v>
      </c>
      <c r="F9">
        <v>392349</v>
      </c>
      <c r="G9">
        <f t="shared" si="12"/>
        <v>162197</v>
      </c>
      <c r="H9" s="2">
        <f t="shared" si="13"/>
        <v>45050</v>
      </c>
      <c r="I9">
        <f t="shared" si="14"/>
        <v>184</v>
      </c>
      <c r="J9">
        <f t="shared" si="15"/>
        <v>913</v>
      </c>
      <c r="K9">
        <f>IF(AND($H10&gt;0,$H10&lt;&gt;""),VLOOKUP($H10,'Weather Data'!$L$2:$P$4170,'DDD Model Calculations'!$D$22,FALSE),"")</f>
        <v>44822.100016191602</v>
      </c>
      <c r="L9">
        <f>IF(AND($K9&gt;0,$K9&lt;&gt;""),VLOOKUP($H9,'Weather Data'!$L$2:$P$4170,'DDD Model Calculations'!$D$22,FALSE),"")</f>
        <v>47662.700013682246</v>
      </c>
      <c r="M9">
        <f t="shared" si="16"/>
        <v>2840.5999974906445</v>
      </c>
      <c r="N9">
        <f t="shared" si="0"/>
        <v>881.50543478260875</v>
      </c>
      <c r="O9">
        <f t="shared" si="1"/>
        <v>15.438043464623068</v>
      </c>
      <c r="P9">
        <f t="shared" si="17"/>
        <v>10.438043464623068</v>
      </c>
      <c r="Q9">
        <f t="shared" si="2"/>
        <v>1</v>
      </c>
      <c r="R9">
        <f t="shared" si="3"/>
        <v>3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0</v>
      </c>
      <c r="V9">
        <f t="shared" si="6"/>
        <v>1</v>
      </c>
      <c r="W9">
        <f t="shared" si="7"/>
        <v>1</v>
      </c>
      <c r="X9" t="str">
        <f>IF(AND($N9&gt;0,$N9&lt;&gt;"",'DDD Model Calculations'!$K$3&gt;=3),$N9-('DDD Model Calculations'!K$13+'DDD Model Calculations'!K$12*WorkingData!$P9),"")</f>
        <v/>
      </c>
      <c r="Y9">
        <f>IF(AND($N9&gt;0,$N9&lt;&gt;""),$N9-('DDD Model Calculations'!L$13+'DDD Model Calculations'!L$12*WorkingData!$P9),"")</f>
        <v>-290.89747444950103</v>
      </c>
      <c r="Z9">
        <f>IF(AND($N9&gt;0,$N9&lt;&gt;""),$N9-('DDD Model Calculations'!M$13+'DDD Model Calculations'!M$12*WorkingData!$P9),"")</f>
        <v>-210.58846644497567</v>
      </c>
      <c r="AA9">
        <f>IF(AND($N9&gt;0,$N9&lt;&gt;""),$N9-('DDD Model Calculations'!N$13+'DDD Model Calculations'!N$12*WorkingData!$P9),"")</f>
        <v>-210.58846644497567</v>
      </c>
      <c r="AB9" t="str">
        <f>IF(X9&lt;&gt;"",X9/'DDD Model Calculations'!K$11,"")</f>
        <v/>
      </c>
      <c r="AC9">
        <f>IF(Y9&lt;&gt;"",Y9/'DDD Model Calculations'!L$11,"")</f>
        <v>-0.9566350371511978</v>
      </c>
      <c r="AD9">
        <f>IF(Z9&lt;&gt;"",Z9/'DDD Model Calculations'!M$11,"")</f>
        <v>-0.80976324333567018</v>
      </c>
      <c r="AE9">
        <f>IF(AA9&lt;&gt;"",AA9/'DDD Model Calculations'!N$11,"")</f>
        <v>-0.80976324333567018</v>
      </c>
      <c r="AF9" t="str">
        <f t="shared" si="8"/>
        <v/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44866</v>
      </c>
      <c r="B10" s="1">
        <v>27</v>
      </c>
      <c r="C10" s="1">
        <v>37892</v>
      </c>
      <c r="D10" t="str">
        <v>A</v>
      </c>
      <c r="E10">
        <v>14115</v>
      </c>
      <c r="F10">
        <v>230152</v>
      </c>
      <c r="G10">
        <f t="shared" si="12"/>
        <v>15016</v>
      </c>
      <c r="H10" s="2">
        <f t="shared" si="13"/>
        <v>44866</v>
      </c>
      <c r="I10">
        <f t="shared" si="14"/>
        <v>55</v>
      </c>
      <c r="J10">
        <f t="shared" si="15"/>
        <v>968</v>
      </c>
      <c r="K10">
        <f>IF(AND($H11&gt;0,$H11&lt;&gt;""),VLOOKUP($H11,'Weather Data'!$L$2:$P$4170,'DDD Model Calculations'!$D$22,FALSE),"")</f>
        <v>44527.400013759732</v>
      </c>
      <c r="L10">
        <f>IF(AND($K10&gt;0,$K10&lt;&gt;""),VLOOKUP($H10,'Weather Data'!$L$2:$P$4170,'DDD Model Calculations'!$D$22,FALSE),"")</f>
        <v>44822.100016191602</v>
      </c>
      <c r="M10">
        <f t="shared" si="16"/>
        <v>294.70000243186951</v>
      </c>
      <c r="N10">
        <f t="shared" si="0"/>
        <v>273.0181818181818</v>
      </c>
      <c r="O10">
        <f t="shared" si="1"/>
        <v>5.3581818623976272</v>
      </c>
      <c r="P10">
        <f t="shared" si="17"/>
        <v>0.35818186239762717</v>
      </c>
      <c r="Q10">
        <f t="shared" si="2"/>
        <v>1</v>
      </c>
      <c r="R10">
        <f t="shared" si="3"/>
        <v>3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0</v>
      </c>
      <c r="V10">
        <f t="shared" si="6"/>
        <v>1</v>
      </c>
      <c r="W10">
        <f t="shared" si="7"/>
        <v>1</v>
      </c>
      <c r="X10" t="str">
        <f>IF(AND($N10&gt;0,$N10&lt;&gt;"",'DDD Model Calculations'!$K$3&gt;=3),$N10-('DDD Model Calculations'!K$13+'DDD Model Calculations'!K$12*WorkingData!$P10),"")</f>
        <v/>
      </c>
      <c r="Y10">
        <f>IF(AND($N10&gt;0,$N10&lt;&gt;""),$N10-('DDD Model Calculations'!L$13+'DDD Model Calculations'!L$12*WorkingData!$P10),"")</f>
        <v>-279.53830081964304</v>
      </c>
      <c r="Z10">
        <f>IF(AND($N10&gt;0,$N10&lt;&gt;""),$N10-('DDD Model Calculations'!M$13+'DDD Model Calculations'!M$12*WorkingData!$P10),"")</f>
        <v>-103.8819322872082</v>
      </c>
      <c r="AA10">
        <f>IF(AND($N10&gt;0,$N10&lt;&gt;""),$N10-('DDD Model Calculations'!N$13+'DDD Model Calculations'!N$12*WorkingData!$P10),"")</f>
        <v>-103.8819322872082</v>
      </c>
      <c r="AB10" t="str">
        <f>IF(X10&lt;&gt;"",X10/'DDD Model Calculations'!K$11,"")</f>
        <v/>
      </c>
      <c r="AC10">
        <f>IF(Y10&lt;&gt;"",Y10/'DDD Model Calculations'!L$11,"")</f>
        <v>-0.91927966475420397</v>
      </c>
      <c r="AD10">
        <f>IF(Z10&lt;&gt;"",Z10/'DDD Model Calculations'!M$11,"")</f>
        <v>-0.39945098529337414</v>
      </c>
      <c r="AE10">
        <f>IF(AA10&lt;&gt;"",AA10/'DDD Model Calculations'!N$11,"")</f>
        <v>-0.39945098529337414</v>
      </c>
      <c r="AF10" t="str">
        <f t="shared" si="8"/>
        <v/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>
      <c r="A11" s="2">
        <v>44811</v>
      </c>
      <c r="B11" s="1">
        <v>64</v>
      </c>
      <c r="C11" s="1">
        <v>0</v>
      </c>
      <c r="D11" t="str">
        <v>A</v>
      </c>
      <c r="E11">
        <v>1719</v>
      </c>
      <c r="F11">
        <v>215136</v>
      </c>
      <c r="G11">
        <f t="shared" si="12"/>
        <v>1719</v>
      </c>
      <c r="H11" s="2">
        <f t="shared" si="13"/>
        <v>44811</v>
      </c>
      <c r="I11">
        <f t="shared" si="14"/>
        <v>64</v>
      </c>
      <c r="J11">
        <f t="shared" si="15"/>
        <v>1032</v>
      </c>
      <c r="K11">
        <f>IF(AND($H12&gt;0,$H12&lt;&gt;""),VLOOKUP($H12,'Weather Data'!$L$2:$P$4170,'DDD Model Calculations'!$D$22,FALSE),"")</f>
        <v>44524.100014522672</v>
      </c>
      <c r="L11">
        <f>IF(AND($K11&gt;0,$K11&lt;&gt;""),VLOOKUP($H11,'Weather Data'!$L$2:$P$4170,'DDD Model Calculations'!$D$22,FALSE),"")</f>
        <v>44527.400013759732</v>
      </c>
      <c r="M11">
        <f t="shared" si="16"/>
        <v>3.2999992370605469</v>
      </c>
      <c r="N11">
        <f t="shared" si="0"/>
        <v>26.859375</v>
      </c>
      <c r="O11">
        <f t="shared" si="1"/>
        <v>5.1562488079071045E-2</v>
      </c>
      <c r="P11">
        <f t="shared" si="17"/>
        <v>-4.948437511920929</v>
      </c>
      <c r="Q11">
        <f t="shared" si="2"/>
        <v>0</v>
      </c>
      <c r="R11">
        <f t="shared" si="3"/>
        <v>3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0</v>
      </c>
      <c r="U11">
        <f t="shared" si="5"/>
        <v>0</v>
      </c>
      <c r="V11">
        <f t="shared" si="6"/>
        <v>1</v>
      </c>
      <c r="W11">
        <f t="shared" si="7"/>
        <v>1</v>
      </c>
      <c r="X11" t="str">
        <f>IF(AND($N11&gt;0,$N11&lt;&gt;"",'DDD Model Calculations'!$K$3&gt;=3),$N11-('DDD Model Calculations'!K$13+'DDD Model Calculations'!K$12*WorkingData!$P11),"")</f>
        <v/>
      </c>
      <c r="Y11">
        <f>IF(AND($N11&gt;0,$N11&lt;&gt;""),$N11-('DDD Model Calculations'!L$13+'DDD Model Calculations'!L$12*WorkingData!$P11),"")</f>
        <v>-199.37426846896705</v>
      </c>
      <c r="Z11">
        <f>IF(AND($N11&gt;0,$N11&lt;&gt;""),$N11-('DDD Model Calculations'!M$13+'DDD Model Calculations'!M$12*WorkingData!$P11),"")</f>
        <v>26.478439123900102</v>
      </c>
      <c r="AA11">
        <f>IF(AND($N11&gt;0,$N11&lt;&gt;""),$N11-('DDD Model Calculations'!N$13+'DDD Model Calculations'!N$12*WorkingData!$P11),"")</f>
        <v>26.478439123900102</v>
      </c>
      <c r="AB11" t="str">
        <f>IF(X11&lt;&gt;"",X11/'DDD Model Calculations'!K$11,"")</f>
        <v/>
      </c>
      <c r="AC11">
        <f>IF(Y11&lt;&gt;"",Y11/'DDD Model Calculations'!L$11,"")</f>
        <v>-0.6556550932067754</v>
      </c>
      <c r="AD11">
        <f>IF(Z11&lt;&gt;"",Z11/'DDD Model Calculations'!M$11,"")</f>
        <v>0.10181595937039507</v>
      </c>
      <c r="AE11">
        <f>IF(AA11&lt;&gt;"",AA11/'DDD Model Calculations'!N$11,"")</f>
        <v>0.10181595937039507</v>
      </c>
      <c r="AF11" t="str">
        <f t="shared" si="8"/>
        <v/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>
      <c r="A12" s="2">
        <v>44747</v>
      </c>
      <c r="B12" s="1">
        <v>32</v>
      </c>
      <c r="C12" s="1">
        <v>37298</v>
      </c>
      <c r="D12" t="str">
        <v>A</v>
      </c>
      <c r="E12">
        <v>4508</v>
      </c>
      <c r="F12">
        <v>213417</v>
      </c>
      <c r="G12">
        <f t="shared" si="12"/>
        <v>136728</v>
      </c>
      <c r="H12" s="2">
        <f t="shared" si="13"/>
        <v>44747</v>
      </c>
      <c r="I12">
        <f t="shared" si="14"/>
        <v>181</v>
      </c>
      <c r="J12">
        <f t="shared" si="15"/>
        <v>1213</v>
      </c>
      <c r="K12">
        <f>IF(AND($H13&gt;0,$H13&lt;&gt;""),VLOOKUP($H13,'Weather Data'!$L$2:$P$4170,'DDD Model Calculations'!$D$22,FALSE),"")</f>
        <v>42207.300010636449</v>
      </c>
      <c r="L12">
        <f>IF(AND($K12&gt;0,$K12&lt;&gt;""),VLOOKUP($H12,'Weather Data'!$L$2:$P$4170,'DDD Model Calculations'!$D$22,FALSE),"")</f>
        <v>44524.100014522672</v>
      </c>
      <c r="M12">
        <f t="shared" si="16"/>
        <v>2316.8000038862228</v>
      </c>
      <c r="N12">
        <f t="shared" si="0"/>
        <v>755.40331491712709</v>
      </c>
      <c r="O12">
        <f t="shared" si="1"/>
        <v>12.800000021470844</v>
      </c>
      <c r="P12">
        <f t="shared" si="17"/>
        <v>7.8000000214708436</v>
      </c>
      <c r="Q12">
        <f t="shared" si="2"/>
        <v>1</v>
      </c>
      <c r="R12">
        <f t="shared" si="3"/>
        <v>4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0</v>
      </c>
      <c r="U12">
        <f t="shared" si="5"/>
        <v>0</v>
      </c>
      <c r="V12">
        <f t="shared" si="6"/>
        <v>1</v>
      </c>
      <c r="W12">
        <f t="shared" si="7"/>
        <v>1</v>
      </c>
      <c r="X12" t="str">
        <f>IF(AND($N12&gt;0,$N12&lt;&gt;"",'DDD Model Calculations'!$K$3&gt;=3),$N12-('DDD Model Calculations'!K$13+'DDD Model Calculations'!K$12*WorkingData!$P12),"")</f>
        <v/>
      </c>
      <c r="Y12">
        <f>IF(AND($N12&gt;0,$N12&lt;&gt;""),$N12-('DDD Model Calculations'!L$13+'DDD Model Calculations'!L$12*WorkingData!$P12),"")</f>
        <v>-254.77695019878047</v>
      </c>
      <c r="Z12">
        <f>IF(AND($N12&gt;0,$N12&lt;&gt;""),$N12-('DDD Model Calculations'!M$13+'DDD Model Calculations'!M$12*WorkingData!$P12),"")</f>
        <v>-149.51417901887692</v>
      </c>
      <c r="AA12">
        <f>IF(AND($N12&gt;0,$N12&lt;&gt;""),$N12-('DDD Model Calculations'!N$13+'DDD Model Calculations'!N$12*WorkingData!$P12),"")</f>
        <v>-149.51417901887692</v>
      </c>
      <c r="AB12" t="str">
        <f>IF(X12&lt;&gt;"",X12/'DDD Model Calculations'!K$11,"")</f>
        <v/>
      </c>
      <c r="AC12">
        <f>IF(Y12&lt;&gt;"",Y12/'DDD Model Calculations'!L$11,"")</f>
        <v>-0.83785037212823854</v>
      </c>
      <c r="AD12">
        <f>IF(Z12&lt;&gt;"",Z12/'DDD Model Calculations'!M$11,"")</f>
        <v>-0.57491793625188992</v>
      </c>
      <c r="AE12">
        <f>IF(AA12&lt;&gt;"",AA12/'DDD Model Calculations'!N$11,"")</f>
        <v>-0.57491793625188992</v>
      </c>
      <c r="AF12" t="str">
        <f t="shared" si="8"/>
        <v/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>
      <c r="A13" s="2">
        <v>44566</v>
      </c>
      <c r="B13" s="1">
        <v>33</v>
      </c>
      <c r="C13" s="1">
        <v>32445</v>
      </c>
      <c r="D13" t="str">
        <v>A</v>
      </c>
      <c r="E13">
        <v>37049</v>
      </c>
      <c r="F13">
        <v>76689</v>
      </c>
      <c r="G13" t="str">
        <f t="shared" si="12"/>
        <v/>
      </c>
      <c r="H13" s="2">
        <f t="shared" si="13"/>
        <v>44566</v>
      </c>
      <c r="I13" t="str">
        <f t="shared" si="14"/>
        <v/>
      </c>
      <c r="J13" t="str">
        <f t="shared" si="15"/>
        <v/>
      </c>
      <c r="K13" t="str">
        <f>IF(AND($H14&gt;0,$H14&lt;&gt;""),VLOOKUP($H14,'Weather Data'!$L$2:$P$4170,'DDD Model Calculations'!$D$22,FALSE),"")</f>
        <v/>
      </c>
      <c r="L13" t="str">
        <f>IF(AND($K13&gt;0,$K13&lt;&gt;""),VLOOKUP($H13,'Weather Data'!$L$2:$P$4170,'DDD Model Calculations'!$D$22,FALSE),"")</f>
        <v/>
      </c>
      <c r="M13" t="str">
        <f t="shared" si="16"/>
        <v/>
      </c>
      <c r="N13" t="str">
        <f t="shared" si="0"/>
        <v/>
      </c>
      <c r="O13" t="str">
        <f t="shared" si="1"/>
        <v/>
      </c>
      <c r="P13" t="str">
        <f t="shared" si="17"/>
        <v/>
      </c>
      <c r="Q13" t="str">
        <f t="shared" si="2"/>
        <v/>
      </c>
      <c r="R13" t="str">
        <f t="shared" si="3"/>
        <v/>
      </c>
      <c r="S13" t="str">
        <f>IF('DDD Model Calculations'!$D$23=1,WorkingData!AF13,IF('DDD Model Calculations'!$D$23=2,WorkingData!AG13,IF('DDD Model Calculations'!$D$23=4,WorkingData!AH13,WorkingData!AI13)))</f>
        <v/>
      </c>
      <c r="T13" t="str">
        <f t="shared" si="4"/>
        <v/>
      </c>
      <c r="U13" t="str">
        <f t="shared" si="5"/>
        <v/>
      </c>
      <c r="V13" t="str">
        <f t="shared" si="6"/>
        <v/>
      </c>
      <c r="W13" t="str">
        <f t="shared" si="7"/>
        <v/>
      </c>
      <c r="X13" t="str">
        <f>IF(AND($N13&gt;0,$N13&lt;&gt;"",'DDD Model Calculations'!$K$3&gt;=3),$N13-('DDD Model Calculations'!K$13+'DDD Model Calculations'!K$12*WorkingData!$P13),"")</f>
        <v/>
      </c>
      <c r="Y13" t="str">
        <f>IF(AND($N13&gt;0,$N13&lt;&gt;""),$N13-('DDD Model Calculations'!L$13+'DDD Model Calculations'!L$12*WorkingData!$P13),"")</f>
        <v/>
      </c>
      <c r="Z13" t="str">
        <f>IF(AND($N13&gt;0,$N13&lt;&gt;""),$N13-('DDD Model Calculations'!M$13+'DDD Model Calculations'!M$12*WorkingData!$P13),"")</f>
        <v/>
      </c>
      <c r="AA13" t="str">
        <f>IF(AND($N13&gt;0,$N13&lt;&gt;""),$N13-('DDD Model Calculations'!N$13+'DDD Model Calculations'!N$12*WorkingData!$P13),"")</f>
        <v/>
      </c>
      <c r="AB13" t="str">
        <f>IF(X13&lt;&gt;"",X13/'DDD Model Calculations'!K$11,"")</f>
        <v/>
      </c>
      <c r="AC13" t="str">
        <f>IF(Y13&lt;&gt;"",Y13/'DDD Model Calculations'!L$11,"")</f>
        <v/>
      </c>
      <c r="AD13" t="str">
        <f>IF(Z13&lt;&gt;"",Z13/'DDD Model Calculations'!M$11,"")</f>
        <v/>
      </c>
      <c r="AE13" t="str">
        <f>IF(AA13&lt;&gt;"",AA13/'DDD Model Calculations'!N$11,"")</f>
        <v/>
      </c>
      <c r="AF13" t="str">
        <f t="shared" si="8"/>
        <v/>
      </c>
      <c r="AG13" t="str">
        <f t="shared" si="9"/>
        <v/>
      </c>
      <c r="AH13" t="str">
        <f t="shared" si="10"/>
        <v/>
      </c>
      <c r="AI13" t="str">
        <f t="shared" si="11"/>
        <v/>
      </c>
    </row>
    <row r="14" spans="1:35">
      <c r="A14" s="2"/>
      <c r="G14" t="str">
        <f t="shared" si="12"/>
        <v/>
      </c>
      <c r="H14" s="2" t="str">
        <f t="shared" si="13"/>
        <v/>
      </c>
      <c r="I14" t="str">
        <f t="shared" si="14"/>
        <v/>
      </c>
      <c r="J14" t="str">
        <f t="shared" si="15"/>
        <v/>
      </c>
      <c r="K14" t="str">
        <f>IF(AND($H15&gt;0,$H15&lt;&gt;""),VLOOKUP($H15,'Weather Data'!$L$2:$P$4170,'DDD Model Calculations'!$D$22,FALSE),"")</f>
        <v/>
      </c>
      <c r="L14" t="str">
        <f>IF(AND($K14&gt;0,$K14&lt;&gt;""),VLOOKUP($H14,'Weather Data'!$L$2:$P$4170,'DDD Model Calculations'!$D$22,FALSE),"")</f>
        <v/>
      </c>
      <c r="M14" t="str">
        <f t="shared" si="16"/>
        <v/>
      </c>
      <c r="N14" t="str">
        <f t="shared" si="0"/>
        <v/>
      </c>
      <c r="O14" t="str">
        <f t="shared" si="1"/>
        <v/>
      </c>
      <c r="P14" t="str">
        <f t="shared" si="17"/>
        <v/>
      </c>
      <c r="Q14" t="str">
        <f t="shared" si="2"/>
        <v/>
      </c>
      <c r="R14" t="str">
        <f t="shared" si="3"/>
        <v/>
      </c>
      <c r="S14" t="str">
        <f>IF('DDD Model Calculations'!$D$23=1,WorkingData!AF14,IF('DDD Model Calculations'!$D$23=2,WorkingData!AG14,IF('DDD Model Calculations'!$D$23=4,WorkingData!AH14,WorkingData!AI14)))</f>
        <v/>
      </c>
      <c r="T14" t="str">
        <f t="shared" si="4"/>
        <v/>
      </c>
      <c r="U14" t="str">
        <f t="shared" si="5"/>
        <v/>
      </c>
      <c r="V14" t="str">
        <f t="shared" si="6"/>
        <v/>
      </c>
      <c r="W14" t="str">
        <f t="shared" si="7"/>
        <v/>
      </c>
      <c r="X14" t="str">
        <f>IF(AND($N14&gt;0,$N14&lt;&gt;"",'DDD Model Calculations'!$K$3&gt;=3),$N14-('DDD Model Calculations'!K$13+'DDD Model Calculations'!K$12*WorkingData!$P14),"")</f>
        <v/>
      </c>
      <c r="Y14" t="str">
        <f>IF(AND($N14&gt;0,$N14&lt;&gt;""),$N14-('DDD Model Calculations'!L$13+'DDD Model Calculations'!L$12*WorkingData!$P14),"")</f>
        <v/>
      </c>
      <c r="Z14" t="str">
        <f>IF(AND($N14&gt;0,$N14&lt;&gt;""),$N14-('DDD Model Calculations'!M$13+'DDD Model Calculations'!M$12*WorkingData!$P14),"")</f>
        <v/>
      </c>
      <c r="AA14" t="str">
        <f>IF(AND($N14&gt;0,$N14&lt;&gt;""),$N14-('DDD Model Calculations'!N$13+'DDD Model Calculations'!N$12*WorkingData!$P14),"")</f>
        <v/>
      </c>
      <c r="AB14" t="str">
        <f>IF(X14&lt;&gt;"",X14/'DDD Model Calculations'!K$11,"")</f>
        <v/>
      </c>
      <c r="AC14" t="str">
        <f>IF(Y14&lt;&gt;"",Y14/'DDD Model Calculations'!L$11,"")</f>
        <v/>
      </c>
      <c r="AD14" t="str">
        <f>IF(Z14&lt;&gt;"",Z14/'DDD Model Calculations'!M$11,"")</f>
        <v/>
      </c>
      <c r="AE14" t="str">
        <f>IF(AA14&lt;&gt;"",AA14/'DDD Model Calculations'!N$11,"")</f>
        <v/>
      </c>
      <c r="AF14" t="str">
        <f t="shared" si="8"/>
        <v/>
      </c>
      <c r="AG14" t="str">
        <f t="shared" si="9"/>
        <v/>
      </c>
      <c r="AH14" t="str">
        <f t="shared" si="10"/>
        <v/>
      </c>
      <c r="AI14" t="str">
        <f t="shared" si="11"/>
        <v/>
      </c>
    </row>
    <row r="15" spans="1:35">
      <c r="A15" s="2"/>
      <c r="G15" t="str">
        <f t="shared" si="12"/>
        <v/>
      </c>
      <c r="H15" s="2" t="str">
        <f t="shared" si="13"/>
        <v/>
      </c>
      <c r="I15" t="str">
        <f t="shared" si="14"/>
        <v/>
      </c>
      <c r="J15" t="str">
        <f t="shared" si="15"/>
        <v/>
      </c>
      <c r="K15" t="str">
        <f>IF(AND($H16&gt;0,$H16&lt;&gt;""),VLOOKUP($H16,'Weather Data'!$L$2:$P$4170,'DDD Model Calculations'!$D$22,FALSE),"")</f>
        <v/>
      </c>
      <c r="L15" t="str">
        <f>IF(AND($K15&gt;0,$K15&lt;&gt;""),VLOOKUP($H15,'Weather Data'!$L$2:$P$4170,'DDD Model Calculations'!$D$22,FALSE),"")</f>
        <v/>
      </c>
      <c r="M15" t="str">
        <f t="shared" si="16"/>
        <v/>
      </c>
      <c r="N15" t="str">
        <f t="shared" si="0"/>
        <v/>
      </c>
      <c r="O15" t="str">
        <f t="shared" si="1"/>
        <v/>
      </c>
      <c r="P15" t="str">
        <f t="shared" si="17"/>
        <v/>
      </c>
      <c r="Q15" t="str">
        <f t="shared" si="2"/>
        <v/>
      </c>
      <c r="R15" t="str">
        <f t="shared" si="3"/>
        <v/>
      </c>
      <c r="S15" t="str">
        <f>IF('DDD Model Calculations'!$D$23=1,WorkingData!AF15,IF('DDD Model Calculations'!$D$23=2,WorkingData!AG15,IF('DDD Model Calculations'!$D$23=4,WorkingData!AH15,WorkingData!AI15)))</f>
        <v/>
      </c>
      <c r="T15" t="str">
        <f t="shared" si="4"/>
        <v/>
      </c>
      <c r="U15" t="str">
        <f t="shared" si="5"/>
        <v/>
      </c>
      <c r="V15" t="str">
        <f t="shared" si="6"/>
        <v/>
      </c>
      <c r="W15" t="str">
        <f t="shared" si="7"/>
        <v/>
      </c>
      <c r="X15" t="str">
        <f>IF(AND($N15&gt;0,$N15&lt;&gt;"",'DDD Model Calculations'!$K$3&gt;=3),$N15-('DDD Model Calculations'!K$13+'DDD Model Calculations'!K$12*WorkingData!$P15),"")</f>
        <v/>
      </c>
      <c r="Y15" t="str">
        <f>IF(AND($N15&gt;0,$N15&lt;&gt;""),$N15-('DDD Model Calculations'!L$13+'DDD Model Calculations'!L$12*WorkingData!$P15),"")</f>
        <v/>
      </c>
      <c r="Z15" t="str">
        <f>IF(AND($N15&gt;0,$N15&lt;&gt;""),$N15-('DDD Model Calculations'!M$13+'DDD Model Calculations'!M$12*WorkingData!$P15),"")</f>
        <v/>
      </c>
      <c r="AA15" t="str">
        <f>IF(AND($N15&gt;0,$N15&lt;&gt;""),$N15-('DDD Model Calculations'!N$13+'DDD Model Calculations'!N$12*WorkingData!$P15),"")</f>
        <v/>
      </c>
      <c r="AB15" t="str">
        <f>IF(X15&lt;&gt;"",X15/'DDD Model Calculations'!K$11,"")</f>
        <v/>
      </c>
      <c r="AC15" t="str">
        <f>IF(Y15&lt;&gt;"",Y15/'DDD Model Calculations'!L$11,"")</f>
        <v/>
      </c>
      <c r="AD15" t="str">
        <f>IF(Z15&lt;&gt;"",Z15/'DDD Model Calculations'!M$11,"")</f>
        <v/>
      </c>
      <c r="AE15" t="str">
        <f>IF(AA15&lt;&gt;"",AA15/'DDD Model Calculations'!N$11,"")</f>
        <v/>
      </c>
      <c r="AF15" t="str">
        <f t="shared" si="8"/>
        <v/>
      </c>
      <c r="AG15" t="str">
        <f t="shared" si="9"/>
        <v/>
      </c>
      <c r="AH15" t="str">
        <f t="shared" si="10"/>
        <v/>
      </c>
      <c r="AI15" t="str">
        <f t="shared" si="11"/>
        <v/>
      </c>
    </row>
    <row r="16" spans="1:35">
      <c r="A16" s="2"/>
      <c r="G16" t="str">
        <f t="shared" si="12"/>
        <v/>
      </c>
      <c r="H16" s="2" t="str">
        <f t="shared" si="13"/>
        <v/>
      </c>
      <c r="I16" t="str">
        <f t="shared" si="14"/>
        <v/>
      </c>
      <c r="J16" t="str">
        <f t="shared" si="15"/>
        <v/>
      </c>
      <c r="K16" t="str">
        <f>IF(AND($H17&gt;0,$H17&lt;&gt;""),VLOOKUP($H17,'Weather Data'!$L$2:$P$4170,'DDD Model Calculations'!$D$22,FALSE),"")</f>
        <v/>
      </c>
      <c r="L16" t="str">
        <f>IF(AND($K16&gt;0,$K16&lt;&gt;""),VLOOKUP($H16,'Weather Data'!$L$2:$P$4170,'DDD Model Calculations'!$D$22,FALSE),"")</f>
        <v/>
      </c>
      <c r="M16" t="str">
        <f t="shared" si="16"/>
        <v/>
      </c>
      <c r="N16" t="str">
        <f t="shared" si="0"/>
        <v/>
      </c>
      <c r="O16" t="str">
        <f t="shared" si="1"/>
        <v/>
      </c>
      <c r="P16" t="str">
        <f t="shared" si="17"/>
        <v/>
      </c>
      <c r="Q16" t="str">
        <f t="shared" si="2"/>
        <v/>
      </c>
      <c r="R16" t="str">
        <f t="shared" si="3"/>
        <v/>
      </c>
      <c r="S16" t="str">
        <f>IF('DDD Model Calculations'!$D$23=1,WorkingData!AF16,IF('DDD Model Calculations'!$D$23=2,WorkingData!AG16,IF('DDD Model Calculations'!$D$23=4,WorkingData!AH16,WorkingData!AI16)))</f>
        <v/>
      </c>
      <c r="T16" t="str">
        <f t="shared" si="4"/>
        <v/>
      </c>
      <c r="U16" t="str">
        <f t="shared" si="5"/>
        <v/>
      </c>
      <c r="V16" t="str">
        <f t="shared" si="6"/>
        <v/>
      </c>
      <c r="W16" t="str">
        <f t="shared" si="7"/>
        <v/>
      </c>
      <c r="X16" t="str">
        <f>IF(AND($N16&gt;0,$N16&lt;&gt;"",'DDD Model Calculations'!$K$3&gt;=3),$N16-('DDD Model Calculations'!K$13+'DDD Model Calculations'!K$12*WorkingData!$P16),"")</f>
        <v/>
      </c>
      <c r="Y16" t="str">
        <f>IF(AND($N16&gt;0,$N16&lt;&gt;""),$N16-('DDD Model Calculations'!L$13+'DDD Model Calculations'!L$12*WorkingData!$P16),"")</f>
        <v/>
      </c>
      <c r="Z16" t="str">
        <f>IF(AND($N16&gt;0,$N16&lt;&gt;""),$N16-('DDD Model Calculations'!M$13+'DDD Model Calculations'!M$12*WorkingData!$P16),"")</f>
        <v/>
      </c>
      <c r="AA16" t="str">
        <f>IF(AND($N16&gt;0,$N16&lt;&gt;""),$N16-('DDD Model Calculations'!N$13+'DDD Model Calculations'!N$12*WorkingData!$P16),"")</f>
        <v/>
      </c>
      <c r="AB16" t="str">
        <f>IF(X16&lt;&gt;"",X16/'DDD Model Calculations'!K$11,"")</f>
        <v/>
      </c>
      <c r="AC16" t="str">
        <f>IF(Y16&lt;&gt;"",Y16/'DDD Model Calculations'!L$11,"")</f>
        <v/>
      </c>
      <c r="AD16" t="str">
        <f>IF(Z16&lt;&gt;"",Z16/'DDD Model Calculations'!M$11,"")</f>
        <v/>
      </c>
      <c r="AE16" t="str">
        <f>IF(AA16&lt;&gt;"",AA16/'DDD Model Calculations'!N$11,"")</f>
        <v/>
      </c>
      <c r="AF16" t="str">
        <f t="shared" si="8"/>
        <v/>
      </c>
      <c r="AG16" t="str">
        <f t="shared" si="9"/>
        <v/>
      </c>
      <c r="AH16" t="str">
        <f t="shared" si="10"/>
        <v/>
      </c>
      <c r="AI16" t="str">
        <f t="shared" si="11"/>
        <v/>
      </c>
    </row>
    <row r="17" spans="1:35">
      <c r="A17" s="2"/>
      <c r="G17" t="str">
        <f t="shared" si="12"/>
        <v/>
      </c>
      <c r="H17" s="2" t="str">
        <f t="shared" si="13"/>
        <v/>
      </c>
      <c r="I17" t="str">
        <f t="shared" si="14"/>
        <v/>
      </c>
      <c r="J17" t="str">
        <f t="shared" si="15"/>
        <v/>
      </c>
      <c r="K17" t="str">
        <f>IF(AND($H18&gt;0,$H18&lt;&gt;""),VLOOKUP($H18,'Weather Data'!$L$2:$P$4170,'DDD Model Calculations'!$D$22,FALSE),"")</f>
        <v/>
      </c>
      <c r="L17" t="str">
        <f>IF(AND($K17&gt;0,$K17&lt;&gt;""),VLOOKUP($H17,'Weather Data'!$L$2:$P$4170,'DDD Model Calculations'!$D$22,FALSE),"")</f>
        <v/>
      </c>
      <c r="M17" t="str">
        <f t="shared" si="16"/>
        <v/>
      </c>
      <c r="N17" t="str">
        <f t="shared" si="0"/>
        <v/>
      </c>
      <c r="O17" t="str">
        <f t="shared" si="1"/>
        <v/>
      </c>
      <c r="P17" t="str">
        <f t="shared" si="17"/>
        <v/>
      </c>
      <c r="Q17" t="str">
        <f t="shared" si="2"/>
        <v/>
      </c>
      <c r="R17" t="str">
        <f t="shared" si="3"/>
        <v/>
      </c>
      <c r="S17" t="str">
        <f>IF('DDD Model Calculations'!$D$23=1,WorkingData!AF17,IF('DDD Model Calculations'!$D$23=2,WorkingData!AG17,IF('DDD Model Calculations'!$D$23=4,WorkingData!AH17,WorkingData!AI17)))</f>
        <v/>
      </c>
      <c r="T17" t="str">
        <f t="shared" si="4"/>
        <v/>
      </c>
      <c r="U17" t="str">
        <f t="shared" si="5"/>
        <v/>
      </c>
      <c r="V17" t="str">
        <f t="shared" si="6"/>
        <v/>
      </c>
      <c r="W17" t="str">
        <f t="shared" si="7"/>
        <v/>
      </c>
      <c r="X17" t="str">
        <f>IF(AND($N17&gt;0,$N17&lt;&gt;"",'DDD Model Calculations'!$K$3&gt;=3),$N17-('DDD Model Calculations'!K$13+'DDD Model Calculations'!K$12*WorkingData!$P17),"")</f>
        <v/>
      </c>
      <c r="Y17" t="str">
        <f>IF(AND($N17&gt;0,$N17&lt;&gt;""),$N17-('DDD Model Calculations'!L$13+'DDD Model Calculations'!L$12*WorkingData!$P17),"")</f>
        <v/>
      </c>
      <c r="Z17" t="str">
        <f>IF(AND($N17&gt;0,$N17&lt;&gt;""),$N17-('DDD Model Calculations'!M$13+'DDD Model Calculations'!M$12*WorkingData!$P17),"")</f>
        <v/>
      </c>
      <c r="AA17" t="str">
        <f>IF(AND($N17&gt;0,$N17&lt;&gt;""),$N17-('DDD Model Calculations'!N$13+'DDD Model Calculations'!N$12*WorkingData!$P17),"")</f>
        <v/>
      </c>
      <c r="AB17" t="str">
        <f>IF(X17&lt;&gt;"",X17/'DDD Model Calculations'!K$11,"")</f>
        <v/>
      </c>
      <c r="AC17" t="str">
        <f>IF(Y17&lt;&gt;"",Y17/'DDD Model Calculations'!L$11,"")</f>
        <v/>
      </c>
      <c r="AD17" t="str">
        <f>IF(Z17&lt;&gt;"",Z17/'DDD Model Calculations'!M$11,"")</f>
        <v/>
      </c>
      <c r="AE17" t="str">
        <f>IF(AA17&lt;&gt;"",AA17/'DDD Model Calculations'!N$11,"")</f>
        <v/>
      </c>
      <c r="AF17" t="str">
        <f t="shared" si="8"/>
        <v/>
      </c>
      <c r="AG17" t="str">
        <f t="shared" si="9"/>
        <v/>
      </c>
      <c r="AH17" t="str">
        <f t="shared" si="10"/>
        <v/>
      </c>
      <c r="AI17" t="str">
        <f t="shared" si="11"/>
        <v/>
      </c>
    </row>
    <row r="18" spans="1:35">
      <c r="A18" s="2"/>
      <c r="G18" t="str">
        <f t="shared" si="12"/>
        <v/>
      </c>
      <c r="H18" s="2" t="str">
        <f t="shared" si="13"/>
        <v/>
      </c>
      <c r="I18" t="str">
        <f t="shared" si="14"/>
        <v/>
      </c>
      <c r="J18" t="str">
        <f t="shared" si="15"/>
        <v/>
      </c>
      <c r="K18" t="str">
        <f>IF(AND($H19&gt;0,$H19&lt;&gt;""),VLOOKUP($H19,'Weather Data'!$L$2:$P$4170,'DDD Model Calculations'!$D$22,FALSE),"")</f>
        <v/>
      </c>
      <c r="L18" t="str">
        <f>IF(AND($K18&gt;0,$K18&lt;&gt;""),VLOOKUP($H18,'Weather Data'!$L$2:$P$4170,'DDD Model Calculations'!$D$22,FALSE),"")</f>
        <v/>
      </c>
      <c r="M18" t="str">
        <f t="shared" si="16"/>
        <v/>
      </c>
      <c r="N18" t="str">
        <f t="shared" si="0"/>
        <v/>
      </c>
      <c r="O18" t="str">
        <f t="shared" si="1"/>
        <v/>
      </c>
      <c r="P18" t="str">
        <f t="shared" si="17"/>
        <v/>
      </c>
      <c r="Q18" t="str">
        <f t="shared" si="2"/>
        <v/>
      </c>
      <c r="R18" t="str">
        <f t="shared" si="3"/>
        <v/>
      </c>
      <c r="S18" t="str">
        <f>IF('DDD Model Calculations'!$D$23=1,WorkingData!AF18,IF('DDD Model Calculations'!$D$23=2,WorkingData!AG18,IF('DDD Model Calculations'!$D$23=4,WorkingData!AH18,WorkingData!AI18)))</f>
        <v/>
      </c>
      <c r="T18" t="str">
        <f t="shared" si="4"/>
        <v/>
      </c>
      <c r="U18" t="str">
        <f t="shared" si="5"/>
        <v/>
      </c>
      <c r="V18" t="str">
        <f t="shared" si="6"/>
        <v/>
      </c>
      <c r="W18" t="str">
        <f t="shared" si="7"/>
        <v/>
      </c>
      <c r="X18" t="str">
        <f>IF(AND($N18&gt;0,$N18&lt;&gt;"",'DDD Model Calculations'!$K$3&gt;=3),$N18-('DDD Model Calculations'!K$13+'DDD Model Calculations'!K$12*WorkingData!$P18),"")</f>
        <v/>
      </c>
      <c r="Y18" t="str">
        <f>IF(AND($N18&gt;0,$N18&lt;&gt;""),$N18-('DDD Model Calculations'!L$13+'DDD Model Calculations'!L$12*WorkingData!$P18),"")</f>
        <v/>
      </c>
      <c r="Z18" t="str">
        <f>IF(AND($N18&gt;0,$N18&lt;&gt;""),$N18-('DDD Model Calculations'!M$13+'DDD Model Calculations'!M$12*WorkingData!$P18),"")</f>
        <v/>
      </c>
      <c r="AA18" t="str">
        <f>IF(AND($N18&gt;0,$N18&lt;&gt;""),$N18-('DDD Model Calculations'!N$13+'DDD Model Calculations'!N$12*WorkingData!$P18),"")</f>
        <v/>
      </c>
      <c r="AB18" t="str">
        <f>IF(X18&lt;&gt;"",X18/'DDD Model Calculations'!K$11,"")</f>
        <v/>
      </c>
      <c r="AC18" t="str">
        <f>IF(Y18&lt;&gt;"",Y18/'DDD Model Calculations'!L$11,"")</f>
        <v/>
      </c>
      <c r="AD18" t="str">
        <f>IF(Z18&lt;&gt;"",Z18/'DDD Model Calculations'!M$11,"")</f>
        <v/>
      </c>
      <c r="AE18" t="str">
        <f>IF(AA18&lt;&gt;"",AA18/'DDD Model Calculations'!N$11,"")</f>
        <v/>
      </c>
      <c r="AF18" t="str">
        <f t="shared" si="8"/>
        <v/>
      </c>
      <c r="AG18" t="str">
        <f t="shared" si="9"/>
        <v/>
      </c>
      <c r="AH18" t="str">
        <f t="shared" si="10"/>
        <v/>
      </c>
      <c r="AI18" t="str">
        <f t="shared" si="11"/>
        <v/>
      </c>
    </row>
    <row r="19" spans="1:35">
      <c r="A19" s="2"/>
      <c r="G19" t="str">
        <f t="shared" si="12"/>
        <v/>
      </c>
      <c r="H19" s="2" t="str">
        <f t="shared" si="13"/>
        <v/>
      </c>
      <c r="I19" t="str">
        <f t="shared" si="14"/>
        <v/>
      </c>
      <c r="J19" t="str">
        <f t="shared" si="15"/>
        <v/>
      </c>
      <c r="K19" t="str">
        <f>IF(AND($H20&gt;0,$H20&lt;&gt;""),VLOOKUP($H20,'Weather Data'!$L$2:$P$4170,'DDD Model Calculations'!$D$22,FALSE),"")</f>
        <v/>
      </c>
      <c r="L19" t="str">
        <f>IF(AND($K19&gt;0,$K19&lt;&gt;""),VLOOKUP($H19,'Weather Data'!$L$2:$P$4170,'DDD Model Calculations'!$D$22,FALSE),"")</f>
        <v/>
      </c>
      <c r="M19" t="str">
        <f t="shared" si="16"/>
        <v/>
      </c>
      <c r="N19" t="str">
        <f t="shared" si="0"/>
        <v/>
      </c>
      <c r="O19" t="str">
        <f t="shared" si="1"/>
        <v/>
      </c>
      <c r="P19" t="str">
        <f t="shared" si="17"/>
        <v/>
      </c>
      <c r="Q19" t="str">
        <f t="shared" si="2"/>
        <v/>
      </c>
      <c r="R19" t="str">
        <f t="shared" si="3"/>
        <v/>
      </c>
      <c r="S19" t="str">
        <f>IF('DDD Model Calculations'!$D$23=1,WorkingData!AF19,IF('DDD Model Calculations'!$D$23=2,WorkingData!AG19,IF('DDD Model Calculations'!$D$23=4,WorkingData!AH19,WorkingData!AI19)))</f>
        <v/>
      </c>
      <c r="T19" t="str">
        <f t="shared" si="4"/>
        <v/>
      </c>
      <c r="U19" t="str">
        <f t="shared" si="5"/>
        <v/>
      </c>
      <c r="V19" t="str">
        <f t="shared" si="6"/>
        <v/>
      </c>
      <c r="W19" t="str">
        <f t="shared" si="7"/>
        <v/>
      </c>
      <c r="X19" t="str">
        <f>IF(AND($N19&gt;0,$N19&lt;&gt;"",'DDD Model Calculations'!$K$3&gt;=3),$N19-('DDD Model Calculations'!K$13+'DDD Model Calculations'!K$12*WorkingData!$P19),"")</f>
        <v/>
      </c>
      <c r="Y19" t="str">
        <f>IF(AND($N19&gt;0,$N19&lt;&gt;""),$N19-('DDD Model Calculations'!L$13+'DDD Model Calculations'!L$12*WorkingData!$P19),"")</f>
        <v/>
      </c>
      <c r="Z19" t="str">
        <f>IF(AND($N19&gt;0,$N19&lt;&gt;""),$N19-('DDD Model Calculations'!M$13+'DDD Model Calculations'!M$12*WorkingData!$P19),"")</f>
        <v/>
      </c>
      <c r="AA19" t="str">
        <f>IF(AND($N19&gt;0,$N19&lt;&gt;""),$N19-('DDD Model Calculations'!N$13+'DDD Model Calculations'!N$12*WorkingData!$P19),"")</f>
        <v/>
      </c>
      <c r="AB19" t="str">
        <f>IF(X19&lt;&gt;"",X19/'DDD Model Calculations'!K$11,"")</f>
        <v/>
      </c>
      <c r="AC19" t="str">
        <f>IF(Y19&lt;&gt;"",Y19/'DDD Model Calculations'!L$11,"")</f>
        <v/>
      </c>
      <c r="AD19" t="str">
        <f>IF(Z19&lt;&gt;"",Z19/'DDD Model Calculations'!M$11,"")</f>
        <v/>
      </c>
      <c r="AE19" t="str">
        <f>IF(AA19&lt;&gt;"",AA19/'DDD Model Calculations'!N$11,"")</f>
        <v/>
      </c>
      <c r="AF19" t="str">
        <f t="shared" si="8"/>
        <v/>
      </c>
      <c r="AG19" t="str">
        <f t="shared" si="9"/>
        <v/>
      </c>
      <c r="AH19" t="str">
        <f t="shared" si="10"/>
        <v/>
      </c>
      <c r="AI19" t="str">
        <f t="shared" si="11"/>
        <v/>
      </c>
    </row>
    <row r="20" spans="1:35">
      <c r="A20" s="2"/>
      <c r="G20" t="str">
        <f t="shared" si="12"/>
        <v/>
      </c>
      <c r="H20" s="2" t="str">
        <f t="shared" si="13"/>
        <v/>
      </c>
      <c r="I20" t="str">
        <f t="shared" si="14"/>
        <v/>
      </c>
      <c r="J20" t="str">
        <f t="shared" si="15"/>
        <v/>
      </c>
      <c r="K20" t="str">
        <f>IF(AND($H21&gt;0,$H21&lt;&gt;""),VLOOKUP($H21,'Weather Data'!$L$2:$P$4170,'DDD Model Calculations'!$D$22,FALSE),"")</f>
        <v/>
      </c>
      <c r="L20" t="str">
        <f>IF(AND($K20&gt;0,$K20&lt;&gt;""),VLOOKUP($H20,'Weather Data'!$L$2:$P$4170,'DDD Model Calculations'!$D$22,FALSE),"")</f>
        <v/>
      </c>
      <c r="M20" t="str">
        <f t="shared" si="16"/>
        <v/>
      </c>
      <c r="N20" t="str">
        <f t="shared" si="0"/>
        <v/>
      </c>
      <c r="O20" t="str">
        <f t="shared" si="1"/>
        <v/>
      </c>
      <c r="P20" t="str">
        <f t="shared" si="17"/>
        <v/>
      </c>
      <c r="Q20" t="str">
        <f t="shared" si="2"/>
        <v/>
      </c>
      <c r="R20" t="str">
        <f t="shared" si="3"/>
        <v/>
      </c>
      <c r="S20" t="str">
        <f>IF('DDD Model Calculations'!$D$23=1,WorkingData!AF20,IF('DDD Model Calculations'!$D$23=2,WorkingData!AG20,IF('DDD Model Calculations'!$D$23=4,WorkingData!AH20,WorkingData!AI20)))</f>
        <v/>
      </c>
      <c r="T20" t="str">
        <f t="shared" si="4"/>
        <v/>
      </c>
      <c r="U20" t="str">
        <f t="shared" si="5"/>
        <v/>
      </c>
      <c r="V20" t="str">
        <f t="shared" si="6"/>
        <v/>
      </c>
      <c r="W20" t="str">
        <f t="shared" si="7"/>
        <v/>
      </c>
      <c r="X20" t="str">
        <f>IF(AND($N20&gt;0,$N20&lt;&gt;"",'DDD Model Calculations'!$K$3&gt;=3),$N20-('DDD Model Calculations'!K$13+'DDD Model Calculations'!K$12*WorkingData!$P20),"")</f>
        <v/>
      </c>
      <c r="Y20" t="str">
        <f>IF(AND($N20&gt;0,$N20&lt;&gt;""),$N20-('DDD Model Calculations'!L$13+'DDD Model Calculations'!L$12*WorkingData!$P20),"")</f>
        <v/>
      </c>
      <c r="Z20" t="str">
        <f>IF(AND($N20&gt;0,$N20&lt;&gt;""),$N20-('DDD Model Calculations'!M$13+'DDD Model Calculations'!M$12*WorkingData!$P20),"")</f>
        <v/>
      </c>
      <c r="AA20" t="str">
        <f>IF(AND($N20&gt;0,$N20&lt;&gt;""),$N20-('DDD Model Calculations'!N$13+'DDD Model Calculations'!N$12*WorkingData!$P20),"")</f>
        <v/>
      </c>
      <c r="AB20" t="str">
        <f>IF(X20&lt;&gt;"",X20/'DDD Model Calculations'!K$11,"")</f>
        <v/>
      </c>
      <c r="AC20" t="str">
        <f>IF(Y20&lt;&gt;"",Y20/'DDD Model Calculations'!L$11,"")</f>
        <v/>
      </c>
      <c r="AD20" t="str">
        <f>IF(Z20&lt;&gt;"",Z20/'DDD Model Calculations'!M$11,"")</f>
        <v/>
      </c>
      <c r="AE20" t="str">
        <f>IF(AA20&lt;&gt;"",AA20/'DDD Model Calculations'!N$11,"")</f>
        <v/>
      </c>
      <c r="AF20" t="str">
        <f t="shared" si="8"/>
        <v/>
      </c>
      <c r="AG20" t="str">
        <f t="shared" si="9"/>
        <v/>
      </c>
      <c r="AH20" t="str">
        <f t="shared" si="10"/>
        <v/>
      </c>
      <c r="AI20" t="str">
        <f t="shared" si="11"/>
        <v/>
      </c>
    </row>
    <row r="21" spans="1:35">
      <c r="A21" s="2"/>
      <c r="G21" t="str">
        <f t="shared" si="12"/>
        <v/>
      </c>
      <c r="H21" s="2" t="str">
        <f t="shared" si="13"/>
        <v/>
      </c>
      <c r="I21" t="str">
        <f t="shared" si="14"/>
        <v/>
      </c>
      <c r="J21" t="str">
        <f t="shared" si="15"/>
        <v/>
      </c>
      <c r="K21" t="str">
        <f>IF(AND($H22&gt;0,$H22&lt;&gt;""),VLOOKUP($H22,'Weather Data'!$L$2:$P$4170,'DDD Model Calculations'!$D$22,FALSE),"")</f>
        <v/>
      </c>
      <c r="L21" t="str">
        <f>IF(AND($K21&gt;0,$K21&lt;&gt;""),VLOOKUP($H21,'Weather Data'!$L$2:$P$4170,'DDD Model Calculations'!$D$22,FALSE),"")</f>
        <v/>
      </c>
      <c r="M21" t="str">
        <f t="shared" si="16"/>
        <v/>
      </c>
      <c r="N21" t="str">
        <f t="shared" si="0"/>
        <v/>
      </c>
      <c r="O21" t="str">
        <f t="shared" si="1"/>
        <v/>
      </c>
      <c r="P21" t="str">
        <f t="shared" si="17"/>
        <v/>
      </c>
      <c r="Q21" t="str">
        <f t="shared" si="2"/>
        <v/>
      </c>
      <c r="R21" t="str">
        <f t="shared" si="3"/>
        <v/>
      </c>
      <c r="S21" t="str">
        <f>IF('DDD Model Calculations'!$D$23=1,WorkingData!AF21,IF('DDD Model Calculations'!$D$23=2,WorkingData!AG21,IF('DDD Model Calculations'!$D$23=4,WorkingData!AH21,WorkingData!AI21)))</f>
        <v/>
      </c>
      <c r="T21" t="str">
        <f t="shared" si="4"/>
        <v/>
      </c>
      <c r="U21" t="str">
        <f t="shared" si="5"/>
        <v/>
      </c>
      <c r="V21" t="str">
        <f t="shared" si="6"/>
        <v/>
      </c>
      <c r="W21" t="str">
        <f t="shared" si="7"/>
        <v/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>
      <c r="A22" s="2"/>
      <c r="G22" t="str">
        <f t="shared" si="12"/>
        <v/>
      </c>
      <c r="H22" s="2" t="str">
        <f t="shared" si="13"/>
        <v/>
      </c>
      <c r="I22" t="str">
        <f t="shared" si="14"/>
        <v/>
      </c>
      <c r="J22" t="str">
        <f t="shared" si="15"/>
        <v/>
      </c>
      <c r="K22" t="str">
        <f>IF(AND($H23&gt;0,$H23&lt;&gt;""),VLOOKUP($H23,'Weather Data'!$L$2:$P$4170,'DDD Model Calculations'!$D$22,FALSE),"")</f>
        <v/>
      </c>
      <c r="L22" t="str">
        <f>IF(AND($K22&gt;0,$K22&lt;&gt;""),VLOOKUP($H22,'Weather Data'!$L$2:$P$4170,'DDD Model Calculations'!$D$22,FALSE),"")</f>
        <v/>
      </c>
      <c r="M22" t="str">
        <f t="shared" si="16"/>
        <v/>
      </c>
      <c r="N22" t="str">
        <f t="shared" si="0"/>
        <v/>
      </c>
      <c r="O22" t="str">
        <f t="shared" si="1"/>
        <v/>
      </c>
      <c r="P22" t="str">
        <f t="shared" si="17"/>
        <v/>
      </c>
      <c r="Q22" t="str">
        <f t="shared" si="2"/>
        <v/>
      </c>
      <c r="R22" t="str">
        <f t="shared" si="3"/>
        <v/>
      </c>
      <c r="S22" t="str">
        <f>IF('DDD Model Calculations'!$D$23=1,WorkingData!AF22,IF('DDD Model Calculations'!$D$23=2,WorkingData!AG22,IF('DDD Model Calculations'!$D$23=4,WorkingData!AH22,WorkingData!AI22)))</f>
        <v/>
      </c>
      <c r="T22" t="str">
        <f t="shared" si="4"/>
        <v/>
      </c>
      <c r="U22" t="str">
        <f t="shared" si="5"/>
        <v/>
      </c>
      <c r="V22" t="str">
        <f t="shared" si="6"/>
        <v/>
      </c>
      <c r="W22" t="str">
        <f t="shared" si="7"/>
        <v/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>
      <c r="A23" s="2"/>
      <c r="G23" t="str">
        <f t="shared" si="12"/>
        <v/>
      </c>
      <c r="H23" s="2" t="str">
        <f t="shared" si="13"/>
        <v/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topLeftCell="A109" workbookViewId="0">
      <selection activeCell="A32" sqref="A32"/>
    </sheetView>
  </sheetViews>
  <sheetFormatPr defaultColWidth="11" defaultRowHeight="15.6"/>
  <cols>
    <col min="1" max="1" width="10.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44382</v>
      </c>
      <c r="B2">
        <v>35</v>
      </c>
      <c r="C2">
        <v>30088</v>
      </c>
      <c r="D2" t="str">
        <v>E</v>
      </c>
      <c r="E2">
        <v>760</v>
      </c>
      <c r="F2">
        <f>E2</f>
        <v>760</v>
      </c>
    </row>
    <row r="3" spans="1:6">
      <c r="A3" s="20">
        <v>44412</v>
      </c>
      <c r="B3">
        <v>30</v>
      </c>
      <c r="C3">
        <v>30094</v>
      </c>
      <c r="D3" t="str">
        <v>E</v>
      </c>
      <c r="E3">
        <v>169</v>
      </c>
      <c r="F3">
        <f>E3+F2</f>
        <v>929</v>
      </c>
    </row>
    <row r="4" spans="1:6">
      <c r="A4" s="20">
        <v>44473</v>
      </c>
      <c r="B4">
        <v>159</v>
      </c>
      <c r="C4">
        <v>0</v>
      </c>
      <c r="D4" t="str">
        <v>E</v>
      </c>
      <c r="E4">
        <v>8593</v>
      </c>
      <c r="F4">
        <f t="shared" ref="F4:F67" si="0">E4+F3</f>
        <v>9522</v>
      </c>
    </row>
    <row r="5" spans="1:6">
      <c r="A5" s="20">
        <v>44503</v>
      </c>
      <c r="B5">
        <v>30</v>
      </c>
      <c r="C5">
        <v>30361</v>
      </c>
      <c r="D5" t="str">
        <v>E</v>
      </c>
      <c r="E5">
        <v>8452</v>
      </c>
      <c r="F5">
        <f t="shared" si="0"/>
        <v>17974</v>
      </c>
    </row>
    <row r="6" spans="1:6">
      <c r="A6" s="20">
        <v>44533</v>
      </c>
      <c r="B6">
        <v>30</v>
      </c>
      <c r="C6">
        <v>31130</v>
      </c>
      <c r="D6" t="str">
        <v>E</v>
      </c>
      <c r="E6">
        <v>21666</v>
      </c>
      <c r="F6">
        <f t="shared" si="0"/>
        <v>39640</v>
      </c>
    </row>
    <row r="7" spans="1:6">
      <c r="A7" s="20">
        <v>44566</v>
      </c>
      <c r="B7">
        <v>33</v>
      </c>
      <c r="C7">
        <v>32445</v>
      </c>
      <c r="D7" t="str">
        <v>A</v>
      </c>
      <c r="E7">
        <v>37049</v>
      </c>
      <c r="F7">
        <f t="shared" si="0"/>
        <v>76689</v>
      </c>
    </row>
    <row r="8" spans="1:6">
      <c r="A8" s="20">
        <v>44595</v>
      </c>
      <c r="B8">
        <v>29</v>
      </c>
      <c r="C8">
        <v>33739</v>
      </c>
      <c r="D8" t="str">
        <v>E</v>
      </c>
      <c r="E8">
        <v>36457</v>
      </c>
      <c r="F8">
        <f t="shared" si="0"/>
        <v>113146</v>
      </c>
    </row>
    <row r="9" spans="1:6">
      <c r="A9" s="20">
        <v>44624</v>
      </c>
      <c r="B9">
        <v>29</v>
      </c>
      <c r="C9">
        <v>34862</v>
      </c>
      <c r="D9" t="str">
        <v>E</v>
      </c>
      <c r="E9">
        <v>31639</v>
      </c>
      <c r="F9">
        <f t="shared" si="0"/>
        <v>144785</v>
      </c>
    </row>
    <row r="10" spans="1:6">
      <c r="A10" s="20">
        <v>44655</v>
      </c>
      <c r="B10">
        <v>31</v>
      </c>
      <c r="C10">
        <v>35762</v>
      </c>
      <c r="D10" t="str">
        <v>E</v>
      </c>
      <c r="E10">
        <v>25357</v>
      </c>
      <c r="F10">
        <f t="shared" si="0"/>
        <v>170142</v>
      </c>
    </row>
    <row r="11" spans="1:6">
      <c r="A11" s="20">
        <v>44715</v>
      </c>
      <c r="B11">
        <v>60</v>
      </c>
      <c r="C11">
        <v>37069</v>
      </c>
      <c r="D11" t="str">
        <v>E</v>
      </c>
      <c r="E11">
        <v>38767</v>
      </c>
      <c r="F11">
        <f t="shared" si="0"/>
        <v>208909</v>
      </c>
    </row>
    <row r="12" spans="1:6">
      <c r="A12" s="20">
        <v>44747</v>
      </c>
      <c r="B12">
        <v>32</v>
      </c>
      <c r="C12">
        <v>37298</v>
      </c>
      <c r="D12" t="str">
        <v>A</v>
      </c>
      <c r="E12">
        <v>4508</v>
      </c>
      <c r="F12">
        <f t="shared" si="0"/>
        <v>213417</v>
      </c>
    </row>
    <row r="13" spans="1:6">
      <c r="A13" s="20">
        <v>44778</v>
      </c>
      <c r="B13">
        <v>31</v>
      </c>
      <c r="C13">
        <v>37369</v>
      </c>
      <c r="D13" t="str">
        <v>E</v>
      </c>
      <c r="E13">
        <v>0</v>
      </c>
      <c r="F13">
        <f t="shared" si="0"/>
        <v>213417</v>
      </c>
    </row>
    <row r="14" spans="1:6">
      <c r="A14" s="20">
        <v>44811</v>
      </c>
      <c r="B14">
        <v>64</v>
      </c>
      <c r="C14">
        <v>0</v>
      </c>
      <c r="D14" t="str">
        <v>A</v>
      </c>
      <c r="E14">
        <v>1719</v>
      </c>
      <c r="F14">
        <f t="shared" si="0"/>
        <v>215136</v>
      </c>
    </row>
    <row r="15" spans="1:6">
      <c r="A15" s="20">
        <v>44839</v>
      </c>
      <c r="B15">
        <v>28</v>
      </c>
      <c r="C15">
        <v>37391</v>
      </c>
      <c r="D15" t="str">
        <v>E</v>
      </c>
      <c r="E15">
        <v>901</v>
      </c>
      <c r="F15">
        <f t="shared" si="0"/>
        <v>216037</v>
      </c>
    </row>
    <row r="16" spans="1:6">
      <c r="A16" s="20">
        <v>44866</v>
      </c>
      <c r="B16">
        <v>27</v>
      </c>
      <c r="C16">
        <v>37892</v>
      </c>
      <c r="D16" t="str">
        <v>A</v>
      </c>
      <c r="E16">
        <v>14115</v>
      </c>
      <c r="F16">
        <f t="shared" si="0"/>
        <v>230152</v>
      </c>
    </row>
    <row r="17" spans="1:6">
      <c r="A17" s="20">
        <v>44897</v>
      </c>
      <c r="B17">
        <v>31</v>
      </c>
      <c r="C17">
        <v>38717</v>
      </c>
      <c r="D17" t="str">
        <v>E</v>
      </c>
      <c r="E17">
        <v>23244</v>
      </c>
      <c r="F17">
        <f t="shared" si="0"/>
        <v>253396</v>
      </c>
    </row>
    <row r="18" spans="1:6">
      <c r="A18" s="20">
        <v>44960</v>
      </c>
      <c r="B18">
        <v>63</v>
      </c>
      <c r="C18">
        <v>39916</v>
      </c>
      <c r="D18" t="str">
        <v>E</v>
      </c>
      <c r="E18">
        <v>68913</v>
      </c>
      <c r="F18">
        <f t="shared" si="0"/>
        <v>322309</v>
      </c>
    </row>
    <row r="19" spans="1:6">
      <c r="A19" s="20">
        <v>44991</v>
      </c>
      <c r="B19">
        <v>31</v>
      </c>
      <c r="C19">
        <v>42308</v>
      </c>
      <c r="D19" t="str">
        <v>E</v>
      </c>
      <c r="E19">
        <v>32259</v>
      </c>
      <c r="F19">
        <f t="shared" si="0"/>
        <v>354568</v>
      </c>
    </row>
    <row r="20" spans="1:6">
      <c r="A20" s="20">
        <v>45020</v>
      </c>
      <c r="B20">
        <v>29</v>
      </c>
      <c r="C20">
        <v>43294</v>
      </c>
      <c r="D20" t="str">
        <v>E</v>
      </c>
      <c r="E20">
        <v>27779</v>
      </c>
      <c r="F20">
        <f t="shared" si="0"/>
        <v>382347</v>
      </c>
    </row>
    <row r="21" spans="1:6">
      <c r="A21" s="20">
        <v>45050</v>
      </c>
      <c r="B21">
        <v>30</v>
      </c>
      <c r="C21">
        <v>43649</v>
      </c>
      <c r="D21" t="str">
        <v>A</v>
      </c>
      <c r="E21">
        <v>10002</v>
      </c>
      <c r="F21">
        <f t="shared" si="0"/>
        <v>392349</v>
      </c>
    </row>
    <row r="22" spans="1:6">
      <c r="A22" s="20">
        <v>45082</v>
      </c>
      <c r="B22">
        <v>32</v>
      </c>
      <c r="C22">
        <v>44012</v>
      </c>
      <c r="D22" t="str">
        <v>E</v>
      </c>
      <c r="E22">
        <v>0</v>
      </c>
      <c r="F22">
        <f t="shared" si="0"/>
        <v>392349</v>
      </c>
    </row>
    <row r="23" spans="1:6">
      <c r="A23" s="20">
        <v>45107</v>
      </c>
      <c r="B23">
        <v>57</v>
      </c>
      <c r="C23">
        <v>0</v>
      </c>
      <c r="D23" t="str">
        <v>A</v>
      </c>
      <c r="E23">
        <v>4000</v>
      </c>
      <c r="F23">
        <f t="shared" si="0"/>
        <v>396349</v>
      </c>
    </row>
    <row r="24" spans="1:6">
      <c r="A24" s="20">
        <v>45141</v>
      </c>
      <c r="B24">
        <v>34</v>
      </c>
      <c r="C24">
        <v>43871</v>
      </c>
      <c r="D24" t="str">
        <v>E</v>
      </c>
      <c r="E24">
        <v>2254</v>
      </c>
      <c r="F24">
        <f t="shared" si="0"/>
        <v>398603</v>
      </c>
    </row>
    <row r="25" spans="1:6">
      <c r="A25" s="20">
        <v>45174</v>
      </c>
      <c r="B25">
        <v>33</v>
      </c>
      <c r="C25">
        <v>43948</v>
      </c>
      <c r="D25" t="str">
        <v>E</v>
      </c>
      <c r="E25">
        <v>2169</v>
      </c>
      <c r="F25">
        <f t="shared" si="0"/>
        <v>400772</v>
      </c>
    </row>
    <row r="26" spans="1:6">
      <c r="A26" s="20">
        <v>45204</v>
      </c>
      <c r="B26">
        <v>30</v>
      </c>
      <c r="C26">
        <v>44018</v>
      </c>
      <c r="D26" t="str">
        <v>E</v>
      </c>
      <c r="E26">
        <v>1972</v>
      </c>
      <c r="F26">
        <f t="shared" si="0"/>
        <v>402744</v>
      </c>
    </row>
    <row r="27" spans="1:6">
      <c r="A27" s="20">
        <v>45232</v>
      </c>
      <c r="B27">
        <v>28</v>
      </c>
      <c r="C27">
        <v>44357</v>
      </c>
      <c r="D27" t="str">
        <v>A</v>
      </c>
      <c r="E27">
        <v>9551</v>
      </c>
      <c r="F27">
        <f t="shared" si="0"/>
        <v>412295</v>
      </c>
    </row>
    <row r="28" spans="1:6">
      <c r="A28" s="20">
        <v>45262</v>
      </c>
      <c r="B28">
        <v>30</v>
      </c>
      <c r="C28">
        <v>45146</v>
      </c>
      <c r="D28" t="str">
        <v>E</v>
      </c>
      <c r="E28">
        <v>22229</v>
      </c>
      <c r="F28">
        <f t="shared" si="0"/>
        <v>434524</v>
      </c>
    </row>
    <row r="29" spans="1:6">
      <c r="A29" s="20">
        <v>45294</v>
      </c>
      <c r="B29">
        <v>32</v>
      </c>
      <c r="C29">
        <v>46382</v>
      </c>
      <c r="D29" t="str">
        <v>A</v>
      </c>
      <c r="E29">
        <v>34823</v>
      </c>
      <c r="F29">
        <f t="shared" si="0"/>
        <v>469347</v>
      </c>
    </row>
    <row r="30" spans="1:6">
      <c r="A30" s="20">
        <v>45323</v>
      </c>
      <c r="B30">
        <v>29</v>
      </c>
      <c r="C30">
        <v>47734</v>
      </c>
      <c r="D30" t="str">
        <v>A</v>
      </c>
      <c r="E30">
        <v>38091</v>
      </c>
      <c r="F30">
        <f t="shared" si="0"/>
        <v>507438</v>
      </c>
    </row>
    <row r="31" spans="1:6">
      <c r="A31" s="20">
        <v>45352</v>
      </c>
      <c r="B31">
        <v>29</v>
      </c>
      <c r="C31">
        <v>49417</v>
      </c>
      <c r="D31" t="str">
        <v>A</v>
      </c>
      <c r="E31">
        <v>47417</v>
      </c>
      <c r="F31">
        <f t="shared" si="0"/>
        <v>554855</v>
      </c>
    </row>
    <row r="32" spans="1:6">
      <c r="A32" s="20">
        <v>45385</v>
      </c>
      <c r="B32">
        <v>33</v>
      </c>
      <c r="C32">
        <v>50308</v>
      </c>
      <c r="D32" t="str">
        <v>E</v>
      </c>
      <c r="E32">
        <v>25103</v>
      </c>
      <c r="F32">
        <f t="shared" si="0"/>
        <v>579958</v>
      </c>
    </row>
    <row r="33" spans="1:6">
      <c r="A33" s="20">
        <v>45413</v>
      </c>
      <c r="B33">
        <v>28</v>
      </c>
      <c r="C33">
        <v>50741</v>
      </c>
      <c r="D33" t="str">
        <v>E</v>
      </c>
      <c r="E33">
        <v>12200</v>
      </c>
      <c r="F33">
        <f t="shared" si="0"/>
        <v>592158</v>
      </c>
    </row>
    <row r="34" spans="1:6">
      <c r="A34" s="20">
        <v>45447</v>
      </c>
      <c r="B34">
        <v>34</v>
      </c>
      <c r="C34">
        <v>50821</v>
      </c>
      <c r="D34" t="str">
        <v>E</v>
      </c>
      <c r="E34">
        <v>2254</v>
      </c>
      <c r="F34">
        <f t="shared" si="0"/>
        <v>594412</v>
      </c>
    </row>
    <row r="35" spans="1:6">
      <c r="A35" s="20">
        <v>45476</v>
      </c>
      <c r="B35">
        <v>29</v>
      </c>
      <c r="C35">
        <v>50889</v>
      </c>
      <c r="D35" t="str">
        <v>E</v>
      </c>
      <c r="E35">
        <v>1916</v>
      </c>
      <c r="F35">
        <f t="shared" si="0"/>
        <v>596328</v>
      </c>
    </row>
    <row r="36" spans="1:6">
      <c r="A36" s="20">
        <v>45505</v>
      </c>
      <c r="B36">
        <v>29</v>
      </c>
      <c r="C36">
        <v>50961</v>
      </c>
      <c r="D36" t="str">
        <v>E</v>
      </c>
      <c r="E36">
        <v>2029</v>
      </c>
      <c r="F36">
        <f t="shared" si="0"/>
        <v>598357</v>
      </c>
    </row>
    <row r="37" spans="1:6">
      <c r="A37" s="20">
        <v>45538</v>
      </c>
      <c r="B37">
        <v>33</v>
      </c>
      <c r="C37">
        <v>51043</v>
      </c>
      <c r="D37" t="str">
        <v>E</v>
      </c>
      <c r="E37">
        <v>2310</v>
      </c>
      <c r="F37">
        <f t="shared" si="0"/>
        <v>600667</v>
      </c>
    </row>
    <row r="38" spans="1:6">
      <c r="A38" s="20">
        <v>45568</v>
      </c>
      <c r="B38">
        <v>30</v>
      </c>
      <c r="C38">
        <v>51118</v>
      </c>
      <c r="D38" t="str">
        <v>E</v>
      </c>
      <c r="E38">
        <v>2113</v>
      </c>
      <c r="F38">
        <f t="shared" si="0"/>
        <v>602780</v>
      </c>
    </row>
    <row r="39" spans="1:6">
      <c r="A39" s="20">
        <v>45597</v>
      </c>
      <c r="B39">
        <v>29</v>
      </c>
      <c r="C39">
        <v>51428</v>
      </c>
      <c r="D39" t="str">
        <v>E</v>
      </c>
      <c r="E39">
        <v>8734</v>
      </c>
      <c r="F39">
        <f t="shared" si="0"/>
        <v>611514</v>
      </c>
    </row>
    <row r="40" spans="1:6">
      <c r="A40" s="20">
        <v>45629</v>
      </c>
      <c r="B40">
        <v>32</v>
      </c>
      <c r="C40">
        <v>52198</v>
      </c>
      <c r="D40" t="str">
        <v>E</v>
      </c>
      <c r="E40">
        <v>21694</v>
      </c>
      <c r="F40">
        <f t="shared" si="0"/>
        <v>633208</v>
      </c>
    </row>
    <row r="41" spans="1:6">
      <c r="A41" s="20">
        <v>45660</v>
      </c>
      <c r="B41">
        <v>31</v>
      </c>
      <c r="C41">
        <v>53405</v>
      </c>
      <c r="D41" t="str">
        <v>E</v>
      </c>
      <c r="E41">
        <v>34006</v>
      </c>
      <c r="F41">
        <f t="shared" si="0"/>
        <v>667214</v>
      </c>
    </row>
    <row r="42" spans="1:6">
      <c r="A42" s="20">
        <v>45691</v>
      </c>
      <c r="B42">
        <v>31</v>
      </c>
      <c r="C42">
        <v>55031</v>
      </c>
      <c r="D42" t="str">
        <v>E</v>
      </c>
      <c r="E42">
        <v>45811</v>
      </c>
      <c r="F42">
        <f t="shared" si="0"/>
        <v>713025</v>
      </c>
    </row>
    <row r="43" spans="1:6">
      <c r="A43" s="20">
        <v>45721</v>
      </c>
      <c r="B43">
        <v>369</v>
      </c>
      <c r="C43">
        <v>800</v>
      </c>
      <c r="D43" t="str">
        <v>E</v>
      </c>
      <c r="E43">
        <v>206374</v>
      </c>
      <c r="F43">
        <f t="shared" si="0"/>
        <v>919399</v>
      </c>
    </row>
    <row r="44" spans="1:6">
      <c r="A44" s="20">
        <v>45748</v>
      </c>
      <c r="B44">
        <v>27</v>
      </c>
      <c r="C44">
        <v>7297</v>
      </c>
      <c r="D44" t="str">
        <v>A</v>
      </c>
      <c r="E44">
        <v>16791</v>
      </c>
      <c r="F44">
        <f t="shared" si="0"/>
        <v>936190</v>
      </c>
    </row>
    <row r="45" spans="1:6">
      <c r="A45" s="20">
        <v>45779</v>
      </c>
      <c r="B45">
        <v>31</v>
      </c>
      <c r="C45">
        <v>7984</v>
      </c>
      <c r="D45" t="str">
        <v>A</v>
      </c>
      <c r="E45">
        <v>19356</v>
      </c>
      <c r="F45">
        <f t="shared" si="0"/>
        <v>955546</v>
      </c>
    </row>
    <row r="46" spans="1:6">
      <c r="A46" s="20">
        <v>0</v>
      </c>
      <c r="B46">
        <v>0</v>
      </c>
      <c r="C46">
        <v>0</v>
      </c>
      <c r="D46">
        <v>0</v>
      </c>
      <c r="E46">
        <v>0</v>
      </c>
      <c r="F46">
        <f t="shared" si="0"/>
        <v>955546</v>
      </c>
    </row>
    <row r="47" spans="1:6">
      <c r="A47" s="20">
        <v>0</v>
      </c>
      <c r="B47">
        <v>0</v>
      </c>
      <c r="C47">
        <v>0</v>
      </c>
      <c r="D47">
        <v>0</v>
      </c>
      <c r="E47">
        <v>0</v>
      </c>
      <c r="F47">
        <f t="shared" si="0"/>
        <v>955546</v>
      </c>
    </row>
    <row r="48" spans="1:6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955546</v>
      </c>
    </row>
    <row r="49" spans="1:6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955546</v>
      </c>
    </row>
    <row r="50" spans="1:6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955546</v>
      </c>
    </row>
    <row r="51" spans="1:6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955546</v>
      </c>
    </row>
    <row r="52" spans="1:6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955546</v>
      </c>
    </row>
    <row r="53" spans="1:6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955546</v>
      </c>
    </row>
    <row r="54" spans="1:6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955546</v>
      </c>
    </row>
    <row r="55" spans="1:6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955546</v>
      </c>
    </row>
    <row r="56" spans="1:6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955546</v>
      </c>
    </row>
    <row r="57" spans="1:6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955546</v>
      </c>
    </row>
    <row r="58" spans="1:6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955546</v>
      </c>
    </row>
    <row r="59" spans="1:6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955546</v>
      </c>
    </row>
    <row r="60" spans="1:6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955546</v>
      </c>
    </row>
    <row r="61" spans="1:6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955546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955546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955546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955546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955546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955546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955546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955546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955546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955546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955546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955546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955546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955546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955546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955546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955546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955546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955546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955546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955546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955546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955546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955546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955546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955546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955546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955546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955546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955546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955546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955546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955546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955546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955546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955546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955546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955546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955546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955546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955546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955546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955546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955546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955546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955546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955546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955546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955546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955546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955546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955546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955546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955546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955546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955546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955546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955546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955546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955546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955546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955546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955546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955546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955546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955546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955546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955546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955546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955546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955546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955546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955546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51" activePane="bottomRight" state="frozen"/>
      <selection pane="bottomRight" activeCell="H4139" sqref="H4139:K4170"/>
      <selection pane="bottomLeft" activeCell="A32" sqref="A32"/>
      <selection pane="topRight" activeCell="A32" sqref="A32"/>
    </sheetView>
  </sheetViews>
  <sheetFormatPr defaultColWidth="8.75" defaultRowHeight="15.6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-3.0999999046325684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21.099999904632568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38814.450002387166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2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16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38830.450002387166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-0.10000000149011612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18.100000001490116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38848.550002388656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0.5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17.5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38866.050002388656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-0.30000001192092896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18.300000011920929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38884.350002400577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1.2999999523162842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16.700000047683716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38901.050002448261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0.20000000298023224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17.799999997019768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38918.850002445281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-2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20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38938.850002445281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-0.69999998807907104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18.699999988079071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38957.55000243336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-3.9000000953674316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21.900000095367432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38979.450002528727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-2.2999999523162842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20.299999952316284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38999.750002481043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-1.8999999761581421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19.899999976158142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39019.650002457201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2.2000000476837158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15.799999952316284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39035.450002409518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3.0999999046325684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14.900000095367432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39050.350002504885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1.2999999523162842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16.700000047683716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39067.050002552569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-1.1000000238418579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19.100000023841858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39086.150002576411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1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17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39103.150002576411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-0.80000001192092896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18.800000011920929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39121.950002588332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-2.2999999523162842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20.299999952316284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39142.250002540648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-4.0999999046325684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22.099999904632568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39164.350002445281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0.69999998807907104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17.300000011920929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39181.650002457201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-3.0999999046325684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21.099999904632568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39202.750002361834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-6.3000001907348633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24.300000190734863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39227.050002552569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-6.3000001907348633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24.300000190734863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39251.350002743304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-2.5999999046325684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20.599999904632568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39271.950002647936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-1.7999999523162842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19.799999952316284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39291.750002600253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-5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23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39314.750002600253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-7.0999999046325684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25.099999904632568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39339.850002504885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-7.4000000953674316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25.400000095367432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39365.250002600253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-8.8999996185302734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26.899999618530273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39392.150002218783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-3.0999999046325684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21.099999904632568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39413.250002123415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-3.4000000953674316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21.400000095367432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39434.650002218783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-1.7000000476837158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19.700000047683716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39454.350002266467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-3.5999999046325684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21.599999904632568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39475.950002171099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-3.5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21.5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39497.450002171099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-3.7999999523162842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21.799999952316284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39519.250002123415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-7.5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25.5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39544.750002123415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-11.5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29.5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39574.250002123415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-11.300000190734863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29.300000190734863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39603.55000231415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-9.6000003814697266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27.600000381469727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39631.15000269562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-11.5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29.5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39660.65000269562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-8.3000001907348633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26.300000190734863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39686.950002886355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-8.8000001907348633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26.800000190734863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39713.75000307709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-8.8999996185302734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26.899999618530273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39740.65000269562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-10.399999618530273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28.399999618530273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39769.05000231415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-8.8999996185302734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26.899999618530273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39795.950001932681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-11.899999618530273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29.899999618530273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39825.850001551211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-15.300000190734863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33.300000190734863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39859.150001741946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-9.6999998092651367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27.699999809265137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39886.850001551211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-5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23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39909.850001551211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-8.8000001907348633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26.800000190734863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39936.650001741946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-9.5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27.5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39964.150001741946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0.5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39981.650001741946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3.2999999523162842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14.700000047683716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39996.350001789629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5.1999998092651367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12.800000190734863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40009.150001980364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-0.69999998807907104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18.699999988079071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40027.850001968443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-1.2999999523162842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19.299999952316284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40047.15000192076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4.5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13.5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40060.65000192076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4.0999999046325684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13.900000095367432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40074.550002016127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-1.7000000476837158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19.700000047683716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40094.250002063811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-4.5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22.5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40116.750002063811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3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15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40131.750002063811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-2.7999999523162842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20.799999952316284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40152.550002016127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-1.3999999761581421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19.399999976158142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40171.950001992285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-3.5999999046325684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21.599999904632568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40193.550001896918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-3.7999999523162842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21.799999952316284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40215.350001849234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5.9000000953674316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12.099999904632568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40227.450001753867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4.9000000953674316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13.099999904632568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40240.550001658499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10.399999618530273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7.6000003814697266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40248.150002039969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13.399999618530273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4.6000003814697266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40252.750002421439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5.1999998092651367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12.800000190734863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40265.550002612174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1.7999999523162842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16.200000047683716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40281.750002659857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0.20000000298023224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17.799999997019768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40299.550002656877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-2.4000000953674316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20.400000095367432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40319.950002752244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3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15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40334.950002752244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14.5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40349.450002752244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1.7000000476837158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16.299999952316284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40365.750002704561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-1.5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19.5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40385.250002704561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3.0999999046325684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14.900000095367432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40400.150002799928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6.4000000953674316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11.599999904632568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40411.750002704561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11.399999618530273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6.6000003814697266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40418.35000308603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11.800000190734863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6.1999998092651367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40424.550002895296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16.200000762939453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1.7999992370605469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40426.350002132356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10.899999618530273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7.1000003814697266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40433.450002513826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4.1999998092651367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13.800000190734863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40447.250002704561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5.1999998092651367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12.800000190734863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40460.050002895296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5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13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40473.050002895296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3.9000000953674316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14.099999904632568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40487.150002799928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12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40493.150002799928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6.0999999046325684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11.900000095367432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40505.050002895296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-2.5999999046325684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20.599999904632568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40525.650002799928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0.20000000298023224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17.799999997019768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40543.450002796948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6.3000001907348633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11.699999809265137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40555.150002606213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6.9000000953674316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11.099999904632568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40566.250002510846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6.8000001907348633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11.199999809265137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40577.450002320111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14.5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3.5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40580.950002320111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17.399999618530273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0.60000038146972656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40581.550002701581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19.700000762939453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0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40581.550002701581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16.799999237060547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1.2000007629394531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40582.75000346452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15.600000381469727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2.3999996185302734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40585.15000308305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14.300000190734863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3.6999998092651367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40588.850002892315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11.399999618530273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6.6000003814697266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40595.450003273785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12.199999809265137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5.8000001907348633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40601.25000346452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7.9000000953674316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10.099999904632568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40611.350003369153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4.6999998092651367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13.300000190734863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40624.650003559887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3.7999999523162842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14.200000047683716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40638.850003607571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7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11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40649.850003607571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9.1999998092651367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8.8000001907348633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40658.650003798306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11.199999809265137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6.8000001907348633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40665.450003989041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2.5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15.5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40680.950003989041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1.2000000476837158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16.799999952316284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40697.750003941357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2.9000000953674316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15.099999904632568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40712.85000384599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8.5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9.5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40722.35000384599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9.6000003814697266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8.3999996185302734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40730.75000346452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5.5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12.5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40743.25000346452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4.1999998092651367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13.800000190734863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40757.050003655255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/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8.1500000953674316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40765.200003750622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15.5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2.5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40767.700003750622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7.6999998092651367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10.300000190734863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40778.000003941357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7.3000001907348633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10.699999809265137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40788.700003750622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7.5999999046325684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10.400000095367432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40799.10000384599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17.299999237060547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0.70000076293945313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40799.800004608929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14.899999618530273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3.1000003814697266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40802.900004990399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11.399999618530273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6.6000003814697266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40809.500005371869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4.9000000953674316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13.099999904632568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40822.600005276501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5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40835.600005276501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8.6000003814697266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9.3999996185302734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40845.000004895031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5.9000000953674316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12.099999904632568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40857.100004799664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6.4000000953674316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11.599999904632568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40868.700004704297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6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40880.700004704297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6.0999999046325684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11.900000095367432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40892.600004799664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11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40903.600004799664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8.6999998092651367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9.3000001907348633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40912.900004990399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12.100000381469727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5.8999996185302734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40918.800004608929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14.100000381469727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3.8999996185302734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40922.700004227459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14.399999618530273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3.6000003814697266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40926.300004608929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16.299999237060547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1.7000007629394531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40928.000005371869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16.600000381469727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1.3999996185302734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40929.400004990399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20.200000762939453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0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40929.400004990399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23.5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40929.400004990399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23.700000762939453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40929.400004990399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23.100000381469727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40929.400004990399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18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40929.400004990399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18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0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40929.400004990399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24.200000762939453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40929.400004990399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16.700000762939453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1.2999992370605469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40930.700004227459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9.3000001907348633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8.6999998092651367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40939.400004036725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7.4000000953674316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10.599999904632568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40950.000003941357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10.199999809265137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7.8000001907348633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40957.800004132092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10.899999618530273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7.1000003814697266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40964.900004513562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14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40968.900004513562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17.799999237060547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0.20000076293945313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40969.100005276501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16.5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1.5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40970.600005276501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20.299999237060547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40970.600005276501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/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40970.600005276501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25.399999618530273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40970.600005276501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25.100000381469727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40970.600005276501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24.799999237060547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40970.600005276501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/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40970.600005276501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22.799999237060547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40970.600005276501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23.700000762939453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40970.600005276501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20.799999237060547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40970.600005276501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21.899999618530273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40970.600005276501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18.899999618530273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40970.600005276501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18.100000381469727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40970.600005276501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16.200000762939453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1.7999992370605469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40972.400004513562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14.199999809265137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3.8000001907348633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40976.200004704297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17.5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0.5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40976.700004704297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23.100000381469727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40976.700004704297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20.100000381469727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40976.700004704297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20.399999618530273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0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40976.700004704297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18.899999618530273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0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40976.700004704297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13.800000190734863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4.1999998092651367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40980.900004513562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16.200000762939453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1.7999992370605469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40982.700003750622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21.700000762939453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40982.700003750622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21.5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40982.700003750622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24.600000381469727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40982.700003750622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26.399999618530273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40982.700003750622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22.200000762939453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40982.700003750622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26.399999618530273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40982.700003750622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22.799999237060547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40982.700003750622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18.700000762939453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0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40982.700003750622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/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40982.700003750622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20.100000381469727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40982.700003750622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40982.700003750622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25.799999237060547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40982.700003750622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26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40982.700003750622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21.399999618530273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40982.700003750622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20.399999618530273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0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40982.700003750622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15.399999618530273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2.6000003814697266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40985.300004132092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16.299999237060547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1.7000007629394531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40987.000004895031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18.100000381469727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0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40987.000004895031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20.100000381469727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40987.000004895031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23.100000381469727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40987.000004895031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25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40987.000004895031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24.299999237060547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40987.000004895031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19.600000381469727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40987.000004895031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19.899999618530273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40987.000004895031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20.399999618530273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40987.000004895031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20.899999618530273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40987.000004895031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23.700000762939453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40987.000004895031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17.299999237060547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0.70000076293945313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40987.700005657971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18.200000762939453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40987.700005657971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20.200000762939453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40987.700005657971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23.600000381469727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40987.700005657971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24.5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40987.700005657971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23.299999237060547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40987.700005657971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22.100000381469727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40987.700005657971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20.600000381469727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40987.700005657971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23.5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40987.700005657971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2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40989.700005657971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18.100000381469727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40989.700005657971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19.200000762939453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0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40989.700005657971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18.899999618530273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40989.700005657971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18.799999237060547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40989.700005657971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19.299999237060547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40989.700005657971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21.399999618530273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40989.700005657971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22.600000381469727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40989.700005657971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23.100000381469727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40989.700005657971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22.700000762939453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40989.700005657971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25.899999618530273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40989.700005657971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25.600000381469727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40989.700005657971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25.399999618530273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40989.700005657971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25.200000762939453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40989.700005657971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21.899999618530273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40989.700005657971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17.399999618530273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0.60000038146972656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40990.300006039441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16.399999618530273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1.6000003814697266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40991.90000642091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17.299999237060547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0.70000076293945313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40992.60000718385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21.5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40992.60000718385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21.299999237060547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40992.60000718385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22.799999237060547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40992.60000718385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20.799999237060547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40992.60000718385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22.899999618530273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40992.60000718385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23.100000381469727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40992.60000718385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23.899999618530273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40992.60000718385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24.899999618530273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40992.60000718385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25.700000762939453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40992.60000718385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22.899999618530273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40992.60000718385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23.200000762939453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40992.60000718385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25.899999618530273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40992.60000718385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25.899999618530273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40992.60000718385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23.200000762939453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40992.60000718385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20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0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40992.60000718385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19.200000762939453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0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40992.60000718385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16.5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1.5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40994.10000718385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15.699999809265137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2.3000001907348633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40996.400007374585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18.5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40996.400007374585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21.700000762939453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0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40996.400007374585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17.5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0.5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40996.900007374585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19.600000381469727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0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40996.900007374585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20.100000381469727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0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40996.900007374585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16.799999237060547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1.2000007629394531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40998.100008137524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17.799999237060547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0.20000076293945313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40998.300008900464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20.399999618530273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0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40998.300008900464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20.5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0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40998.300008900464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18.100000381469727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0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40998.300008900464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22.899999618530273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0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40998.300008900464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17.600000381469727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0.39999961853027344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40998.700008518994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18.600000381469727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40998.700008518994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21.600000381469727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0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40998.700008518994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16.200000762939453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1.7999992370605469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41000.500007756054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17.299999237060547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0.70000076293945313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41001.200008518994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21.399999618530273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41001.200008518994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19.100000381469727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0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41001.200008518994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14.300000190734863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3.6999998092651367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41004.900008328259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12.399999618530273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5.6000003814697266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41010.500008709729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15.399999618530273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2.6000003814697266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41013.100009091198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13.5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4.5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41017.600009091198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13.699999809265137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4.3000001907348633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41021.900009281933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20.799999237060547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0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41021.900009281933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14.100000381469727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3.8999996185302734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41025.800008900464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5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41030.800008900464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12.399999618530273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5.6000003814697266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41036.400009281933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15.199999809265137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2.8000001907348633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41039.200009472668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18.799999237060547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41039.200009472668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19.399999618530273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41039.200009472668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19.899999618530273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0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41039.200009472668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17.799999237060547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0.20000076293945313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41039.400010235608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17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41040.400010235608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20.200000762939453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0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41040.400010235608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20.200000762939453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0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41040.400010235608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20.700000762939453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0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41040.400010235608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19.299999237060547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41040.400010235608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22.200000762939453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41040.400010235608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20.399999618530273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41040.400010235608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18.799999237060547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0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41040.400010235608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19.899999618530273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0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41040.400010235608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15.5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2.5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41042.900010235608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12.5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5.5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41048.400010235608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11.800000190734863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6.1999998092651367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41054.600010044873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10.100000381469727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7.8999996185302734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41062.500009663403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14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4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41066.500009663403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15.399999618530273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2.6000003814697266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41069.100010044873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12.800000190734863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5.1999998092651367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41074.300009854138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6.9000000953674316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11.099999904632568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41085.40000975877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5.5999999046325684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12.400000095367432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41097.800009854138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5.8000001907348633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12.199999809265137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41110.000009663403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8.5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9.5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41119.500009663403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8.1999998092651367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9.8000001907348633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41129.300009854138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8.8999996185302734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9.1000003814697266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41138.400010235608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10.399999618530273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7.6000003814697266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41146.000010617077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11.199999809265137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6.8000001907348633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41152.800010807812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10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8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41160.800010807812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9.5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8.5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41169.300010807812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6.0999999046325684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11.900000095367432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41181.20001090318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4.5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13.5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41194.70001090318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3.0999999046325684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14.900000095367432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41209.600010998547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2.5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15.5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41225.100010998547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3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41240.100010998547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4.6999998092651367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13.300000190734863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41253.400011189282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9.8999996185302734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8.1000003814697266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41261.500011570752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11.5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6.5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41268.000011570752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10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8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41276.000011570752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6.9000000953674316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11.099999904632568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41287.100011475384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12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6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41293.100011475384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7.1999998092651367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10.800000190734863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41303.900011666119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4.4000000953674316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13.599999904632568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41317.500011570752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2.2000000476837158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15.799999952316284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41333.300011523068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2.9000000953674316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15.099999904632568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41348.400011427701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2.7000000476837158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15.299999952316284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41363.700011380017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9.5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8.5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41372.200011380017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4.5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13.5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41385.700011380017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2.2999999523162842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15.700000047683716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41401.400011427701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1.6000000238418579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16.399999976158142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41417.800011403859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2.0999999046325684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15.900000095367432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41433.700011499226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-0.80000001192092896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18.800000011920929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41452.500011511147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-1.1000000238418579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19.100000023841858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41471.600011534989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3.7000000476837158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14.299999952316284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41485.900011487305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3.2000000476837158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14.799999952316284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41500.700011439621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-1.6000000238418579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19.600000023841858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41520.300011463463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-3.0999999046325684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21.099999904632568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41541.400011368096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-0.30000001192092896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18.300000011920929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41559.700011380017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0.5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17.5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41577.200011380017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1.8999999761581421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16.100000023841858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41593.300011403859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2.0999999046325684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15.900000095367432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41609.200011499226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6.5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11.5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41620.700011499226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2.2999999523162842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15.700000047683716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41636.40001154691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2.0999999046325684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15.900000095367432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41652.300011642277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/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15.900000095367432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41668.200011737645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/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23.199999809265137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41691.40001154691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-5.1999998092651367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23.199999809265137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41714.600011356175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-3.5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21.5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41736.100011356175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-1.3999999761581421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19.399999976158142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41755.500011332333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4.8000001907348633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13.199999809265137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41768.700011141598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8.8999996185302734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9.1000003814697266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41777.800011523068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4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14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41791.800011523068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2.9000000953674316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15.099999904632568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41806.900011427701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2.5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15.5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41822.400011427701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8.1000003814697266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9.8999996185302734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41832.300011046231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9.8000001907348633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8.1999998092651367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41840.500010855496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1.2999999523162842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16.700000047683716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41857.20001090318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0.10000000149011612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17.899999998509884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41875.10001090169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-2.9000000953674316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20.900000095367432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41896.000010997057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0.5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17.5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41913.500010997057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-0.69999998807907104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18.699999988079071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41932.200010985136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-1.7999999523162842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19.799999952316284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41952.000010937452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-3.0999999046325684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21.099999904632568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41973.100010842085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2.7000000476837158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15.299999952316284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41988.400010794401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5.0999999046325684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12.900000095367432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42001.300010889769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0.20000000298023224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17.799999997019768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42019.100010886788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0.80000001192092896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17.199999988079071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42036.300010874867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0.60000002384185791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17.399999976158142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42053.700010851026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1.5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16.5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42070.200010851026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1.1000000238418579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16.899999976158142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42087.100010827184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3.4000000953674316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14.599999904632568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42101.700010731816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1.2000000476837158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16.799999952316284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42118.500010684133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-4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22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42140.500010684133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-6.9000000953674316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24.900000095367432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42165.4000107795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-2.7999999523162842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20.799999952316284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42186.200010731816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-3.0999999046325684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21.099999904632568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42207.300010636449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-6.5999999046325684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24.599999904632568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42231.900010541081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-11.800000190734863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29.800000190734863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42261.700010731816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-7.5999999046325684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25.599999904632568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42287.300010636449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-4.0999999046325684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22.099999904632568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42309.400010541081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-10.199999809265137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28.199999809265137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42337.600010350347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-8.3000001907348633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26.300000190734863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42363.900010541081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-0.10000000149011612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18.100000001490116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42382.000010542572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-1.1000000238418579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19.100000023841858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42401.100010566413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-7.1999998092651367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25.199999809265137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42426.300010375679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-14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32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42458.300010375679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-8.8999996185302734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26.899999618530273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42485.200009994209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-3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21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42506.200009994209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19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42525.200009994209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19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42544.200009994209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-8.5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26.5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42570.700009994209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-9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27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42597.700009994209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-7.5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25.5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42623.200009994209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-10.100000381469727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28.100000381469727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42651.300010375679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-10.100000381469727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28.100000381469727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42679.400010757148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-10.300000190734863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28.300000190734863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42707.700010947883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-11.699999809265137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29.699999809265137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42737.400010757148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-9.1000003814697266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27.100000381469727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42764.500011138618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-10.699999809265137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28.699999809265137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42793.200010947883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-12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30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42823.200010947883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-10.600000381469727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28.600000381469727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42851.800011329353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-9.5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27.5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42879.300011329353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-1.2000000476837158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19.200000047683716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42898.500011377037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-0.40000000596046448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18.400000005960464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42916.900011382997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-5.6999998092651367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23.699999809265137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42940.600011192262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-9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42967.600011192262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-10.899999618530273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28.899999618530273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42996.500010810792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-5.1999998092651367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23.199999809265137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43019.700010620058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-3.0999999046325684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21.099999904632568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43040.80001052469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-4.3000001907348633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22.300000190734863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43063.100010715425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0.89999997615814209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17.100000023841858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43080.200010739267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0.10000000149011612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17.899999998509884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43098.100010737777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0.10000000149011612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17.899999998509884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43116.000010736287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-3.7000000476837158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21.700000047683716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43137.70001078397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-8.8000001907348633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26.800000190734863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43164.500010974705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-10.5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28.5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43193.000010974705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-5.9000000953674316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23.900000095367432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43216.900011070073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2.5999999046325684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15.400000095367432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43232.30001116544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1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43249.30001116544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-6.5999999046325684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24.599999904632568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43273.900011070073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-6.5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24.5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43298.400011070073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-2.5999999046325684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20.599999904632568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43319.000010974705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1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17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43336.000010974705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4.5999999046325684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13.400000095367432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43349.400011070073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-3.0999999046325684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21.099999904632568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43370.500010974705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-6.3000001907348633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24.300000190734863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43394.80001116544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-8.8000001907348633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26.800000190734863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43421.600011356175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-6.4000000953674316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24.400000095367432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43446.000011451542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-1.1000000238418579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19.100000023841858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43465.100011475384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-3.7999999523162842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21.799999952316284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43486.900011427701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/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19.799999974668026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43506.700011402369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0.20000000298023224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17.799999997019768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43524.500011399388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-5.0999999046325684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23.099999904632568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43547.600011304021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-2.4000000953674316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20.400000095367432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43568.000011399388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3.5999999046325684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14.400000095367432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43582.400011494756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9.1000003814697266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8.8999996185302734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43591.300011113286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0.5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17.5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43608.800011113286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-0.80000001192092896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18.800000011920929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43627.600011125207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1.2999999523162842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16.700000047683716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43644.300011172891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-0.30000001192092896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18.300000011920929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43662.600011184812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-3.0999999046325684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21.099999904632568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43683.700011089444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-8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26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43709.700011089444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-6.0999999046325684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24.099999904632568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43733.800010994077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1.5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16.5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43750.300010994077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0.30000001192092896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17.699999988079071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43768.000010982156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6.3000001907348633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11.699999809265137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43779.700010791421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12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6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43785.700010791421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3.9000000953674316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14.099999904632568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43799.800010696054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6.5999999046325684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11.400000095367432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43811.200010791421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6.3000001907348633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11.699999809265137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43822.900010600686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4.1999998092651367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13.800000190734863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43836.700010791421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3.2000000476837158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14.799999952316284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43851.500010743737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4.5999999046325684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13.400000095367432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43864.900010839105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8.3000001907348633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9.6999998092651367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43874.60001064837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4.4000000953674316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13.599999904632568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43888.200010553002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-0.30000001192092896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18.300000011920929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43906.500010564923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-5.1999998092651367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23.199999809265137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43929.700010374188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-5.5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23.5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43953.200010374188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-3.2000000476837158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21.200000047683716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43974.400010421872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4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14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43988.400010421872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8.3999996185302734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9.6000003814697266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43998.000010803342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1.2999999523162842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16.700000047683716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44014.700010851026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0.80000001192092896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17.199999988079071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44031.900010839105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0.60000002384185791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17.399999976158142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44049.300010815263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0.5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17.5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44066.800010815263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5.0999999046325684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12.900000095367432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44079.70001091063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7.4000000953674316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10.599999904632568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44090.300010815263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6.8000001907348633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11.199999809265137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44101.500010624528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5.9000000953674316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12.099999904632568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44113.60001052916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1.6000000238418579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16.399999976158142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44130.000010505319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4.6999998092651367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13.300000190734863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44143.300010696054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11.800000190734863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6.1999998092651367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44149.500010505319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10.300000190734863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7.6999998092651367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44157.200010314584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15.699999809265137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2.3000001907348633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44159.500010505319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11.199999809265137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6.8000001907348633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44166.300010696054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8.3999996185302734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9.6000003814697266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44175.900011077523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3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15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44190.900011077523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0.89999997615814209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17.100000023841858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44208.000011101365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0.80000001192092896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17.199999988079071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44225.200011089444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3.4000000953674316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14.599999904632568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44239.800010994077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3.5999999046325684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14.400000095367432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44254.200011089444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10.800000190734863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7.1999998092651367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44261.400010898709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4.8000001907348633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13.199999809265137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44274.600010707974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15.600000381469727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2.3999996185302734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44277.000010326505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19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0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44277.000010326505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12.5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5.5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44282.500010326505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4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14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44296.500010326505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-0.60000002384185791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18.600000023841858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44315.100010350347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1.1000000238418579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16.899999976158142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44332.000010326505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4.5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13.5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44345.500010326505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8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10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44355.500010326505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14.5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3.5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44359.000010326505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11.800000190734863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6.1999998092651367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44365.20001013577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8.3000001907348633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9.6999998092651367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44374.900009945035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4.6999998092651367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13.300000190734863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44388.20001013577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7.1999998092651367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10.800000190734863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44399.000010326505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12.399999618530273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5.6000003814697266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44404.600010707974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7.1999998092651367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10.800000190734863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44415.400010898709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9.8999996185302734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8.1000003814697266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44423.500011280179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13.899999618530273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4.1000003814697266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44427.600011661649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17.299999237060547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0.70000076293945313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44428.300012424588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20.5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0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44428.300012424588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19.299999237060547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44428.300012424588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20.600000381469727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44428.300012424588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21.5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44428.300012424588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20.799999237060547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0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44428.300012424588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14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4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44432.300012424588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10.399999618530273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7.6000003814697266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44439.900012806058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8.8999996185302734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9.1000003814697266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44449.000013187528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17.399999618530273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0.60000038146972656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44449.600013568997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22.600000381469727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0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44449.600013568997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16.200000762939453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1.7999992370605469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44451.400012806058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9.6999998092651367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8.3000001907348633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44459.700012996793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8.1000003814697266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9.8999996185302734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44469.600012615323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/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7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44476.600012615323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13.899999618530273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4.1000003814697266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44480.700012996793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21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0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44480.700012996793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44483.700012996793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13.899999618530273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4.1000003814697266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44487.800013378263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19.799999237060547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0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44487.800013378263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23.700000762939453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0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44487.800013378263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25.5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44487.800013378263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19.100000381469727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44487.800013378263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15.899999618530273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2.1000003814697266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44489.900013759732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17.600000381469727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0.39999961853027344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44490.300013378263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14.399999618530273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3.6000003814697266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44493.900013759732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15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3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44496.900013759732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20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0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44496.900013759732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14.399999618530273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3.6000003814697266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44500.500014141202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14.300000190734863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3.6999998092651367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44504.200013950467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17.100000381469727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0.89999961853027344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44505.100013568997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16.899999618530273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1.1000003814697266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44506.200013950467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19.200000762939453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0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44506.200013950467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17.5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0.5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44506.700013950467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15.699999809265137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2.3000001907348633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44509.000014141202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21.600000381469727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0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44509.000014141202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27.200000762939453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0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44509.000014141202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27.399999618530273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44509.000014141202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19.799999237060547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44509.000014141202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11.899999618530273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6.1000003814697266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44515.100014522672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13.399999618530273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4.6000003814697266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44519.700014904141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18.299999237060547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44519.700014904141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/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44519.700014904141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/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1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44520.700014904141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17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1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44521.700014904141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20.5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44521.700014904141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24.399999618530273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44521.700014904141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24.399999618530273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44521.700014904141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16.200000762939453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1.7999992370605469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44523.500014141202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17.399999618530273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0.60000038146972656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44524.100014522672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18.799999237060547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0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44524.100014522672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22.899999618530273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44524.100014522672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22.299999237060547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44524.100014522672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20.399999618530273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0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44524.100014522672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19.200000762939453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0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44524.100014522672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22.899999618530273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0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44524.100014522672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24.100000381469727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0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44524.100014522672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18.899999618530273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0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44524.100014522672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21.200000762939453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0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44524.100014522672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19.899999618530273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44524.100014522672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17.899999618530273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0.10000038146972656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44524.200014904141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18.899999618530273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44524.200014904141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22.700000762939453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44524.200014904141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21.299999237060547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44524.200014904141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17.200000762939453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0.79999923706054688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44525.000014141202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18.600000381469727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0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44525.000014141202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19.5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44525.000014141202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22.700000762939453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44525.000014141202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21.600000381469727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44525.000014141202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24.200000762939453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44525.000014141202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27.899999618530273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44525.000014141202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27.299999237060547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44525.000014141202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26.200000762939453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44525.000014141202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24.299999237060547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44525.000014141202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25.5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44525.000014141202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25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44525.000014141202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19.399999618530273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44525.000014141202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19.399999618530273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44525.000014141202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21.299999237060547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44525.000014141202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23.700000762939453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0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44525.000014141202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22.399999618530273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0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44525.000014141202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21.899999618530273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44525.000014141202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23.299999237060547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44525.000014141202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23.799999237060547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44525.000014141202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20.600000381469727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44525.000014141202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24.5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44525.000014141202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24.100000381469727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44525.000014141202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24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44525.000014141202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26.299999237060547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44525.000014141202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27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44525.000014141202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24.799999237060547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44525.000014141202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17.700000762939453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0.29999923706054688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44525.300013378263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19.600000381469727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44525.300013378263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20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44525.300013378263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18.399999618530273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0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44525.300013378263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17.5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0.5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44525.800013378263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20.200000762939453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44525.800013378263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20.5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44525.800013378263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19.5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44525.800013378263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19.799999237060547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44525.800013378263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20.299999237060547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44525.800013378263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22.700000762939453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44525.800013378263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22.899999618530273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44525.800013378263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20.799999237060547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44525.800013378263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21.100000381469727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44525.800013378263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20.899999618530273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44525.800013378263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21.899999618530273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44525.800013378263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23.299999237060547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44525.800013378263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18.5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44525.800013378263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17.299999237060547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0.70000076293945313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44526.500014141202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21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44526.500014141202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24.5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44526.500014141202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22.299999237060547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44526.500014141202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21.600000381469727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44526.500014141202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20.200000762939453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44526.500014141202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22.399999618530273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44526.500014141202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23.799999237060547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44526.500014141202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19.399999618530273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0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44526.500014141202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19.100000381469727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0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44526.500014141202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18.700000762939453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0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44526.500014141202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17.100000381469727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0.89999961853027344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44527.400013759732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17.299999237060547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0.70000076293945313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44528.100014522672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19.799999237060547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44528.100014522672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22.600000381469727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44528.100014522672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22.799999237060547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0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44528.100014522672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16.799999237060547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1.2000007629394531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44529.300015285611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15.399999618530273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2.6000003814697266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44531.900015667081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17.899999618530273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0.10000038146972656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44532.000016048551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15.300000190734863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2.6999998092651367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44534.700015857816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20.399999618530273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0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44534.700015857816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21.200000762939453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0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44534.700015857816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24.299999237060547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44534.700015857816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20.600000381469727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44534.700015857816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19.5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0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44534.700015857816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21.899999618530273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44534.700015857816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13.699999809265137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4.3000001907348633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44539.000016048551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11.899999618530273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6.1000003814697266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44545.10001643002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12.100000381469727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5.8999996185302734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44551.000016048551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14.899999618530273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3.1000003814697266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44554.10001643002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12.899999618530273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5.1000003814697266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44559.20001681149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12.199999809265137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5.8000001907348633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44565.000017002225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11.800000190734863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6.1999998092651367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44571.20001681149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10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8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44579.20001681149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10.100000381469727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7.8999996185302734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44587.10001643002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12.600000381469727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5.3999996185302734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44592.500016048551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10.100000381469727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7.8999996185302734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44600.400015667081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8.1000003814697266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9.8999996185302734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44610.300015285611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11.100000381469727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6.8999996185302734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44617.200014904141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14.800000190734863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3.1999998092651367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44620.400014713407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18.100000381469727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0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44620.400014713407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7.9000000953674316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10.099999904632568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44630.500014618039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7.5999999046325684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10.400000095367432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44640.900014713407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11.699999809265137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6.3000001907348633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44647.200014904141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9.6000003814697266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8.3999996185302734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44655.600014522672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15.399999618530273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2.6000003814697266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44658.200014904141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16.5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1.5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44659.700014904141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9.8000001907348633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8.1999998092651367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44667.900014713407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8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10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44677.900014713407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9.3999996185302734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8.6000003814697266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44686.500015094876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10.800000190734863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7.1999998092651367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44693.700014904141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6.0999999046325684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11.900000095367432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44705.600014999509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14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44719.600014999509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/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14.700000047683716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44734.300015047193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2.5999999046325684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15.400000095367432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44749.70001514256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9.1000003814697266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8.8999996185302734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44758.60001476109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15.800000190734863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2.1999998092651367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44760.800014570355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17.399999618530273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0.60000038146972656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44761.400014951825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16.899999618530273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1.1000003814697266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44762.500015333295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18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0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44762.500015333295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11.699999809265137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6.3000001907348633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44768.80001552403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6.1999998092651367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11.800000190734863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44780.600015714765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7.1999998092651367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10.800000190734863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44791.400015905499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7.5999999046325684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10.400000095367432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44801.800016000867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8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44811.800016000867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12.899999618530273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5.1000003814697266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44816.900016382337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12.800000190734863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5.1999998092651367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44822.100016191602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11.600000381469727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6.3999996185302734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44828.500015810132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13.199999809265137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4.8000001907348633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44833.300016000867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15.699999809265137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2.3000001907348633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44835.600016191602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18.799999237060547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0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44835.600016191602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11.699999809265137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6.3000001907348633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44841.900016382337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9.6000003814697266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8.3999996185302734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44850.300016000867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5.8000001907348633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12.199999809265137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44862.500015810132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9.5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8.5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44871.000015810132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15.199999809265137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2.8000001907348633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44873.800016000867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11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7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44880.800016000867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3.2000000476837158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14.799999952316284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44895.600015953183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0.89999997615814209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17.100000023841858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44912.700015977025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0.30000001192092896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17.699999988079071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44930.400015965104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1.2000000476837158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16.799999952316284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44947.20001591742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1.2000000476837158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16.799999952316284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44964.000015869737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-0.30000001192092896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18.300000011920929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44982.300015881658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-1.7000000476837158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19.700000047683716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45002.000015929341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-4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22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45024.000015929341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-5.8000001907348633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23.800000190734863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45047.800016120076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-0.5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18.5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45066.300016120076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0.40000000596046448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17.599999994039536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45083.900016114116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3.5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14.5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45098.400016114116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6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45110.400016114116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5.5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12.5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45122.900016114116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5.9000000953674316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12.099999904632568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45135.000016018748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4.3000001907348633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13.699999809265137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45148.700015828013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3.7999999523162842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14.200000047683716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45162.900015875697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7.0999999046325684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10.900000095367432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45173.800015971065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4.4000000953674316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13.599999904632568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45187.400015875697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-0.89999997615814209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18.899999976158142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45206.300015851855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4.3000001907348633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13.699999809265137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45220.00001566112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3.5999999046325684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14.400000095367432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45234.400015756488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-1.8999999761581421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19.899999976158142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45254.300015732646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0.89999997615814209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17.100000023841858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45271.400015756488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5.1999998092651367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12.800000190734863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45284.200015947223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5.5999999046325684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12.400000095367432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45296.60001604259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2.4000000953674316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15.599999904632568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45312.200015947223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0.69999998807907104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17.300000011920929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45329.500015959144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0.10000000149011612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17.899999998509884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45347.400015957654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1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17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45364.400015957654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-0.5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18.5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45382.900015957654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-3.4000000953674316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21.400000095367432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45404.300016053021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-2.5999999046325684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20.599999904632568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45424.900015957654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2.9000000953674316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15.099999904632568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45440.000015862286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1.2000000476837158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16.799999952316284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45456.800015814602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-1.3999999761581421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19.399999976158142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45476.200015790761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-1.7000000476837158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19.700000047683716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45495.900015838444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-3.0999999046325684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21.099999904632568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45517.000015743077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-2.7999999523162842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20.799999952316284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45537.800015695393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-4.6999998092651367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22.699999809265137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45560.500015504658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1.3999999761581421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16.600000023841858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45577.1000155285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-6.3000001907348633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24.300000190734863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45601.400015719235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-12.199999809265137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30.199999809265137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45631.6000155285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-8.3999996185302734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26.399999618530273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45658.00001514703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-8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26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45684.00001514703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-4.8000001907348633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22.800000190734863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45706.800015337765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0.80000001192092896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17.199999988079071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45724.000015325844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6.3000001907348633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11.699999809265137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45735.700015135109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9.8000001907348633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8.1999998092651367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45743.900014944375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5.0999999046325684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12.900000095367432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45756.800015039742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2.9000000953674316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15.099999904632568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45771.900014944375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2.4000000953674316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15.599999904632568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45787.500014849007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2.5999999046325684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15.400000095367432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45802.900014944375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7.4000000953674316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10.599999904632568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45813.500014849007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3.5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14.5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45828.000014849007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2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16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45844.000014849007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0.20000000298023224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17.799999997019768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45861.800014846027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-1.2000000476837158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19.200000047683716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45881.000014893711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0.69999998807907104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17.300000011920929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45898.300014905632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0.60000002384185791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17.399999976158142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45915.70001488179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2.2999999523162842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15.700000047683716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45931.400014929473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2.0999999046325684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15.900000095367432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45947.300015024841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-1.7999999523162842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19.799999952316284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45967.100014977157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-5.4000000953674316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23.400000095367432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45990.500015072525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-4.5999999046325684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22.599999904632568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46013.100014977157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-0.30000001192092896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18.300000011920929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46031.400014989078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6.1999998092651367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11.800000190734863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46043.200015179813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3.7000000476837158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14.299999952316284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46057.500015132129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4.0999999046325684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13.900000095367432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46071.400015227497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2.0999999046325684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15.900000095367432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46087.300015322864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-0.30000001192092896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18.300000011920929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46105.600015334785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-2.5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20.5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46126.100015334785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-0.10000000149011612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18.100000001490116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46144.200015336275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0.89999997615814209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17.100000023841858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46161.300015360117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19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46180.300015360117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19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46199.300015360117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-1.6000000238418579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19.600000023841858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46218.900015383959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-0.60000002384185791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18.600000023841858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46237.500015407801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-2.5999999046325684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20.599999904632568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46258.100015312433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-7.8000001907348633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25.800000190734863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46283.900015503168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-12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30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46313.900015503168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-9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27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46340.900015503168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-4.5999999046325684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22.599999904632568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46363.500015407801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-12.600000381469727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30.600000381469727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46394.10001578927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-7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25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46419.10001578927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2.5999999046325684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15.400000095367432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46434.500015884638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-1.8999999761581421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19.899999976158142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46454.400015860796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4.3000001907348633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13.699999809265137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46468.100015670061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3.7000000476837158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14.299999952316284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46482.400015622377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6.8000001907348633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11.199999809265137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46493.600015431643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1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17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46510.600015431643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-0.40000000596046448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18.400000005960464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46529.000015437603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3.2000000476837158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14.799999952316284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46543.800015389919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4.4000000953674316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13.599999904632568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46557.400015294552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4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14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46571.400015294552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10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8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46579.400015294552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1.6000000238418579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16.399999976158142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46595.80001527071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-6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24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46619.80001527071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-2.2000000476837158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20.200000047683716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46640.000015318394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5.5999999046325684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12.400000095367432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46652.400015413761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1.7999999523162842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16.200000047683716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46668.600015461445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1.3999999761581421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16.600000023841858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46685.200015485287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-1.1000000238418579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19.100000023841858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46704.300015509129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-0.40000000596046448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18.400000005960464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46722.700015515089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-4.4000000953674316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22.400000095367432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46745.100015610456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22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46767.100015610456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0.40000000596046448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17.599999994039536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46784.700015604496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-2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20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46804.700015604496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0.5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17.5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46822.200015604496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2.4000000953674316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15.599999904632568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46837.800015509129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-0.10000000149011612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18.100000001490116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46855.900015510619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-0.10000000149011612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18.100000001490116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46874.000015512109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2.5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15.5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46889.500015512109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2.0999999046325684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15.900000095367432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46905.400015607476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0.89999997615814209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17.100000023841858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46922.500015631318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0.20000000298023224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17.799999997019768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46940.300015628338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0.69999998807907104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17.300000011920929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46957.600015640259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-0.20000000298023224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18.200000002980232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46975.800015643239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-0.69999998807907104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18.699999988079071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46994.500015631318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-2.7000000476837158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20.700000047683716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47015.200015679002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-3.5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21.5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47036.700015679002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-2.7000000476837158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20.700000047683716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47057.400015726686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-3.5999999046325684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21.599999904632568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47079.000015631318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0.60000002384185791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17.399999976158142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47096.400015607476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6.4000000953674316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11.599999904632568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47108.000015512109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4.5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13.5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47121.500015512109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-3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21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47142.500015512109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-1.1000000238418579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19.100000023841858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47161.600015535951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3.0999999046325684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14.900000095367432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47176.500015631318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3.0999999046325684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14.900000095367432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47191.400015726686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6.3000001907348633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11.699999809265137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47203.100015535951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3.5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14.5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47217.600015535951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0.60000002384185791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17.399999976158142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47235.000015512109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6.5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11.5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47246.500015512109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6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12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47258.500015512109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1.7999999523162842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16.200000047683716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47274.700015559793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3.2999999523162842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14.700000047683716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47289.400015607476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2.2000000476837158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15.799999952316284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47305.200015559793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-0.40000000596046448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18.400000005960464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47323.600015565753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6.5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11.5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47335.100015565753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7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11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47346.100015565753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1.7999999523162842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16.200000047683716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47362.300015613437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8.1000003814697266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9.8999996185302734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47372.200015231967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6.9000000953674316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11.099999904632568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47383.3000151366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14.5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3.5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47386.8000151366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7.3000001907348633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10.699999809265137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47397.500014945865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0.89999997615814209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17.100000023841858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47414.600014969707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2.2000000476837158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15.799999952316284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47430.400014922023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6.4000000953674316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11.599999904632568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47442.000014826655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10.5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7.5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47449.500014826655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14.899999618530273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3.1000003814697266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47452.600015208125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19.5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0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47452.600015208125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20.600000381469727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0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47452.600015208125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18.399999618530273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0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47452.600015208125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18.200000762939453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0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47452.600015208125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16.200000762939453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1.7999992370605469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47454.400014445186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4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14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47468.400014445186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3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15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47483.400014445186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4.5999999046325684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13.400000095367432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47496.800014540553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11.199999809265137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6.8000001907348633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47503.600014731288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11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7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47510.600014731288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7.5999999046325684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10.400000095367432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47521.000014826655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4.8000001907348633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13.199999809265137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47534.200014635921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4.3000001907348633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13.699999809265137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47547.900014445186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3.5999999046325684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14.400000095367432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47562.300014540553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3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15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47577.300014540553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7.1999998092651367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10.800000190734863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47588.100014731288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8.6999998092651367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9.3000001907348633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47597.400014922023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11.300000190734863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6.6999998092651367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47604.100014731288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7.3000001907348633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10.699999809265137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47614.800014540553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5.8000001907348633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12.199999809265137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47627.000014349818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3.9000000953674316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14.099999904632568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47641.100014254451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5.8000001907348633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12.199999809265137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47653.300014063716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8.6000003814697266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9.3999996185302734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47662.700013682246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10.199999809265137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7.8000001907348633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47670.500013872981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13.300000190734863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4.6999998092651367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47675.200013682246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14.399999618530273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3.6000003814697266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47678.800014063716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9.3999996185302734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8.6000003814697266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47687.400014445186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10.199999809265137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7.8000001907348633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47695.200014635921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13.399999618530273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4.6000003814697266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47699.80001501739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18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0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47699.80001501739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18.700000762939453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47699.80001501739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11.800000190734863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6.1999998092651367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47706.000014826655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9.8000001907348633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8.1999998092651367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47714.200014635921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12.600000381469727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5.3999996185302734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47719.600014254451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16.399999618530273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1.6000003814697266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47721.200014635921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3.7000000476837158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14.299999952316284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47735.500014588237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7.8000001907348633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10.199999809265137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47745.700014397502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14.300000190734863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3.6999998092651367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47749.400014206767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12.100000381469727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5.8999996185302734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47755.300013825297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16.100000381469727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1.8999996185302734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47757.200013443828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14.399999618530273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3.6000003814697266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47760.800013825297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16.200000762939453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1.7999992370605469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47762.600013062358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10.800000190734863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7.1999998092651367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47769.800012871623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8.1000003814697266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9.8999996185302734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47779.700012490153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10.199999809265137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7.8000001907348633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47787.500012680888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11.899999618530273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6.1000003814697266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47793.600013062358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13.5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4.5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47798.100013062358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14.600000381469727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3.3999996185302734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47801.500012680888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20.5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47801.500012680888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21.899999618530273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47801.500012680888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19.700000762939453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47801.500012680888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19.5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47801.500012680888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18.799999237060547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47801.500012680888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14.699999809265137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3.3000001907348633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47804.800012871623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47805.800012871623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13.899999618530273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4.1000003814697266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47809.900013253093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13.699999809265137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4.3000001907348633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47814.200013443828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15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3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47817.200013443828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16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2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47819.200013443828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19.600000381469727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0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47819.200013443828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14.699999809265137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3.3000001907348633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47822.500013634562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14.5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3.5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47826.000013634562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13.300000190734863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4.6999998092651367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47830.700013443828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12.800000190734863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5.1999998092651367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47835.900013253093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16.200000762939453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1.7999992370605469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47837.700012490153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13.600000381469727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4.3999996185302734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47842.100012108684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14.800000190734863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3.1999998092651367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47845.300011917949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16.5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1.5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47846.800011917949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2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47848.800011917949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21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47848.800011917949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/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47848.800011917949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/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47848.800011917949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18.700000762939453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47848.800011917949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20.899999618530273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47848.800011917949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21.799999237060547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47848.800011917949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21.200000762939453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47848.800011917949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17.200000762939453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0.79999923706054688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47849.600011155009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17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47850.600011155009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19.600000381469727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0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47850.600011155009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23.899999618530273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47850.600011155009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23.600000381469727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47850.600011155009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22.100000381469727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47850.600011155009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21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47850.600011155009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23.399999618530273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47850.600011155009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25.600000381469727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47850.600011155009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22.700000762939453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47850.600011155009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18.299999237060547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0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47850.600011155009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17.899999618530273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0.10000038146972656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47850.700011536479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17.700000762939453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0.29999923706054688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47851.00001077354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20.799999237060547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47851.00001077354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23.799999237060547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47851.00001077354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17.899999618530273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0.10000038146972656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47851.100011155009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20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0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47851.100011155009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21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47851.100011155009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21.200000762939453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47851.100011155009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21.899999618530273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47851.100011155009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21.100000381469727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47851.100011155009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19.600000381469727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0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47851.100011155009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20.5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0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47851.100011155009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23.100000381469727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47851.100011155009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19.100000381469727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47851.100011155009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19.799999237060547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47851.100011155009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21.600000381469727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47851.100011155009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22.799999237060547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47851.100011155009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22.5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47851.100011155009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24.600000381469727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47851.100011155009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24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47851.100011155009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25.5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47851.100011155009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19.700000762939453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47851.100011155009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19.100000381469727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47851.100011155009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18.5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0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47851.100011155009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19.100000381469727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0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47851.100011155009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20.700000762939453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47851.100011155009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24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47851.100011155009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21.200000762939453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47851.100011155009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19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47851.100011155009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18.100000381469727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47851.100011155009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18.600000381469727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47851.100011155009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20.899999618530273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47851.100011155009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22.700000762939453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47851.100011155009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21.100000381469727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47851.100011155009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19.700000762939453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0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47851.100011155009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22.299999237060547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0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47851.100011155009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19.700000762939453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0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47851.100011155009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19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0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47851.100011155009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17.899999618530273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0.10000038146972656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47851.200011536479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20.799999237060547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47851.200011536479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20.399999618530273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47851.200011536479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16.700000762939453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1.2999992370605469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47852.50001077354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17.600000381469727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0.39999961853027344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47852.90001039207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21.899999618530273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47852.90001039207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18.5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47852.90001039207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18.200000762939453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0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47852.90001039207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19.5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0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47852.90001039207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/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47852.90001039207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19.5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47852.90001039207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18.899999618530273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47852.90001039207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16.100000381469727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1.8999996185302734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47854.8000100106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15.800000190734863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2.1999998092651367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47857.000009819865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17.899999618530273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0.10000038146972656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47857.100010201335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14.5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3.5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47860.600010201335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/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2.3000001907348633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47862.90001039207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16.899999618530273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1.1000003814697266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47864.00001077354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19.100000381469727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47864.00001077354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23.200000762939453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47864.00001077354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24.700000762939453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47864.00001077354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26.200000762939453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47864.00001077354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23.100000381469727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47864.00001077354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20.100000381469727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0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47864.00001077354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16.299999237060547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1.7000007629394531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47865.700011536479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15.5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2.5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47868.200011536479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16.700000762939453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1.2999992370605469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47869.50001077354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17.200000762939453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0.79999923706054688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47870.3000100106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17.200000762939453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0.79999923706054688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47871.100009247661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14.100000381469727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3.8999996185302734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47875.000008866191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14.100000381469727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3.8999996185302734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47878.900008484721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14.399999618530273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3.6000003814697266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47882.500008866191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15.5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2.5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47885.000008866191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16.700000762939453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1.2999992370605469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47886.300008103251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15.100000381469727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2.8999996185302734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47889.200007721782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14.5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3.5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47892.700007721782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16.700000762939453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1.2999992370605469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47894.000006958842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20.899999618530273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47894.000006958842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18.799999237060547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0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47894.000006958842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16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2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47896.000006958842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14.5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3.5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47899.500006958842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18.299999237060547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0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47899.500006958842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16.899999618530273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1.1000003814697266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47900.600007340312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16.100000381469727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1.8999996185302734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47902.500006958842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14.600000381469727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3.3999996185302734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47905.900006577373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16.200000762939453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1.7999992370605469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47907.700005814433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16.299999237060547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1.7000007629394531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47909.400006577373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17.899999618530273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0.10000038146972656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47909.500006958842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19.799999237060547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47909.500006958842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20.700000762939453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47909.500006958842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22.299999237060547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47909.500006958842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19.600000381469727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47909.500006958842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14.800000190734863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3.1999998092651367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47912.700006768107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10.399999618530273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7.6000003814697266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47920.300007149577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9.6000003814697266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8.3999996185302734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47928.700006768107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8.3000001907348633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9.6999998092651367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47938.400006577373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9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9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47947.400006577373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10.199999809265137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7.8000001907348633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47955.200006768107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10.699999809265137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7.3000001907348633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47962.500006958842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9.8000001907348633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8.1999998092651367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47970.700006768107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11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7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47977.700006768107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10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8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47985.700006768107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10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47993.700006768107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10.100000381469727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7.8999996185302734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48001.600006386638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11.100000381469727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6.8999996185302734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48008.500006005168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13.5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4.5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48013.000006005168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11.600000381469727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6.3999996185302734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48019.400005623698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8.6000003814697266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9.3999996185302734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48028.800005242229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5.1999998092651367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12.800000190734863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48041.600005432963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6.5999999046325684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11.400000095367432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48053.000005528331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15.899999618530273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2.1000003814697266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48055.100005909801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16.299999237060547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1.7000007629394531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48056.80000667274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17.799999237060547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0.20000076293945313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48057.000007435679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20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0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48057.000007435679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12.699999809265137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5.3000001907348633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48062.300007626414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6.9000000953674316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11.099999904632568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48073.400007531047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3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48088.400007531047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1.1000000238418579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16.899999976158142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48105.300007507205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1.7999999523162842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16.200000047683716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48121.500007554889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4.0999999046325684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13.900000095367432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48135.400007650256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8.6999998092651367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9.3000001907348633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48144.700007840991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7.5999999046325684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10.400000095367432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48155.100007936358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6.9000000953674316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11.099999904632568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48166.200007840991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10.399999618530273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7.6000003814697266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48173.800008222461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7.8000001907348633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10.199999809265137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48184.000008031726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2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48200.000008031726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7.9000000953674316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10.099999904632568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48210.100007936358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6.9000000953674316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11.099999904632568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48221.200007840991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3.7000000476837158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14.299999952316284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48235.500007793307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3.4000000953674316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14.599999904632568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48250.10000769794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9.3999996185302734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8.6000003814697266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48258.70000807941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6.1999998092651367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11.800000190734863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48270.500008270144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8.5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9.5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48280.000008270144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8.6000003814697266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9.3999996185302734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48289.400007888675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8.3000001907348633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9.6999998092651367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48299.10000769794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3.7999999523162842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14.200000047683716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48313.300007745624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2.4000000953674316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15.599999904632568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48328.900007650256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-0.40000000596046448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18.400000005960464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48347.300007656217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4.9000000953674316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13.099999904632568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48360.400007560849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4.9000000953674316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13.099999904632568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48373.500007465482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4.0999999046325684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13.900000095367432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48387.400007560849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-1.7000000476837158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19.700000047683716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48407.100007608533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-2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20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48427.100007608533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-0.5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18.5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48445.600007608533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-2.0999999046325684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20.099999904632568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48465.700007513165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-4.3000001907348633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22.300000190734863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48488.0000077039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-2.7999999523162842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20.799999952316284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48508.800007656217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3.4000000953674316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14.599999904632568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48523.400007560849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4.5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13.5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48536.900007560849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3.7999999523162842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14.200000047683716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48551.100007608533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3.2999999523162842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14.700000047683716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48565.800007656217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1.6000000238418579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16.399999976158142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48582.200007632375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1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17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48599.200007632375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1.6000000238418579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16.399999976158142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48615.600007608533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4.1999998092651367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13.800000190734863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48629.400007799268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5.8000001907348633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12.199999809265137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48641.600007608533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10.100000381469727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7.8999996185302734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48649.500007227063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3.2000000476837158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14.799999952316284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48664.300007179379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-0.20000000298023224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18.200000002980232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48682.50000718236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1.6000000238418579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16.399999976158142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48698.900007158518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-0.5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18.5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48717.400007158518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2.5999999046325684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15.400000095367432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48732.800007253885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5.6999998092651367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12.300000190734863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48745.10000744462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6.3000001907348633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11.699999809265137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48756.800007253885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7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11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48767.800007253885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2.2000000476837158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15.799999952316284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48783.600007206202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-1.2999999523162842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19.299999952316284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48802.900007158518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0.40000000596046448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17.599999994039536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48820.500007152557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0.89999997615814209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17.100000023841858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48837.600007176399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/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15.300000011920929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48852.90000718832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4.5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13.5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48866.40000718832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48878.700007379055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9.5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8.5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48887.200007379055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9.3999996185302734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8.6000003814697266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48895.800007760525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7.5999999046325684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10.400000095367432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48906.200007855892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6.5999999046325684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11.400000095367432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48917.60000795126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4.0999999046325684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13.900000095367432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48931.500008046627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1.7999999523162842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16.200000047683716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48947.700008094311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1.2999999523162842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16.700000047683716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48964.400008141994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-0.10000000149011612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18.100000001490116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48982.500008143485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0.5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17.5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49000.000008143485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-0.40000000596046448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18.400000005960464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49018.400008149445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-3.7000000476837158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21.700000047683716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49040.100008197129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-1.8999999761581421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19.899999976158142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49060.000008173287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-0.69999998807907104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18.699999988079071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49078.700008161366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0.10000000149011612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17.899999998509884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49096.600008159876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1.2000000476837158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16.799999952316284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49113.400008112192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3.5999999046325684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14.400000095367432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49127.80000820756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1.8999999761581421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16.100000023841858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49143.900008231401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0.80000001192092896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17.199999988079071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49161.100008219481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0.40000000596046448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17.599999994039536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49178.70000821352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-1.2000000476837158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19.200000047683716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49197.900008261204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-11.300000190734863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29.300000190734863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49227.200008451939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-14.199999809265137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32.199999809265137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49259.400008261204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-12.199999809265137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30.199999809265137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49289.600008070469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-11.399999618530273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29.399999618530273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49319.000007688999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-5.8000001907348633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23.800000190734863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49342.800007879734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-9.1999998092651367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27.199999809265137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49370.000007688999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-10.800000190734863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28.800000190734863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49398.800007879734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-6.8000001907348633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24.800000190734863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49423.600008070469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-5.4000000953674316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23.400000095367432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49447.000008165836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0.5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17.5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49464.500008165836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1.7000000476837158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16.299999952316284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49480.800008118153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1.8999999761581421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16.100000023841858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49496.900008141994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2.7000000476837158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15.299999952316284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49512.200008094311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2.0999999046325684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15.900000095367432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49528.100008189678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1.7000000476837158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16.299999952316284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49544.400008141994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0.5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17.5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49561.900008141994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0.20000000298023224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17.799999997019768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49579.700008139014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16.600000023841858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49596.300008162856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3.2999999523162842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14.700000047683716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49611.00000821054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0.80000001192092896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17.199999988079071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49628.200008198619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-2.2999999523162842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20.299999952316284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49648.500008150935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-2.9000000953674316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20.900000095367432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49669.400008246303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1.1000000238418579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16.899999976158142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49686.300008222461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0.69999998807907104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17.300000011920929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49703.600008234382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2.5999999046325684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15.400000095367432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49719.000008329749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7.4000000953674316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10.599999904632568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49729.600008234382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11.5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6.5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49736.100008234382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5.3000001907348633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12.699999809265137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49748.800008043647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0.5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17.5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49766.300008043647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0.69999998807907104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17.300000011920929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49783.600008055568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-0.80000001192092896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18.800000011920929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49802.400008067489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-2.2000000476837158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20.200000047683716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49822.600008115172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-1.1000000238418579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19.100000023841858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49841.700008139014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-3.7999999523162842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21.799999952316284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49863.500008091331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-5.0999999046325684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23.099999904632568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49886.600007995963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-3.0999999046325684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21.099999904632568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49907.700007900596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-2.4000000953674316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20.400000095367432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49928.100007995963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1.7000000476837158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16.299999952316284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49944.400007948279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6.5999999046325684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11.400000095367432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49955.800008043647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2.4000000953674316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15.599999904632568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49971.400007948279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-0.30000001192092896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18.300000011920929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49989.7000079602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-5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23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50012.7000079602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1.5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16.5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50029.2000079602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5.5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12.5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50041.7000079602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13.600000381469727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4.3999996185302734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50046.100007578731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4.6999998092651367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13.300000190734863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50059.400007769465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-3.2999999523162842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21.299999952316284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50080.700007721782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3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15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50095.700007721782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5.4000000953674316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12.599999904632568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50108.300007626414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5.8000001907348633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12.199999809265137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50120.500007435679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13.699999809265137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4.3000001907348633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50124.800007626414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7.8000001907348633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10.199999809265137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50135.000007435679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3.0999999046325684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14.900000095367432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50149.900007531047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3.4000000953674316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50164.500007435679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6.9000000953674316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11.099999904632568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50175.600007340312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6.1999998092651367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11.800000190734863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50187.400007531047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0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50205.400007531047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5.4000000953674316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12.599999904632568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50218.000007435679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10.699999809265137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7.3000001907348633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50225.300007626414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7.8000001907348633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10.199999809265137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50235.500007435679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7.1999998092651367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10.800000190734863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50246.300007626414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1.6000000238418579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16.399999976158142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50262.700007602572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5.8000001907348633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12.199999809265137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50274.900007411838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1.3999999761581421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16.600000023841858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50291.500007435679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-1.3999999761581421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19.399999976158142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50310.900007411838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1.7000000476837158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16.299999952316284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50327.200007364154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-1.2000000476837158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19.200000047683716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50346.400007411838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-3.2000000476837158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21.200000047683716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50367.600007459521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-4.0999999046325684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22.099999904632568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50389.700007364154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-2.9000000953674316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20.900000095367432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50410.600007459521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-2.2999999523162842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20.299999952316284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50430.900007411838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7.4000000953674316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10.599999904632568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50441.50000731647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9.3000001907348633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8.6999998092651367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50450.200007125735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2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16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50466.200007125735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3.2999999523162842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14.700000047683716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50480.900007173419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2.4000000953674316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15.599999904632568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50496.500007078052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1.2000000476837158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16.799999952316284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50513.300007030368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3.2000000476837158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14.799999952316284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50528.100006982684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3.9000000953674316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14.099999904632568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50542.200006887317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7.6999998092651367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10.300000190734863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50552.500007078052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4.9000000953674316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13.099999904632568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50565.600006982684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3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15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50580.600006982684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3.2999999523162842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14.700000047683716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50595.300007030368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3.2999999523162842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14.700000047683716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50610.000007078052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6.3000001907348633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11.699999809265137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50621.700006887317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13.5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4.5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50626.200006887317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14.399999618530273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3.6000003814697266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50629.800007268786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10.899999618530273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7.1000003814697266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50636.900007650256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11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7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50643.900007650256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7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11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50654.900007650256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10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8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50662.900007650256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13.600000381469727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4.3999996185302734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50667.300007268786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11.5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6.5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50673.800007268786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8.3999996185302734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9.6000003814697266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50683.400007650256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14.100000381469727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3.8999996185302734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50687.300007268786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12.899999618530273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5.1000003814697266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50692.400007650256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9.8999996185302734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8.1000003814697266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50700.500008031726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5.9000000953674316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12.099999904632568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50712.600007936358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7.8000001907348633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10.199999809265137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50722.800007745624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8.1999998092651367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9.8000001907348633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50732.600007936358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10.899999618530273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7.1000003814697266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50739.700008317828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4.1999998092651367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13.800000190734863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50753.500008508563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3.7000000476837158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14.299999952316284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50767.800008460879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8.3000001907348633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9.6999998092651367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50777.500008270144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19.5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0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50777.500008270144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12.600000381469727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5.3999996185302734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50782.900007888675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18.100000381469727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0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50782.900007888675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14.399999618530273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3.6000003814697266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50786.500008270144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16.700000762939453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1.2999992370605469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50787.800007507205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10.800000190734863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7.1999998092651367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50795.00000731647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15.600000381469727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2.3999996185302734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50797.400006935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16.200000762939453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1.7999992370605469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50799.200006172061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13.399999618530273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4.6000003814697266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50803.800006553531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9.1999998092651367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8.8000001907348633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50812.600006744266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13.300000190734863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4.6999998092651367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50817.300006553531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15.300000190734863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2.6999998092651367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50820.000006362796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10.399999618530273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7.6000003814697266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50827.600006744266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11.300000190734863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6.6999998092651367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50834.300006553531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10.600000381469727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7.3999996185302734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50841.700006172061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13.699999809265137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4.3000001907348633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50846.000006362796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20.200000762939453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0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50846.000006362796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11.600000381469727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6.3999996185302734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50852.400005981326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/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4.2999997138977051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50856.700005695224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15.800000190734863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2.1999998092651367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50858.900005504489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18.100000381469727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0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50858.900005504489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19.299999237060547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0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50858.900005504489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21.700000762939453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50858.900005504489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21.399999618530273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0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50858.900005504489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20.100000381469727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0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50858.900005504489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24.100000381469727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50858.900005504489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20.399999618530273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0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50858.900005504489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14.699999809265137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3.3000001907348633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50862.200005695224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19.299999237060547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0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50862.200005695224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18.299999237060547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0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50862.200005695224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18.200000762939453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0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50862.200005695224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16.399999618530273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1.6000003814697266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50863.800006076694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12.399999618530273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5.6000003814697266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50869.400006458163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11.5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6.5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50875.900006458163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14.199999809265137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3.8000001907348633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50879.700006648898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16.5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1.5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50881.200006648898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17.600000381469727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0.39999961853027344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50881.600006267428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18.700000762939453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0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50881.600006267428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22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0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50881.600006267428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20.979999923706053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50881.600006267428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19.959999847412107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50881.600006267428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18.939999771118163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0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50881.600006267428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17.91999969482422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8.0000305175779829E-2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50881.680006572606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16.899999618530273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1.1000003814697266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50882.780006954075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18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0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50882.780006954075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19.100000381469727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0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50882.780006954075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20.20000076293945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0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50882.780006954075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21.228572028023855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50882.780006954075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22.257143293108257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0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50882.780006954075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23.285714558192659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0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50882.780006954075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24.314285823277064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0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50882.780006954075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25.342857088361466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0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50882.780006954075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26.371428353445872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50882.780006954075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27.399999618530273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50882.780006954075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26.133332994249134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50882.780006954075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24.866666369967991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50882.780006954075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23.599999745686851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50882.780006954075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22.333333121405708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0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50882.780006954075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21.066666497124565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50882.780006954075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19.799999872843426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50882.780006954075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18.533333248562286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50882.780006954075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17.266666624281143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0.73333337571885693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50883.513340329795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2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50885.513340329795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17.840000152587891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0.15999984741210938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50885.673340177207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19.680000305175781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0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50885.673340177207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21.520000457763672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0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50885.673340177207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23.360000610351563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0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50885.673340177207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25.200000762939453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50885.673340177207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23.100000381469727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50885.673340177207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22.100000381469727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50885.673340177207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21.799999237060547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50885.673340177207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21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50885.673340177207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24.200000762939453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50885.673340177207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24.799999237060547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50885.673340177207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19.899999618530273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50885.673340177207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/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50885.673340177207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21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50885.673340177207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23.399999618530273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50885.673340177207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25.100000381469727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50885.673340177207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24.299999237060547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50885.673340177207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24.600000381469727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50885.673340177207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21.799999237060547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50885.673340177207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17.100000381469727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0.89999961853027344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50886.573339795737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18.5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50886.573339795737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20.5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50886.573339795737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20.899999618530273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50886.573339795737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20.5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0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50886.573339795737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22.700000762939453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50886.573339795737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21.600000381469727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0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50886.573339795737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18.5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50886.573339795737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18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50886.573339795737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18.899999618530273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50886.573339795737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22.100000381469727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50886.573339795737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24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50886.573339795737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23.600000381469727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50886.573339795737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24.399999618530273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50886.573339795737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25.100000381469727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50886.573339795737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23.399999618530273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50886.573339795737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23.200000762939453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50886.573339795737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22.899999618530273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50886.573339795737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23.600000381469727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50886.573339795737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18.600000381469727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50886.573339795737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19.100000381469727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50886.573339795737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20.5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50886.573339795737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20.299999237060547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50886.573339795737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18.600000381469727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0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50886.573339795737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19.5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50886.573339795737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18.700000762939453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50886.573339795737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19.299999237060547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50886.573339795737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18.799999237060547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50886.573339795737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19.600000381469727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50886.573339795737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21.799999237060547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50886.573339795737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23.200000762939453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50886.573339795737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21.299999237060547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50886.573339795737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17.200000762939453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0.79999923706054688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50887.373339032798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15.5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2.5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50889.873339032798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15.899999618530273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2.1000003814697266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50891.973339414268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16.399999618530273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1.6000003814697266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50893.573339795737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18.600000381469727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50893.573339795737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20.200000762939453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50893.573339795737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22.200000762939453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50893.573339795737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25.200000762939453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50893.573339795737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26.5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50893.573339795737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22.299999237060547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50893.573339795737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21.299999237060547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0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50893.573339795737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22.899999618530273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50893.573339795737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22.600000381469727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50893.573339795737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19.600000381469727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0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50893.573339795737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13.899999618530273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4.1000003814697266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50897.673340177207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14.699999809265137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3.3000001907348633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50900.973340367942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17.299999237060547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0.70000076293945313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50901.673341130881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21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50901.673341130881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16.899999618530273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1.1000003814697266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50902.773341512351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12.100000381469727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5.8999996185302734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50908.673341130881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13.600000381469727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4.3999996185302734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50913.073340749412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19.299999237060547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0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50913.073340749412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16.899999618530273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1.1000003814697266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50914.173341130881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19.899999618530273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50914.173341130881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19.200000762939453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50914.173341130881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20.600000381469727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50914.173341130881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21.100000381469727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50914.173341130881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50914.173341130881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20.200000762939453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50914.173341130881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19.100000381469727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50914.173341130881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19.700000762939453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50914.173341130881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18.700000762939453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50914.173341130881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20.100000381469727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50914.173341130881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21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50914.173341130881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19.700000762939453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0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50914.173341130881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18.100000381469727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0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50914.173341130881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18.799999237060547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0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50914.173341130881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18.399999618530273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0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50914.173341130881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17.299999237060547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0.70000076293945313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50914.873341893821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19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50914.873341893821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20.700000762939453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50914.873341893821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18.799999237060547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50914.873341893821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19.200000762939453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0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50914.873341893821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18.700000762939453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0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50914.873341893821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14.399999618530273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3.6000003814697266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50918.473342275291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16.5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1.5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50919.973342275291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14.100000381469727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3.8999996185302734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50923.873341893821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13.199999809265137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4.8000001907348633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50928.673342084556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19.700000762939453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0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50928.673342084556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13.100000381469727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4.8999996185302734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50933.573341703086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12.5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5.5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50939.073341703086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11.5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6.5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50945.573341703086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10.199999809265137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7.8000001907348633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50953.373341893821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14.300000190734863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3.6999998092651367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50957.073341703086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12.899999618530273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5.1000003814697266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50962.173342084556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9.8000001907348633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8.1999998092651367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50970.373341893821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7.9000000953674316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10.099999904632568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50980.473341798453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6.5999999046325684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11.400000095367432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50991.873341893821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6.5999999046325684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11.400000095367432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51003.273341989188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8.3999996185302734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9.6000003814697266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51012.873342370658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10.199999809265137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7.8000001907348633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51020.673342561393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12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6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51026.673342561393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14.100000381469727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3.8999996185302734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51030.573342179923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17.700000762939453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0.29999923706054688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51030.873341416984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16.200000762939453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1.7999992370605469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51032.673340654044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13.600000381469727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4.3999996185302734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51037.073340272575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8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51047.073340272575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8.1999998092651367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9.8000001907348633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51056.873340463309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6.8000001907348633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11.199999809265137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51068.073340272575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6.4000000953674316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11.599999904632568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51079.673340177207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9.6000003814697266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8.3999996185302734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51088.073339795737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15.899999618530273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2.1000003814697266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51090.173340177207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20.299999237060547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0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51090.173340177207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18.100000381469727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0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51090.173340177207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9.8000001907348633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8.1999998092651367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51098.373339986472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6.0999999046325684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11.900000095367432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51110.27334008184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8.1000003814697266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9.8999996185302734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51120.17333970037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15.5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2.5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51122.67333970037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19.5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0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51122.67333970037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15.600000381469727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2.3999996185302734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51125.0733393189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10.800000190734863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7.1999998092651367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51132.273339128165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8.8999996185302734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9.1000003814697266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51141.373339509635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5.5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12.5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51153.873339509635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10.5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7.5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51161.373339509635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10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8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51169.373339509635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3.9000000953674316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14.099999904632568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51183.473339414268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5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51196.473339414268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6.9000000953674316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11.099999904632568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51207.5733393189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9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9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51216.5733393189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8.8000001907348633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9.1999998092651367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51225.773339128165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9.3999996185302734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8.6000003814697266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51234.373339509635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6.4000000953674316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11.599999904632568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51245.973339414268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9.5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8.5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51254.473339414268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7.0999999046325684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10.900000095367432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51265.373339509635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2.5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15.5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51280.873339509635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5.6999998092651367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12.300000190734863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51293.17333970037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6.6999998092651367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11.300000190734863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51304.473339891105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5.5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12.5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51316.973339891105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5.9000000953674316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12.099999904632568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51329.073339795737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3.5999999046325684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14.400000095367432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51343.473339891105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1.7999999523162842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16.200000047683716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51359.673339938789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1.8999999761581421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16.100000023841858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51375.77333996263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-1.1000000238418579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19.100000023841858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51394.873339986472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-3.7000000476837158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21.700000047683716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51416.573340034156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-2.5999999046325684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20.599999904632568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51437.173339938789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-0.60000002384185791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18.600000023841858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51455.77333996263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0.5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17.5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51473.27333996263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-0.5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18.5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51491.77333996263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-3.5999999046325684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21.599999904632568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51513.373339867263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-4.1999998092651367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22.199999809265137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51535.573339676528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1.2999999523162842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16.700000047683716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51552.273339724212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5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13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51565.273339724212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6.1999998092651367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11.800000190734863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51577.073339914947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5.0999999046325684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12.900000095367432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51589.973340010314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-0.5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18.5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51608.473340010314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-7.3000001907348633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25.300000190734863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51633.773340201049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-9.1000003814697266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27.100000381469727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51660.873340582519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-5.6999998092651367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23.699999809265137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51684.573340391784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1.1000000238418579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16.899999976158142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51701.473340367942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7.3000001907348633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10.699999809265137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51712.173340177207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5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13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51725.173340177207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1.6000000238418579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16.399999976158142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51741.573340153365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-1.3999999761581421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19.399999976158142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51760.973340129523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-2.2999999523162842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20.299999952316284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51781.27334008184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-7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25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51806.27334008184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51833.17333970037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-2.4000000953674316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20.400000095367432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51853.573339795737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0.60000002384185791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17.399999976158142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51870.973339771896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-0.69999998807907104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18.699999988079071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51889.673339759975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1.7000000476837158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16.299999952316284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51905.973339712291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3.4000000953674316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14.599999904632568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51920.573339616923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8.8999996185302734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9.1000003814697266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51929.673339998393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5.1999998092651367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12.800000190734863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51942.473340189128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3.0999999046325684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14.900000095367432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51957.373340284495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1.2000000476837158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16.799999952316284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51974.173340236812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1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51991.173340236812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-2.0999999046325684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20.099999904632568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52011.273340141444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-3.7000000476837158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21.700000047683716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52032.973340189128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-6.5999999046325684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24.599999904632568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52057.573340093761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-7.0999999046325684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25.099999904632568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52082.673339998393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-4.0999999046325684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22.099999904632568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52104.773339903026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-5.5999999046325684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23.599999904632568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52128.373339807658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-8.6999998092651367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26.699999809265137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52155.073339616923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-8.3000001907348633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26.300000190734863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52181.373339807658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-7.8000001907348633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25.800000190734863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52207.173339998393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-4.3000001907348633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22.300000190734863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52229.473340189128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-2.2999999523162842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20.299999952316284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52249.773340141444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-4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22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52271.773340141444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-8.8000001907348633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26.800000190734863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52298.573340332179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-7.4000000953674316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25.400000095367432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52323.973340427547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-4.3000001907348633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22.300000190734863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52346.273340618282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-1.2000000476837158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19.200000047683716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52365.473340665965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-1.6000000238418579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19.600000023841858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52385.073340689807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-9.6000003814697266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27.600000381469727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52412.673341071277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-13.5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31.5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52444.173341071277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-16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34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52478.173341071277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-14.899999618530273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32.899999618530273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52511.073340689807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-7.9000000953674316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25.900000095367432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52536.973340785175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-10.100000381469727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28.100000381469727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52565.073341166644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-7.3000001907348633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25.300000190734863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52590.373341357379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-3.2999999523162842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21.299999952316284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52611.673341309695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-2.7999999523162842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20.799999952316284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52632.473341262012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-0.60000002384185791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18.600000023841858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52651.073341285854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-1.2999999523162842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19.299999952316284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52670.37334123817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-1.6000000238418579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19.600000023841858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52689.973341262012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-0.60000002384185791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18.600000023841858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52708.573341285854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-6.9000000953674316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24.900000095367432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52733.473341381221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-4.9000000953674316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22.900000095367432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52756.373341476588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0.20000000298023224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17.799999997019768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52774.173341473608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-4.0999999046325684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22.099999904632568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52796.273341378241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-6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24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52820.273341378241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-2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20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52840.273341378241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-6.8000001907348633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24.800000190734863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52865.073341568976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-4.1999998092651367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22.199999809265137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52887.273341378241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-7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25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52912.273341378241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-8.1000003814697266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26.100000381469727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52938.37334175971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-8.8000001907348633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26.800000190734863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52965.173341950445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-7.1999998092651367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25.199999809265137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52990.37334175971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-5.4000000953674316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23.400000095367432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53013.773341855078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-8.1000003814697266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26.100000381469727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53039.873342236548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-4.0999999046325684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22.099999904632568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53061.97334214118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-4.5999999046325684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22.599999904632568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53084.573342045813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-11.199999809265137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29.199999809265137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53113.773341855078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-12.399999618530273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30.399999618530273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53144.173341473608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-12.100000381469727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30.100000381469727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53174.273341855078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-8.1999998092651367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26.199999809265137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53200.473341664343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-5.5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23.5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53223.973341664343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-4.6999998092651367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22.699999809265137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53246.673341473608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-1.7000000476837158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19.700000047683716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53266.373341521292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2.2999999523162842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15.700000047683716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53282.073341568976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3.2999999523162842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14.700000047683716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53296.773341616659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0.40000000596046448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17.599999994039536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53314.373341610699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2.7000000476837158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15.299999952316284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53329.673341563015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3.9000000953674316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14.099999904632568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53343.773341467648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-4.1999998092651367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22.199999809265137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53365.973341276913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-5.8000001907348633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23.800000190734863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53389.773341467648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-1.5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19.5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53409.273341467648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4.4000000953674316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13.599999904632568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53422.87334137228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7.0999999046325684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10.900000095367432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53433.773341467648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-1.7000000476837158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19.700000047683716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53453.473341515331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0.60000002384185791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17.399999976158142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53470.87334149149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-1.5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19.5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53490.37334149149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6.3000001907348633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11.699999809265137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53502.073341300755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8.5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9.5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53511.573341300755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5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53524.573341300755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1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17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53541.573341300755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2.5999999046325684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15.400000095367432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53556.973341396122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9.3000001907348633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8.6999998092651367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53565.673341205387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15.800000190734863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2.1999998092651367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53567.873341014652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7.8000001907348633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10.199999809265137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53578.073340823918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2.4000000953674316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15.599999904632568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53593.67334072855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9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53602.67334072855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15.800000190734863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2.1999998092651367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53604.873340537815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6.5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11.5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53616.373340537815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2.5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15.5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53631.873340537815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1.7000000476837158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16.299999952316284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53648.173340490132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-1.7999999523162842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19.799999952316284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53667.973340442448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3.4000000953674316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14.599999904632568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53682.57334034708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1.1000000238418579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16.899999976158142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53699.473340323239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-0.60000002384185791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18.600000023841858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53718.07334034708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5.1999998092651367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12.800000190734863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53730.873340537815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6.5999999046325684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11.400000095367432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53742.273340633183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8.8999996185302734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9.1000003814697266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53751.373341014652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11.699999809265137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6.3000001907348633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53757.673341205387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6.5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11.5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53769.173341205387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0.10000000149011612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17.899999998509884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53787.073341203897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6.9000000953674316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11.099999904632568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53798.17334110853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11.5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6.5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53804.67334110853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3.7000000476837158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14.299999952316284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53818.973341060846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4.5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13.5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53832.473341060846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2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16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53848.473341060846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2.4000000953674316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15.599999904632568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53864.073340965479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-1.7999999523162842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19.799999952316284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53883.873340917795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0.69999998807907104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17.300000011920929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53901.173340929716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1.2000000476837158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16.799999952316284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53917.973340882032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3.4000000953674316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14.599999904632568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53932.573340786665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4.5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13.5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53946.073340786665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7.6999998092651367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10.300000190734863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53956.373340977399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14.699999809265137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3.3000001907348633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53959.673341168134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6.5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11.5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53971.173341168134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3.2000000476837158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14.799999952316284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53985.973341120451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6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12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53997.973341120451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16.100000381469727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1.8999996185302734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53999.873340738981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11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7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54006.873340738981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4.5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13.5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54020.373340738981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15.699999809265137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2.3000001907348633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54022.673340929716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11.600000381469727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6.3999996185302734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54029.073340548246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11.899999618530273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6.1000003814697266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54035.173340929716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15.300000190734863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2.6999998092651367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54037.873340738981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14.800000190734863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3.1999998092651367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54041.073340548246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5.1999998092651367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12.800000190734863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54053.873340738981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8.5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9.5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54063.373340738981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13.899999618530273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4.1000003814697266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54067.473341120451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16.299999237060547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1.7000007629394531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54069.17334188339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4.5999999046325684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13.400000095367432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54082.573341978758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12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6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54088.573341978758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13.300000190734863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4.6999998092651367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54093.273341788023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5.6999998092651367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12.300000190734863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54105.573341978758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7.4000000953674316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10.599999904632568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54116.17334188339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11.100000381469727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6.8999996185302734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54123.07334150192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13.100000381469727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4.8999996185302734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54127.973341120451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13.100000381469727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4.8999996185302734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54132.873340738981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5.4000000953674316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12.599999904632568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54145.473340643613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8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10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54155.473340643613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10.650000095367432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7.3499999046325684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54162.823340548246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13.300000190734863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4.6999998092651367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54167.523340357511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15.950000286102295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2.0499997138977051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54169.573340071409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18.600000381469727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0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54169.573340071409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21.100000381469727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0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54169.573340071409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19.833333333333332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0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54169.573340071409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18.566666285196938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54169.573340071409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17.299999237060547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0.70000076293945313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54170.273340834348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10.399999618530273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7.6000003814697266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54177.873341215818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6.9000000953674316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11.099999904632568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54188.973341120451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/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9.7999999523162842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54198.773341072767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9.5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8.5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54207.273341072767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10.399999618530273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7.6000003814697266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54214.873341454237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8.8000001907348633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9.1999998092651367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54224.073341263502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9.6000003814697266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8.3999996185302734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54232.473340882032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9.6000003814697266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8.3999996185302734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54240.873340500562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10.100000381469727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7.8999996185302734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54248.773340119093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15.100000381469727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2.8999996185302734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54251.673339737623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12.5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5.5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54257.173339737623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/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5.5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54262.673339737623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/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 t="e">
        <f>IF(G4169&lt;&gt;"",MAX('DDD Model Calculations'!$D$20-'Weather Data'!G4169,0),MAX('DDD Model Calculations'!$D$20-AVERAGE('Weather Data'!G4168,'Weather Data'!G4170),0))</f>
        <v>#DIV/0!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 t="e">
        <f t="shared" si="326"/>
        <v>#DIV/0!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/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 t="e">
        <f>IF(G4170&lt;&gt;"",MAX('DDD Model Calculations'!$D$20-'Weather Data'!G4170,0),MAX('DDD Model Calculations'!$D$20-AVERAGE('Weather Data'!G4169,'Weather Data'!G4171),0))</f>
        <v>#DIV/0!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 t="e">
        <f t="shared" si="326"/>
        <v>#DIV/0!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  <_dlc_DocId xmlns="bc9be6ef-036f-4d38-ab45-2a4da0c93cb0">C6U45NHNYSXQ-1603545759-313</_dlc_DocId>
    <_dlc_DocIdUrl xmlns="bc9be6ef-036f-4d38-ab45-2a4da0c93cb0">
      <Url>https://enbridge.sharepoint.com/teams/EB-2022-02002024Rebasing/_layouts/15/DocIdRedir.aspx?ID=C6U45NHNYSXQ-1603545759-313</Url>
      <Description>C6U45NHNYSXQ-1603545759-313</Description>
    </_dlc_DocIdUrl>
  </documentManagement>
</p:properties>
</file>

<file path=customXml/itemProps1.xml><?xml version="1.0" encoding="utf-8"?>
<ds:datastoreItem xmlns:ds="http://schemas.openxmlformats.org/officeDocument/2006/customXml" ds:itemID="{00FB748F-B1EE-48C7-96C1-E75A01001F84}"/>
</file>

<file path=customXml/itemProps2.xml><?xml version="1.0" encoding="utf-8"?>
<ds:datastoreItem xmlns:ds="http://schemas.openxmlformats.org/officeDocument/2006/customXml" ds:itemID="{476EDBEB-F669-411B-89A4-F1186924C14B}"/>
</file>

<file path=customXml/itemProps3.xml><?xml version="1.0" encoding="utf-8"?>
<ds:datastoreItem xmlns:ds="http://schemas.openxmlformats.org/officeDocument/2006/customXml" ds:itemID="{D718EF5E-78C3-48FA-9434-A59E49FFF1B5}"/>
</file>

<file path=customXml/itemProps4.xml><?xml version="1.0" encoding="utf-8"?>
<ds:datastoreItem xmlns:ds="http://schemas.openxmlformats.org/officeDocument/2006/customXml" ds:itemID="{0C30B9FE-1508-4E63-AB54-8BF3DE9A3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Renaud</dc:creator>
  <cp:keywords/>
  <dc:description/>
  <cp:lastModifiedBy>Monica Renaud</cp:lastModifiedBy>
  <cp:revision/>
  <dcterms:created xsi:type="dcterms:W3CDTF">2025-04-16T14:14:55Z</dcterms:created>
  <dcterms:modified xsi:type="dcterms:W3CDTF">2025-07-30T19:24:08Z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0x010100B6953C2E73E7484291599BAF42EEC68E</vt:lpwstr>
  </property>
  <property fmtid="{D5CDD505-2E9C-101B-9397-08002B2CF9AE}" pid="3" name="_dlc_DocIdItemGuid">
    <vt:lpwstr>3a515774-84db-49a2-9042-d5570e218e96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2025-06-20T15:24:39Z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4701d1e9-a58e-42d9-9e4e-0e17d3bc8c67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