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mrenaud_spectraenergy_com/Documents/20250801 Live Excel/"/>
    </mc:Choice>
  </mc:AlternateContent>
  <xr:revisionPtr revIDLastSave="0" documentId="8_{51951784-F644-48EE-BB77-0F0A4CD039E4}" xr6:coauthVersionLast="47" xr6:coauthVersionMax="47" xr10:uidLastSave="{00000000-0000-0000-0000-000000000000}"/>
  <bookViews>
    <workbookView xWindow="57480" yWindow="-105" windowWidth="29040" windowHeight="15720" firstSheet="2" activeTab="2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 l="1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P2" i="5" s="1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P3" i="5" l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P53" i="5" s="1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L22" i="3"/>
  <c r="K21" i="3"/>
  <c r="J22" i="3"/>
  <c r="K22" i="3"/>
  <c r="D25" i="3" s="1"/>
  <c r="L19" i="3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M69" i="4"/>
  <c r="M76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D24" i="3" l="1"/>
  <c r="D26" i="3"/>
  <c r="V92" i="4"/>
  <c r="U92" i="4"/>
  <c r="W123" i="4"/>
  <c r="W92" i="4"/>
  <c r="T123" i="4"/>
  <c r="T107" i="4"/>
  <c r="W107" i="4"/>
  <c r="V107" i="4"/>
  <c r="G49" i="4"/>
  <c r="G35" i="4"/>
  <c r="I54" i="4"/>
  <c r="I40" i="4"/>
  <c r="H59" i="4"/>
  <c r="K58" i="4" s="1"/>
  <c r="H45" i="4"/>
  <c r="K44" i="4" s="1"/>
  <c r="G48" i="4"/>
  <c r="G34" i="4"/>
  <c r="I53" i="4"/>
  <c r="I39" i="4"/>
  <c r="H58" i="4"/>
  <c r="K57" i="4" s="1"/>
  <c r="H44" i="4"/>
  <c r="K43" i="4" s="1"/>
  <c r="G47" i="4"/>
  <c r="G33" i="4"/>
  <c r="I52" i="4"/>
  <c r="I38" i="4"/>
  <c r="H57" i="4"/>
  <c r="K56" i="4" s="1"/>
  <c r="H43" i="4"/>
  <c r="K42" i="4" s="1"/>
  <c r="I32" i="4"/>
  <c r="H37" i="4"/>
  <c r="K36" i="4" s="1"/>
  <c r="L36" i="4" s="1"/>
  <c r="G51" i="4"/>
  <c r="G37" i="4"/>
  <c r="I56" i="4"/>
  <c r="I42" i="4"/>
  <c r="H61" i="4"/>
  <c r="K60" i="4" s="1"/>
  <c r="H47" i="4"/>
  <c r="K46" i="4" s="1"/>
  <c r="H33" i="4"/>
  <c r="K32" i="4" s="1"/>
  <c r="G60" i="4"/>
  <c r="G46" i="4"/>
  <c r="G32" i="4"/>
  <c r="I51" i="4"/>
  <c r="I37" i="4"/>
  <c r="H56" i="4"/>
  <c r="K55" i="4" s="1"/>
  <c r="H42" i="4"/>
  <c r="K41" i="4" s="1"/>
  <c r="G41" i="4"/>
  <c r="I46" i="4"/>
  <c r="H51" i="4"/>
  <c r="K50" i="4" s="1"/>
  <c r="G59" i="4"/>
  <c r="G45" i="4"/>
  <c r="G31" i="4"/>
  <c r="I50" i="4"/>
  <c r="I36" i="4"/>
  <c r="H55" i="4"/>
  <c r="K54" i="4" s="1"/>
  <c r="H41" i="4"/>
  <c r="K40" i="4" s="1"/>
  <c r="G58" i="4"/>
  <c r="G44" i="4"/>
  <c r="I49" i="4"/>
  <c r="N49" i="4" s="1"/>
  <c r="I35" i="4"/>
  <c r="N35" i="4" s="1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I60" i="4"/>
  <c r="N60" i="4" s="1"/>
  <c r="AA60" i="4" s="1"/>
  <c r="AE60" i="4" s="1"/>
  <c r="AI60" i="4" s="1"/>
  <c r="G56" i="4"/>
  <c r="G42" i="4"/>
  <c r="I47" i="4"/>
  <c r="N47" i="4" s="1"/>
  <c r="I33" i="4"/>
  <c r="N33" i="4" s="1"/>
  <c r="H52" i="4"/>
  <c r="K51" i="4" s="1"/>
  <c r="H38" i="4"/>
  <c r="K37" i="4" s="1"/>
  <c r="G55" i="4"/>
  <c r="G54" i="4"/>
  <c r="G40" i="4"/>
  <c r="I59" i="4"/>
  <c r="I45" i="4"/>
  <c r="I31" i="4"/>
  <c r="H50" i="4"/>
  <c r="K49" i="4" s="1"/>
  <c r="H36" i="4"/>
  <c r="K35" i="4" s="1"/>
  <c r="G52" i="4"/>
  <c r="G38" i="4"/>
  <c r="I57" i="4"/>
  <c r="I43" i="4"/>
  <c r="H48" i="4"/>
  <c r="K47" i="4" s="1"/>
  <c r="L47" i="4" s="1"/>
  <c r="M47" i="4" s="1"/>
  <c r="H34" i="4"/>
  <c r="K33" i="4" s="1"/>
  <c r="L33" i="4" s="1"/>
  <c r="M33" i="4" s="1"/>
  <c r="O33" i="4" s="1"/>
  <c r="G50" i="4"/>
  <c r="G36" i="4"/>
  <c r="I55" i="4"/>
  <c r="I41" i="4"/>
  <c r="H60" i="4"/>
  <c r="K59" i="4" s="1"/>
  <c r="H46" i="4"/>
  <c r="K45" i="4" s="1"/>
  <c r="H32" i="4"/>
  <c r="K31" i="4" s="1"/>
  <c r="G53" i="4"/>
  <c r="G39" i="4"/>
  <c r="I58" i="4"/>
  <c r="I44" i="4"/>
  <c r="H49" i="4"/>
  <c r="K48" i="4" s="1"/>
  <c r="H35" i="4"/>
  <c r="K34" i="4" s="1"/>
  <c r="T120" i="4"/>
  <c r="O60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H30" i="4"/>
  <c r="K29" i="4" s="1"/>
  <c r="I24" i="4"/>
  <c r="H29" i="4"/>
  <c r="K28" i="4" s="1"/>
  <c r="G30" i="4"/>
  <c r="I23" i="4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G10" i="4"/>
  <c r="I15" i="4"/>
  <c r="G2" i="4"/>
  <c r="H8" i="4"/>
  <c r="K7" i="4" s="1"/>
  <c r="G9" i="4"/>
  <c r="I14" i="4"/>
  <c r="H21" i="4"/>
  <c r="K20" i="4" s="1"/>
  <c r="L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H5" i="4"/>
  <c r="K4" i="4" s="1"/>
  <c r="G20" i="4"/>
  <c r="G6" i="4"/>
  <c r="I11" i="4"/>
  <c r="H18" i="4"/>
  <c r="K17" i="4" s="1"/>
  <c r="H4" i="4"/>
  <c r="K3" i="4" s="1"/>
  <c r="L3" i="4" s="1"/>
  <c r="G19" i="4"/>
  <c r="G5" i="4"/>
  <c r="I10" i="4"/>
  <c r="H17" i="4"/>
  <c r="K16" i="4" s="1"/>
  <c r="H3" i="4"/>
  <c r="G18" i="4"/>
  <c r="G4" i="4"/>
  <c r="I9" i="4"/>
  <c r="H16" i="4"/>
  <c r="K15" i="4" s="1"/>
  <c r="G17" i="4"/>
  <c r="G3" i="4"/>
  <c r="I8" i="4"/>
  <c r="H15" i="4"/>
  <c r="K14" i="4" s="1"/>
  <c r="G16" i="4"/>
  <c r="I7" i="4"/>
  <c r="H14" i="4"/>
  <c r="K13" i="4" s="1"/>
  <c r="G15" i="4"/>
  <c r="I20" i="4"/>
  <c r="I6" i="4"/>
  <c r="H13" i="4"/>
  <c r="K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L7" i="4" l="1"/>
  <c r="M7" i="4" s="1"/>
  <c r="N32" i="4"/>
  <c r="L14" i="4"/>
  <c r="N27" i="4"/>
  <c r="N43" i="4"/>
  <c r="L16" i="4"/>
  <c r="L19" i="4"/>
  <c r="L5" i="4"/>
  <c r="M5" i="4" s="1"/>
  <c r="L13" i="4"/>
  <c r="L40" i="4"/>
  <c r="M40" i="4" s="1"/>
  <c r="L54" i="4"/>
  <c r="M54" i="4" s="1"/>
  <c r="P54" i="4" s="1"/>
  <c r="Q54" i="4" s="1"/>
  <c r="L8" i="4"/>
  <c r="M8" i="4" s="1"/>
  <c r="L17" i="4"/>
  <c r="M17" i="4" s="1"/>
  <c r="N24" i="4"/>
  <c r="N45" i="4"/>
  <c r="L31" i="4"/>
  <c r="M31" i="4" s="1"/>
  <c r="L49" i="4"/>
  <c r="M49" i="4" s="1"/>
  <c r="L38" i="4"/>
  <c r="M38" i="4" s="1"/>
  <c r="P38" i="4" s="1"/>
  <c r="Q38" i="4" s="1"/>
  <c r="N36" i="4"/>
  <c r="L12" i="4"/>
  <c r="M12" i="4" s="1"/>
  <c r="M36" i="4"/>
  <c r="P36" i="4" s="1"/>
  <c r="Q36" i="4" s="1"/>
  <c r="L45" i="4"/>
  <c r="M45" i="4" s="1"/>
  <c r="N31" i="4"/>
  <c r="L52" i="4"/>
  <c r="M52" i="4" s="1"/>
  <c r="N50" i="4"/>
  <c r="L32" i="4"/>
  <c r="M32" i="4" s="1"/>
  <c r="L59" i="4"/>
  <c r="M59" i="4"/>
  <c r="N34" i="4"/>
  <c r="L46" i="4"/>
  <c r="M46" i="4" s="1"/>
  <c r="L43" i="4"/>
  <c r="M43" i="4" s="1"/>
  <c r="N41" i="4"/>
  <c r="N59" i="4"/>
  <c r="O59" i="4"/>
  <c r="P59" i="4"/>
  <c r="Q59" i="4" s="1"/>
  <c r="N48" i="4"/>
  <c r="L60" i="4"/>
  <c r="M60" i="4"/>
  <c r="L57" i="4"/>
  <c r="M57" i="4" s="1"/>
  <c r="L9" i="4"/>
  <c r="M9" i="4" s="1"/>
  <c r="N25" i="4"/>
  <c r="N55" i="4"/>
  <c r="N42" i="4"/>
  <c r="N39" i="4"/>
  <c r="O47" i="4"/>
  <c r="L50" i="4"/>
  <c r="M50" i="4" s="1"/>
  <c r="O50" i="4" s="1"/>
  <c r="N56" i="4"/>
  <c r="N53" i="4"/>
  <c r="N20" i="4"/>
  <c r="L6" i="4"/>
  <c r="M6" i="4" s="1"/>
  <c r="P60" i="4"/>
  <c r="Q60" i="4" s="1"/>
  <c r="P47" i="4"/>
  <c r="Q47" i="4" s="1"/>
  <c r="L39" i="4"/>
  <c r="M39" i="4" s="1"/>
  <c r="N46" i="4"/>
  <c r="L37" i="4"/>
  <c r="M37" i="4" s="1"/>
  <c r="L53" i="4"/>
  <c r="M53" i="4" s="1"/>
  <c r="L44" i="4"/>
  <c r="M44" i="4" s="1"/>
  <c r="L51" i="4"/>
  <c r="M51" i="4"/>
  <c r="O51" i="4" s="1"/>
  <c r="L41" i="4"/>
  <c r="M41" i="4" s="1"/>
  <c r="L48" i="4"/>
  <c r="M48" i="4" s="1"/>
  <c r="L55" i="4"/>
  <c r="M55" i="4" s="1"/>
  <c r="L58" i="4"/>
  <c r="M58" i="4" s="1"/>
  <c r="P33" i="4"/>
  <c r="Q33" i="4" s="1"/>
  <c r="N44" i="4"/>
  <c r="N57" i="4"/>
  <c r="N37" i="4"/>
  <c r="L42" i="4"/>
  <c r="M42" i="4" s="1"/>
  <c r="N40" i="4"/>
  <c r="N58" i="4"/>
  <c r="N51" i="4"/>
  <c r="L56" i="4"/>
  <c r="M56" i="4" s="1"/>
  <c r="N54" i="4"/>
  <c r="L34" i="4"/>
  <c r="M34" i="4" s="1"/>
  <c r="P34" i="4" s="1"/>
  <c r="Q34" i="4" s="1"/>
  <c r="L15" i="4"/>
  <c r="M15" i="4" s="1"/>
  <c r="L4" i="4"/>
  <c r="M4" i="4" s="1"/>
  <c r="N23" i="4"/>
  <c r="N29" i="4"/>
  <c r="N38" i="4"/>
  <c r="L18" i="4"/>
  <c r="M18" i="4" s="1"/>
  <c r="L35" i="4"/>
  <c r="M35" i="4" s="1"/>
  <c r="N52" i="4"/>
  <c r="O36" i="4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M13" i="4"/>
  <c r="N4" i="4"/>
  <c r="N6" i="4"/>
  <c r="N7" i="4"/>
  <c r="N12" i="4"/>
  <c r="M16" i="4"/>
  <c r="M11" i="4"/>
  <c r="N18" i="4"/>
  <c r="N15" i="4"/>
  <c r="N16" i="4"/>
  <c r="N11" i="4"/>
  <c r="N9" i="4"/>
  <c r="N10" i="4"/>
  <c r="M10" i="4"/>
  <c r="N8" i="4"/>
  <c r="M3" i="4"/>
  <c r="N3" i="4"/>
  <c r="M14" i="4"/>
  <c r="M20" i="4"/>
  <c r="M19" i="4"/>
  <c r="N14" i="4"/>
  <c r="N19" i="4"/>
  <c r="B6" i="6" l="1"/>
  <c r="P51" i="4"/>
  <c r="Q51" i="4" s="1"/>
  <c r="P35" i="4"/>
  <c r="Q35" i="4" s="1"/>
  <c r="O35" i="4"/>
  <c r="O40" i="4"/>
  <c r="P40" i="4"/>
  <c r="Q40" i="4" s="1"/>
  <c r="O54" i="4"/>
  <c r="O39" i="4"/>
  <c r="P39" i="4"/>
  <c r="Q39" i="4" s="1"/>
  <c r="O55" i="4"/>
  <c r="P55" i="4"/>
  <c r="Q55" i="4" s="1"/>
  <c r="O42" i="4"/>
  <c r="P42" i="4"/>
  <c r="Q42" i="4" s="1"/>
  <c r="P57" i="4"/>
  <c r="Q57" i="4" s="1"/>
  <c r="O57" i="4"/>
  <c r="P58" i="4"/>
  <c r="Q58" i="4" s="1"/>
  <c r="O58" i="4"/>
  <c r="P48" i="4"/>
  <c r="Q48" i="4" s="1"/>
  <c r="O48" i="4"/>
  <c r="O44" i="4"/>
  <c r="P44" i="4"/>
  <c r="Q44" i="4" s="1"/>
  <c r="P32" i="4"/>
  <c r="Q32" i="4" s="1"/>
  <c r="O32" i="4"/>
  <c r="P52" i="4"/>
  <c r="Q52" i="4" s="1"/>
  <c r="O52" i="4"/>
  <c r="O41" i="4"/>
  <c r="P41" i="4"/>
  <c r="Q41" i="4" s="1"/>
  <c r="P56" i="4"/>
  <c r="Q56" i="4" s="1"/>
  <c r="O56" i="4"/>
  <c r="P43" i="4"/>
  <c r="Q43" i="4" s="1"/>
  <c r="O43" i="4"/>
  <c r="P49" i="4"/>
  <c r="Q49" i="4" s="1"/>
  <c r="O49" i="4"/>
  <c r="P45" i="4"/>
  <c r="Q45" i="4" s="1"/>
  <c r="O45" i="4"/>
  <c r="O53" i="4"/>
  <c r="P53" i="4"/>
  <c r="Q53" i="4" s="1"/>
  <c r="P37" i="4"/>
  <c r="Q37" i="4" s="1"/>
  <c r="O37" i="4"/>
  <c r="O46" i="4"/>
  <c r="P46" i="4"/>
  <c r="Q46" i="4" s="1"/>
  <c r="P31" i="4"/>
  <c r="Q31" i="4" s="1"/>
  <c r="O31" i="4"/>
  <c r="O34" i="4"/>
  <c r="AA59" i="4"/>
  <c r="AE59" i="4" s="1"/>
  <c r="AI59" i="4" s="1"/>
  <c r="Y59" i="4"/>
  <c r="AC59" i="4" s="1"/>
  <c r="AG59" i="4" s="1"/>
  <c r="Z59" i="4"/>
  <c r="AD59" i="4" s="1"/>
  <c r="AH59" i="4" s="1"/>
  <c r="P50" i="4"/>
  <c r="Q50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 s="1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J59" i="4" l="1"/>
  <c r="R28" i="4"/>
  <c r="J29" i="4"/>
  <c r="V27" i="4"/>
  <c r="U27" i="4"/>
  <c r="T27" i="4"/>
  <c r="W27" i="4"/>
  <c r="R59" i="4" l="1"/>
  <c r="J60" i="4"/>
  <c r="R60" i="4" s="1"/>
  <c r="R29" i="4"/>
  <c r="J30" i="4"/>
  <c r="V28" i="4"/>
  <c r="T28" i="4"/>
  <c r="U28" i="4"/>
  <c r="W28" i="4"/>
  <c r="R30" i="4" l="1"/>
  <c r="J31" i="4"/>
  <c r="T59" i="4"/>
  <c r="U59" i="4"/>
  <c r="V59" i="4"/>
  <c r="W59" i="4"/>
  <c r="W60" i="4"/>
  <c r="U60" i="4"/>
  <c r="V60" i="4"/>
  <c r="T60" i="4"/>
  <c r="W30" i="4"/>
  <c r="T30" i="4"/>
  <c r="V30" i="4"/>
  <c r="U30" i="4"/>
  <c r="W29" i="4"/>
  <c r="U29" i="4"/>
  <c r="V29" i="4"/>
  <c r="T29" i="4"/>
  <c r="J32" i="4" l="1"/>
  <c r="R31" i="4"/>
  <c r="W31" i="4" l="1"/>
  <c r="V31" i="4"/>
  <c r="T31" i="4"/>
  <c r="U31" i="4"/>
  <c r="R32" i="4"/>
  <c r="J33" i="4"/>
  <c r="Z58" i="4" l="1"/>
  <c r="AD58" i="4" s="1"/>
  <c r="AH58" i="4" s="1"/>
  <c r="AA58" i="4"/>
  <c r="AE58" i="4" s="1"/>
  <c r="AI58" i="4" s="1"/>
  <c r="Y58" i="4"/>
  <c r="AC58" i="4" s="1"/>
  <c r="AG58" i="4" s="1"/>
  <c r="R33" i="4"/>
  <c r="J34" i="4"/>
  <c r="W32" i="4"/>
  <c r="T32" i="4"/>
  <c r="V32" i="4"/>
  <c r="U32" i="4"/>
  <c r="Y57" i="4"/>
  <c r="Z57" i="4"/>
  <c r="AA57" i="4"/>
  <c r="R34" i="4" l="1"/>
  <c r="J35" i="4"/>
  <c r="T33" i="4"/>
  <c r="W33" i="4"/>
  <c r="U33" i="4"/>
  <c r="V33" i="4"/>
  <c r="R35" i="4" l="1"/>
  <c r="J36" i="4"/>
  <c r="U34" i="4"/>
  <c r="W34" i="4"/>
  <c r="T34" i="4"/>
  <c r="V34" i="4"/>
  <c r="AC57" i="4"/>
  <c r="AG57" i="4" s="1"/>
  <c r="AD57" i="4"/>
  <c r="AH57" i="4" s="1"/>
  <c r="AE57" i="4"/>
  <c r="AI57" i="4" s="1"/>
  <c r="R36" i="4" l="1"/>
  <c r="J37" i="4"/>
  <c r="T35" i="4"/>
  <c r="U35" i="4"/>
  <c r="V35" i="4"/>
  <c r="W35" i="4"/>
  <c r="R37" i="4" l="1"/>
  <c r="J38" i="4"/>
  <c r="W36" i="4"/>
  <c r="V36" i="4"/>
  <c r="T36" i="4"/>
  <c r="U36" i="4"/>
  <c r="R38" i="4" l="1"/>
  <c r="J39" i="4"/>
  <c r="W37" i="4"/>
  <c r="U37" i="4"/>
  <c r="T37" i="4"/>
  <c r="V37" i="4"/>
  <c r="R39" i="4" l="1"/>
  <c r="J40" i="4"/>
  <c r="V38" i="4"/>
  <c r="U38" i="4"/>
  <c r="W38" i="4"/>
  <c r="T38" i="4"/>
  <c r="R40" i="4" l="1"/>
  <c r="J41" i="4"/>
  <c r="T39" i="4"/>
  <c r="U39" i="4"/>
  <c r="V39" i="4"/>
  <c r="W39" i="4"/>
  <c r="R41" i="4" l="1"/>
  <c r="J42" i="4"/>
  <c r="W40" i="4"/>
  <c r="T40" i="4"/>
  <c r="V40" i="4"/>
  <c r="U40" i="4"/>
  <c r="R42" i="4" l="1"/>
  <c r="J43" i="4"/>
  <c r="T41" i="4"/>
  <c r="U41" i="4"/>
  <c r="W41" i="4"/>
  <c r="V41" i="4"/>
  <c r="R43" i="4" l="1"/>
  <c r="J44" i="4"/>
  <c r="W42" i="4"/>
  <c r="U42" i="4"/>
  <c r="V42" i="4"/>
  <c r="T42" i="4"/>
  <c r="R44" i="4" l="1"/>
  <c r="J45" i="4"/>
  <c r="T43" i="4"/>
  <c r="W43" i="4"/>
  <c r="U43" i="4"/>
  <c r="V43" i="4"/>
  <c r="R45" i="4" l="1"/>
  <c r="J46" i="4"/>
  <c r="T44" i="4"/>
  <c r="V44" i="4"/>
  <c r="W44" i="4"/>
  <c r="U44" i="4"/>
  <c r="R46" i="4" l="1"/>
  <c r="J47" i="4"/>
  <c r="W45" i="4"/>
  <c r="U45" i="4"/>
  <c r="T45" i="4"/>
  <c r="V45" i="4"/>
  <c r="R47" i="4" l="1"/>
  <c r="J48" i="4"/>
  <c r="V46" i="4"/>
  <c r="W46" i="4"/>
  <c r="T46" i="4"/>
  <c r="U46" i="4"/>
  <c r="R48" i="4" l="1"/>
  <c r="J49" i="4"/>
  <c r="W47" i="4"/>
  <c r="T47" i="4"/>
  <c r="U47" i="4"/>
  <c r="V47" i="4"/>
  <c r="R49" i="4" l="1"/>
  <c r="J50" i="4"/>
  <c r="W48" i="4"/>
  <c r="T48" i="4"/>
  <c r="V48" i="4"/>
  <c r="U48" i="4"/>
  <c r="R50" i="4" l="1"/>
  <c r="J51" i="4"/>
  <c r="T49" i="4"/>
  <c r="V49" i="4"/>
  <c r="U49" i="4"/>
  <c r="W49" i="4"/>
  <c r="R51" i="4" l="1"/>
  <c r="J52" i="4"/>
  <c r="U50" i="4"/>
  <c r="T50" i="4"/>
  <c r="W50" i="4"/>
  <c r="V50" i="4"/>
  <c r="R52" i="4" l="1"/>
  <c r="J53" i="4"/>
  <c r="V51" i="4"/>
  <c r="U51" i="4"/>
  <c r="W51" i="4"/>
  <c r="T51" i="4"/>
  <c r="R53" i="4" l="1"/>
  <c r="J54" i="4"/>
  <c r="U52" i="4"/>
  <c r="V52" i="4"/>
  <c r="T52" i="4"/>
  <c r="W52" i="4"/>
  <c r="R54" i="4" l="1"/>
  <c r="J55" i="4"/>
  <c r="U53" i="4"/>
  <c r="T53" i="4"/>
  <c r="W53" i="4"/>
  <c r="V53" i="4"/>
  <c r="J56" i="4" l="1"/>
  <c r="R55" i="4"/>
  <c r="U54" i="4"/>
  <c r="W54" i="4"/>
  <c r="T54" i="4"/>
  <c r="V54" i="4"/>
  <c r="U55" i="4" l="1"/>
  <c r="W55" i="4"/>
  <c r="T55" i="4"/>
  <c r="V55" i="4"/>
  <c r="R56" i="4"/>
  <c r="J57" i="4"/>
  <c r="R57" i="4" l="1"/>
  <c r="J58" i="4"/>
  <c r="R58" i="4" s="1"/>
  <c r="U56" i="4"/>
  <c r="W56" i="4"/>
  <c r="V56" i="4"/>
  <c r="T56" i="4"/>
  <c r="T58" i="4" l="1"/>
  <c r="U58" i="4"/>
  <c r="W58" i="4"/>
  <c r="V58" i="4"/>
  <c r="U57" i="4"/>
  <c r="W57" i="4"/>
  <c r="V57" i="4"/>
  <c r="T57" i="4"/>
  <c r="M6" i="3" l="1"/>
  <c r="M7" i="3"/>
  <c r="M3" i="3"/>
  <c r="M8" i="3"/>
  <c r="N3" i="3"/>
  <c r="N7" i="3"/>
  <c r="N6" i="3"/>
  <c r="N8" i="3"/>
  <c r="L7" i="3"/>
  <c r="L6" i="3"/>
  <c r="L8" i="3"/>
  <c r="L3" i="3"/>
  <c r="L5" i="3" s="1"/>
  <c r="L10" i="3" s="1"/>
  <c r="K3" i="3"/>
  <c r="K5" i="3" s="1"/>
  <c r="K10" i="3" s="1"/>
  <c r="K7" i="3"/>
  <c r="K6" i="3"/>
  <c r="K8" i="3"/>
  <c r="N5" i="3" l="1"/>
  <c r="N10" i="3" s="1"/>
  <c r="L4" i="3"/>
  <c r="L9" i="3" s="1"/>
  <c r="L12" i="3" s="1"/>
  <c r="L13" i="3" s="1"/>
  <c r="N4" i="3"/>
  <c r="N9" i="3" s="1"/>
  <c r="N12" i="3" s="1"/>
  <c r="N13" i="3" s="1"/>
  <c r="M4" i="3"/>
  <c r="M9" i="3" s="1"/>
  <c r="K4" i="3"/>
  <c r="K9" i="3" s="1"/>
  <c r="X81" i="4"/>
  <c r="AB81" i="4" s="1"/>
  <c r="AF81" i="4" s="1"/>
  <c r="X61" i="4"/>
  <c r="AB61" i="4" s="1"/>
  <c r="AF61" i="4" s="1"/>
  <c r="X98" i="4"/>
  <c r="AB98" i="4" s="1"/>
  <c r="AF98" i="4" s="1"/>
  <c r="X72" i="4"/>
  <c r="AB72" i="4" s="1"/>
  <c r="AF72" i="4" s="1"/>
  <c r="X73" i="4"/>
  <c r="AB73" i="4" s="1"/>
  <c r="AF73" i="4" s="1"/>
  <c r="X67" i="4"/>
  <c r="AB67" i="4" s="1"/>
  <c r="AF67" i="4" s="1"/>
  <c r="X94" i="4"/>
  <c r="AB94" i="4" s="1"/>
  <c r="AF94" i="4" s="1"/>
  <c r="X123" i="4"/>
  <c r="AB123" i="4" s="1"/>
  <c r="AF123" i="4" s="1"/>
  <c r="X92" i="4"/>
  <c r="AB92" i="4" s="1"/>
  <c r="AF92" i="4" s="1"/>
  <c r="X130" i="4"/>
  <c r="AB130" i="4" s="1"/>
  <c r="AF130" i="4" s="1"/>
  <c r="X113" i="4"/>
  <c r="AB113" i="4" s="1"/>
  <c r="AF113" i="4" s="1"/>
  <c r="X117" i="4"/>
  <c r="AB117" i="4" s="1"/>
  <c r="AF117" i="4" s="1"/>
  <c r="X99" i="4"/>
  <c r="AB99" i="4" s="1"/>
  <c r="AF99" i="4" s="1"/>
  <c r="X79" i="4"/>
  <c r="AB79" i="4" s="1"/>
  <c r="AF79" i="4" s="1"/>
  <c r="X103" i="4"/>
  <c r="AB103" i="4" s="1"/>
  <c r="AF103" i="4" s="1"/>
  <c r="X65" i="4"/>
  <c r="AB65" i="4" s="1"/>
  <c r="AF65" i="4" s="1"/>
  <c r="X104" i="4"/>
  <c r="AB104" i="4" s="1"/>
  <c r="AF104" i="4" s="1"/>
  <c r="X96" i="4"/>
  <c r="AB96" i="4" s="1"/>
  <c r="AF96" i="4" s="1"/>
  <c r="K12" i="3"/>
  <c r="X116" i="4"/>
  <c r="AB116" i="4" s="1"/>
  <c r="AF116" i="4" s="1"/>
  <c r="X85" i="4"/>
  <c r="AB85" i="4" s="1"/>
  <c r="AF85" i="4" s="1"/>
  <c r="X120" i="4"/>
  <c r="AB120" i="4" s="1"/>
  <c r="AF120" i="4" s="1"/>
  <c r="X82" i="4"/>
  <c r="AB82" i="4" s="1"/>
  <c r="AF82" i="4" s="1"/>
  <c r="X101" i="4"/>
  <c r="AB101" i="4" s="1"/>
  <c r="AF101" i="4" s="1"/>
  <c r="X111" i="4"/>
  <c r="AB111" i="4" s="1"/>
  <c r="AF111" i="4" s="1"/>
  <c r="X74" i="4"/>
  <c r="AB74" i="4" s="1"/>
  <c r="AF74" i="4" s="1"/>
  <c r="X95" i="4"/>
  <c r="AB95" i="4" s="1"/>
  <c r="AF95" i="4" s="1"/>
  <c r="X80" i="4"/>
  <c r="AB80" i="4" s="1"/>
  <c r="AF80" i="4" s="1"/>
  <c r="X100" i="4"/>
  <c r="AB100" i="4" s="1"/>
  <c r="AF100" i="4" s="1"/>
  <c r="X77" i="4"/>
  <c r="AB77" i="4" s="1"/>
  <c r="AF77" i="4" s="1"/>
  <c r="X91" i="4"/>
  <c r="AB91" i="4" s="1"/>
  <c r="AF91" i="4" s="1"/>
  <c r="X133" i="4"/>
  <c r="AB133" i="4" s="1"/>
  <c r="AF133" i="4" s="1"/>
  <c r="X115" i="4"/>
  <c r="AB115" i="4" s="1"/>
  <c r="AF115" i="4" s="1"/>
  <c r="X114" i="4"/>
  <c r="AB114" i="4" s="1"/>
  <c r="AF114" i="4" s="1"/>
  <c r="X119" i="4"/>
  <c r="AB119" i="4" s="1"/>
  <c r="AF119" i="4" s="1"/>
  <c r="X64" i="4"/>
  <c r="AB64" i="4" s="1"/>
  <c r="AF64" i="4" s="1"/>
  <c r="X66" i="4"/>
  <c r="AB66" i="4" s="1"/>
  <c r="AF66" i="4" s="1"/>
  <c r="X118" i="4"/>
  <c r="AB118" i="4" s="1"/>
  <c r="AF118" i="4" s="1"/>
  <c r="X121" i="4"/>
  <c r="AB121" i="4" s="1"/>
  <c r="AF121" i="4" s="1"/>
  <c r="X106" i="4"/>
  <c r="AB106" i="4" s="1"/>
  <c r="AF106" i="4" s="1"/>
  <c r="X58" i="4"/>
  <c r="AB58" i="4" s="1"/>
  <c r="AF58" i="4" s="1"/>
  <c r="X125" i="4"/>
  <c r="AB125" i="4" s="1"/>
  <c r="AF125" i="4" s="1"/>
  <c r="X124" i="4"/>
  <c r="AB124" i="4" s="1"/>
  <c r="AF124" i="4" s="1"/>
  <c r="X87" i="4"/>
  <c r="AB87" i="4" s="1"/>
  <c r="AF87" i="4" s="1"/>
  <c r="X63" i="4"/>
  <c r="AB63" i="4" s="1"/>
  <c r="AF63" i="4" s="1"/>
  <c r="X84" i="4"/>
  <c r="AB84" i="4" s="1"/>
  <c r="AF84" i="4" s="1"/>
  <c r="X105" i="4"/>
  <c r="AB105" i="4" s="1"/>
  <c r="AF105" i="4" s="1"/>
  <c r="X110" i="4"/>
  <c r="AB110" i="4" s="1"/>
  <c r="AF110" i="4" s="1"/>
  <c r="X112" i="4"/>
  <c r="AB112" i="4" s="1"/>
  <c r="AF112" i="4" s="1"/>
  <c r="X122" i="4"/>
  <c r="AB122" i="4" s="1"/>
  <c r="AF122" i="4" s="1"/>
  <c r="X62" i="4"/>
  <c r="AB62" i="4" s="1"/>
  <c r="AF62" i="4" s="1"/>
  <c r="X131" i="4"/>
  <c r="AB131" i="4" s="1"/>
  <c r="AF131" i="4" s="1"/>
  <c r="X127" i="4"/>
  <c r="AB127" i="4" s="1"/>
  <c r="AF127" i="4" s="1"/>
  <c r="X59" i="4"/>
  <c r="AB59" i="4" s="1"/>
  <c r="AF59" i="4" s="1"/>
  <c r="X109" i="4"/>
  <c r="AB109" i="4" s="1"/>
  <c r="AF109" i="4" s="1"/>
  <c r="X68" i="4"/>
  <c r="AB68" i="4" s="1"/>
  <c r="AF68" i="4" s="1"/>
  <c r="X97" i="4"/>
  <c r="AB97" i="4" s="1"/>
  <c r="AF97" i="4" s="1"/>
  <c r="X102" i="4"/>
  <c r="AB102" i="4" s="1"/>
  <c r="AF102" i="4" s="1"/>
  <c r="X129" i="4"/>
  <c r="AB129" i="4" s="1"/>
  <c r="AF129" i="4" s="1"/>
  <c r="X108" i="4"/>
  <c r="AB108" i="4" s="1"/>
  <c r="AF108" i="4" s="1"/>
  <c r="X132" i="4"/>
  <c r="AB132" i="4" s="1"/>
  <c r="AF132" i="4" s="1"/>
  <c r="X69" i="4"/>
  <c r="AB69" i="4" s="1"/>
  <c r="AF69" i="4" s="1"/>
  <c r="X78" i="4"/>
  <c r="AB78" i="4" s="1"/>
  <c r="AF78" i="4" s="1"/>
  <c r="X60" i="4"/>
  <c r="AB60" i="4" s="1"/>
  <c r="AF60" i="4" s="1"/>
  <c r="X76" i="4"/>
  <c r="AB76" i="4" s="1"/>
  <c r="AF76" i="4" s="1"/>
  <c r="X88" i="4"/>
  <c r="AB88" i="4" s="1"/>
  <c r="AF88" i="4" s="1"/>
  <c r="X86" i="4"/>
  <c r="AB86" i="4" s="1"/>
  <c r="AF86" i="4" s="1"/>
  <c r="X75" i="4"/>
  <c r="AB75" i="4" s="1"/>
  <c r="AF75" i="4" s="1"/>
  <c r="X89" i="4"/>
  <c r="AB89" i="4" s="1"/>
  <c r="AF89" i="4" s="1"/>
  <c r="X107" i="4"/>
  <c r="AB107" i="4" s="1"/>
  <c r="AF107" i="4" s="1"/>
  <c r="X71" i="4"/>
  <c r="AB71" i="4" s="1"/>
  <c r="AF71" i="4" s="1"/>
  <c r="X128" i="4"/>
  <c r="AB128" i="4" s="1"/>
  <c r="AF128" i="4" s="1"/>
  <c r="X90" i="4"/>
  <c r="AB90" i="4" s="1"/>
  <c r="AF90" i="4" s="1"/>
  <c r="X83" i="4"/>
  <c r="AB83" i="4" s="1"/>
  <c r="AF83" i="4" s="1"/>
  <c r="X70" i="4"/>
  <c r="AB70" i="4" s="1"/>
  <c r="AF70" i="4" s="1"/>
  <c r="X93" i="4"/>
  <c r="AB93" i="4" s="1"/>
  <c r="AF93" i="4" s="1"/>
  <c r="X126" i="4"/>
  <c r="AB126" i="4" s="1"/>
  <c r="AF126" i="4" s="1"/>
  <c r="K13" i="3"/>
  <c r="X30" i="4" s="1"/>
  <c r="K14" i="3"/>
  <c r="X57" i="4"/>
  <c r="AB57" i="4" s="1"/>
  <c r="AF57" i="4" s="1"/>
  <c r="M5" i="3"/>
  <c r="M10" i="3" s="1"/>
  <c r="M12" i="3" s="1"/>
  <c r="M13" i="3" s="1"/>
  <c r="M15" i="3" s="1"/>
  <c r="X8" i="4" l="1"/>
  <c r="AA35" i="4"/>
  <c r="AA55" i="4"/>
  <c r="AA50" i="4"/>
  <c r="AA20" i="4"/>
  <c r="AA4" i="4"/>
  <c r="AA38" i="4"/>
  <c r="AA7" i="4"/>
  <c r="AA54" i="4"/>
  <c r="AA39" i="4"/>
  <c r="AA5" i="4"/>
  <c r="AA41" i="4"/>
  <c r="AA9" i="4"/>
  <c r="AA53" i="4"/>
  <c r="AA27" i="4"/>
  <c r="AA15" i="4"/>
  <c r="AA47" i="4"/>
  <c r="AA51" i="4"/>
  <c r="AA48" i="4"/>
  <c r="AA43" i="4"/>
  <c r="AA33" i="4"/>
  <c r="AA17" i="4"/>
  <c r="AA34" i="4"/>
  <c r="AA40" i="4"/>
  <c r="AA49" i="4"/>
  <c r="AA19" i="4"/>
  <c r="AA32" i="4"/>
  <c r="AA37" i="4"/>
  <c r="AA14" i="4"/>
  <c r="AA13" i="4"/>
  <c r="AA31" i="4"/>
  <c r="AA16" i="4"/>
  <c r="AA52" i="4"/>
  <c r="AA29" i="4"/>
  <c r="AA18" i="4"/>
  <c r="AA24" i="4"/>
  <c r="AA42" i="4"/>
  <c r="AA8" i="4"/>
  <c r="AA56" i="4"/>
  <c r="AA25" i="4"/>
  <c r="AA22" i="4"/>
  <c r="AA3" i="4"/>
  <c r="AA11" i="4"/>
  <c r="AA46" i="4"/>
  <c r="AA23" i="4"/>
  <c r="AA12" i="4"/>
  <c r="AA26" i="4"/>
  <c r="AA6" i="4"/>
  <c r="AA2" i="4"/>
  <c r="AA21" i="4"/>
  <c r="AA44" i="4"/>
  <c r="AA30" i="4"/>
  <c r="AA28" i="4"/>
  <c r="AA10" i="4"/>
  <c r="AA36" i="4"/>
  <c r="AA45" i="4"/>
  <c r="N15" i="3"/>
  <c r="Y22" i="4"/>
  <c r="Y37" i="4"/>
  <c r="Y5" i="4"/>
  <c r="Y3" i="4"/>
  <c r="Y4" i="4"/>
  <c r="Y50" i="4"/>
  <c r="Y28" i="4"/>
  <c r="Y49" i="4"/>
  <c r="Y54" i="4"/>
  <c r="Y15" i="4"/>
  <c r="Y12" i="4"/>
  <c r="Y36" i="4"/>
  <c r="Y7" i="4"/>
  <c r="Y42" i="4"/>
  <c r="Y17" i="4"/>
  <c r="Y25" i="4"/>
  <c r="Y55" i="4"/>
  <c r="Y33" i="4"/>
  <c r="Y6" i="4"/>
  <c r="Y9" i="4"/>
  <c r="Y41" i="4"/>
  <c r="Y52" i="4"/>
  <c r="Y20" i="4"/>
  <c r="Y24" i="4"/>
  <c r="Y43" i="4"/>
  <c r="Y51" i="4"/>
  <c r="Y16" i="4"/>
  <c r="Y27" i="4"/>
  <c r="Y34" i="4"/>
  <c r="Y13" i="4"/>
  <c r="Y46" i="4"/>
  <c r="Y48" i="4"/>
  <c r="Y44" i="4"/>
  <c r="Y19" i="4"/>
  <c r="Y30" i="4"/>
  <c r="Y31" i="4"/>
  <c r="Y32" i="4"/>
  <c r="Y56" i="4"/>
  <c r="Y23" i="4"/>
  <c r="Y26" i="4"/>
  <c r="Y47" i="4"/>
  <c r="Y40" i="4"/>
  <c r="Y53" i="4"/>
  <c r="Y14" i="4"/>
  <c r="Y35" i="4"/>
  <c r="Y39" i="4"/>
  <c r="Y38" i="4"/>
  <c r="Y8" i="4"/>
  <c r="Y10" i="4"/>
  <c r="Y29" i="4"/>
  <c r="Y21" i="4"/>
  <c r="Y11" i="4"/>
  <c r="Y45" i="4"/>
  <c r="Y2" i="4"/>
  <c r="Y18" i="4"/>
  <c r="L15" i="3"/>
  <c r="X56" i="4"/>
  <c r="X20" i="4"/>
  <c r="X55" i="4"/>
  <c r="X11" i="4"/>
  <c r="M14" i="3"/>
  <c r="X18" i="4"/>
  <c r="L14" i="3"/>
  <c r="X16" i="4"/>
  <c r="X24" i="4"/>
  <c r="X53" i="4"/>
  <c r="X49" i="4"/>
  <c r="X23" i="4"/>
  <c r="X48" i="4"/>
  <c r="Z23" i="4"/>
  <c r="Z39" i="4"/>
  <c r="Z28" i="4"/>
  <c r="Z27" i="4"/>
  <c r="Z17" i="4"/>
  <c r="Z5" i="4"/>
  <c r="Z19" i="4"/>
  <c r="Z51" i="4"/>
  <c r="Z33" i="4"/>
  <c r="Z26" i="4"/>
  <c r="Z13" i="4"/>
  <c r="Z37" i="4"/>
  <c r="Z14" i="4"/>
  <c r="Z34" i="4"/>
  <c r="Z49" i="4"/>
  <c r="Z11" i="4"/>
  <c r="Z42" i="4"/>
  <c r="Z44" i="4"/>
  <c r="Z6" i="4"/>
  <c r="Z30" i="4"/>
  <c r="Z46" i="4"/>
  <c r="Z31" i="4"/>
  <c r="Z4" i="4"/>
  <c r="Z9" i="4"/>
  <c r="Z36" i="4"/>
  <c r="Z20" i="4"/>
  <c r="Z15" i="4"/>
  <c r="Z52" i="4"/>
  <c r="Z45" i="4"/>
  <c r="Z16" i="4"/>
  <c r="Z55" i="4"/>
  <c r="Z8" i="4"/>
  <c r="Z48" i="4"/>
  <c r="Z56" i="4"/>
  <c r="Z29" i="4"/>
  <c r="Z12" i="4"/>
  <c r="Z54" i="4"/>
  <c r="Z21" i="4"/>
  <c r="Z10" i="4"/>
  <c r="Z2" i="4"/>
  <c r="Z18" i="4"/>
  <c r="Z43" i="4"/>
  <c r="Z47" i="4"/>
  <c r="Z40" i="4"/>
  <c r="Z53" i="4"/>
  <c r="Z25" i="4"/>
  <c r="Z7" i="4"/>
  <c r="Z35" i="4"/>
  <c r="Z32" i="4"/>
  <c r="Z38" i="4"/>
  <c r="Z3" i="4"/>
  <c r="Z50" i="4"/>
  <c r="Z41" i="4"/>
  <c r="Z22" i="4"/>
  <c r="Z24" i="4"/>
  <c r="X52" i="4"/>
  <c r="X41" i="4"/>
  <c r="X25" i="4"/>
  <c r="X43" i="4"/>
  <c r="X21" i="4"/>
  <c r="X9" i="4"/>
  <c r="X45" i="4"/>
  <c r="X37" i="4"/>
  <c r="X10" i="4"/>
  <c r="X17" i="4"/>
  <c r="X12" i="4"/>
  <c r="X19" i="4"/>
  <c r="X22" i="4"/>
  <c r="X15" i="4"/>
  <c r="X47" i="4"/>
  <c r="X28" i="4"/>
  <c r="X26" i="4"/>
  <c r="X7" i="4"/>
  <c r="X35" i="4"/>
  <c r="X4" i="4"/>
  <c r="X42" i="4"/>
  <c r="X36" i="4"/>
  <c r="X50" i="4"/>
  <c r="X2" i="4"/>
  <c r="X6" i="4"/>
  <c r="X38" i="4"/>
  <c r="X32" i="4"/>
  <c r="X31" i="4"/>
  <c r="X33" i="4"/>
  <c r="X44" i="4"/>
  <c r="N14" i="3"/>
  <c r="X5" i="4"/>
  <c r="X29" i="4"/>
  <c r="X34" i="4"/>
  <c r="X3" i="4"/>
  <c r="X51" i="4"/>
  <c r="X40" i="4"/>
  <c r="X54" i="4"/>
  <c r="X39" i="4"/>
  <c r="X46" i="4"/>
  <c r="X27" i="4"/>
  <c r="X14" i="4"/>
  <c r="X13" i="4"/>
  <c r="K15" i="3"/>
  <c r="AB50" i="4" l="1"/>
  <c r="AF50" i="4" s="1"/>
  <c r="AD54" i="4"/>
  <c r="AH54" i="4" s="1"/>
  <c r="K11" i="3"/>
  <c r="AB6" i="4" s="1"/>
  <c r="AF6" i="4" s="1"/>
  <c r="AB54" i="4"/>
  <c r="AF54" i="4" s="1"/>
  <c r="N11" i="3"/>
  <c r="AE12" i="4" s="1"/>
  <c r="AI12" i="4" s="1"/>
  <c r="L11" i="3"/>
  <c r="AC17" i="4" s="1"/>
  <c r="AG17" i="4" s="1"/>
  <c r="AB51" i="4"/>
  <c r="AF51" i="4" s="1"/>
  <c r="AC54" i="4"/>
  <c r="AG54" i="4" s="1"/>
  <c r="M11" i="3"/>
  <c r="AD18" i="4" s="1"/>
  <c r="AH18" i="4" s="1"/>
  <c r="AB44" i="4" l="1"/>
  <c r="AF44" i="4" s="1"/>
  <c r="AC3" i="4"/>
  <c r="AG3" i="4" s="1"/>
  <c r="AC33" i="4"/>
  <c r="AG33" i="4" s="1"/>
  <c r="AC48" i="4"/>
  <c r="AG48" i="4" s="1"/>
  <c r="AC13" i="4"/>
  <c r="AG13" i="4" s="1"/>
  <c r="AB24" i="4"/>
  <c r="AF24" i="4" s="1"/>
  <c r="AB3" i="4"/>
  <c r="AF3" i="4" s="1"/>
  <c r="AC28" i="4"/>
  <c r="AG28" i="4" s="1"/>
  <c r="AC25" i="4"/>
  <c r="AG25" i="4" s="1"/>
  <c r="AB45" i="4"/>
  <c r="AF45" i="4" s="1"/>
  <c r="AC41" i="4"/>
  <c r="AG41" i="4" s="1"/>
  <c r="AB40" i="4"/>
  <c r="AF40" i="4" s="1"/>
  <c r="AC30" i="4"/>
  <c r="AG30" i="4" s="1"/>
  <c r="AC14" i="4"/>
  <c r="AG14" i="4" s="1"/>
  <c r="AC6" i="4"/>
  <c r="AG6" i="4" s="1"/>
  <c r="AC10" i="4"/>
  <c r="AG10" i="4" s="1"/>
  <c r="AD45" i="4"/>
  <c r="AH45" i="4" s="1"/>
  <c r="AB20" i="4"/>
  <c r="AF20" i="4" s="1"/>
  <c r="AC44" i="4"/>
  <c r="AG44" i="4" s="1"/>
  <c r="AC38" i="4"/>
  <c r="AG38" i="4" s="1"/>
  <c r="AB47" i="4"/>
  <c r="AF47" i="4" s="1"/>
  <c r="AB21" i="4"/>
  <c r="AF21" i="4" s="1"/>
  <c r="AD34" i="4"/>
  <c r="AH34" i="4" s="1"/>
  <c r="AB33" i="4"/>
  <c r="AF33" i="4" s="1"/>
  <c r="AB7" i="4"/>
  <c r="AF7" i="4" s="1"/>
  <c r="AD3" i="4"/>
  <c r="AH3" i="4" s="1"/>
  <c r="AD47" i="4"/>
  <c r="AH47" i="4" s="1"/>
  <c r="AB22" i="4"/>
  <c r="AF22" i="4" s="1"/>
  <c r="AB19" i="4"/>
  <c r="AF19" i="4" s="1"/>
  <c r="AB41" i="4"/>
  <c r="AF41" i="4" s="1"/>
  <c r="AB48" i="4"/>
  <c r="AF48" i="4" s="1"/>
  <c r="AB23" i="4"/>
  <c r="AF23" i="4" s="1"/>
  <c r="AB17" i="4"/>
  <c r="AF17" i="4" s="1"/>
  <c r="AB5" i="4"/>
  <c r="AF5" i="4" s="1"/>
  <c r="AD32" i="4"/>
  <c r="AH32" i="4" s="1"/>
  <c r="AD43" i="4"/>
  <c r="AH43" i="4" s="1"/>
  <c r="AB4" i="4"/>
  <c r="AF4" i="4" s="1"/>
  <c r="AB37" i="4"/>
  <c r="AF37" i="4" s="1"/>
  <c r="AB28" i="4"/>
  <c r="AF28" i="4" s="1"/>
  <c r="AB42" i="4"/>
  <c r="AF42" i="4" s="1"/>
  <c r="AC15" i="4"/>
  <c r="AG15" i="4" s="1"/>
  <c r="AB13" i="4"/>
  <c r="AF13" i="4" s="1"/>
  <c r="AC5" i="4"/>
  <c r="AG5" i="4" s="1"/>
  <c r="AC39" i="4"/>
  <c r="AG39" i="4" s="1"/>
  <c r="AC51" i="4"/>
  <c r="AG51" i="4" s="1"/>
  <c r="AD56" i="4"/>
  <c r="AH56" i="4" s="1"/>
  <c r="AE2" i="4"/>
  <c r="AI2" i="4" s="1"/>
  <c r="AB39" i="4"/>
  <c r="AF39" i="4" s="1"/>
  <c r="AD31" i="4"/>
  <c r="AH31" i="4" s="1"/>
  <c r="AE42" i="4"/>
  <c r="AI42" i="4" s="1"/>
  <c r="AD36" i="4"/>
  <c r="AH36" i="4" s="1"/>
  <c r="AC56" i="4"/>
  <c r="AG56" i="4" s="1"/>
  <c r="AE52" i="4"/>
  <c r="AI52" i="4" s="1"/>
  <c r="AE10" i="4"/>
  <c r="AI10" i="4" s="1"/>
  <c r="AE19" i="4"/>
  <c r="AI19" i="4" s="1"/>
  <c r="AE34" i="4"/>
  <c r="AI34" i="4" s="1"/>
  <c r="AD20" i="4"/>
  <c r="AH20" i="4" s="1"/>
  <c r="AB36" i="4"/>
  <c r="AF36" i="4" s="1"/>
  <c r="AE32" i="4"/>
  <c r="AI32" i="4" s="1"/>
  <c r="AD55" i="4"/>
  <c r="AH55" i="4" s="1"/>
  <c r="AC55" i="4"/>
  <c r="AG55" i="4" s="1"/>
  <c r="AE41" i="4"/>
  <c r="AI41" i="4" s="1"/>
  <c r="AB11" i="4"/>
  <c r="AF11" i="4" s="1"/>
  <c r="AD24" i="4"/>
  <c r="AH24" i="4" s="1"/>
  <c r="AD35" i="4"/>
  <c r="AH35" i="4" s="1"/>
  <c r="AC50" i="4"/>
  <c r="AG50" i="4" s="1"/>
  <c r="AB49" i="4"/>
  <c r="AF49" i="4" s="1"/>
  <c r="AD12" i="4"/>
  <c r="AH12" i="4" s="1"/>
  <c r="AE44" i="4"/>
  <c r="AI44" i="4" s="1"/>
  <c r="AC43" i="4"/>
  <c r="AG43" i="4" s="1"/>
  <c r="AC11" i="4"/>
  <c r="AG11" i="4" s="1"/>
  <c r="AE15" i="4"/>
  <c r="AI15" i="4" s="1"/>
  <c r="AE28" i="4"/>
  <c r="AI28" i="4" s="1"/>
  <c r="AE46" i="4"/>
  <c r="AI46" i="4" s="1"/>
  <c r="AD28" i="4"/>
  <c r="AH28" i="4" s="1"/>
  <c r="AE16" i="4"/>
  <c r="AI16" i="4" s="1"/>
  <c r="AD30" i="4"/>
  <c r="AH30" i="4" s="1"/>
  <c r="AD51" i="4"/>
  <c r="AH51" i="4" s="1"/>
  <c r="AC22" i="4"/>
  <c r="AG22" i="4" s="1"/>
  <c r="AC32" i="4"/>
  <c r="AG32" i="4" s="1"/>
  <c r="AE14" i="4"/>
  <c r="AI14" i="4" s="1"/>
  <c r="AC53" i="4"/>
  <c r="AG53" i="4" s="1"/>
  <c r="AE45" i="4"/>
  <c r="AI45" i="4" s="1"/>
  <c r="AD53" i="4"/>
  <c r="AH53" i="4" s="1"/>
  <c r="AC46" i="4"/>
  <c r="AG46" i="4" s="1"/>
  <c r="AB38" i="4"/>
  <c r="AF38" i="4" s="1"/>
  <c r="AD17" i="4"/>
  <c r="AH17" i="4" s="1"/>
  <c r="AC7" i="4"/>
  <c r="AG7" i="4" s="1"/>
  <c r="AB34" i="4"/>
  <c r="AF34" i="4" s="1"/>
  <c r="AC9" i="4"/>
  <c r="AG9" i="4" s="1"/>
  <c r="AB46" i="4"/>
  <c r="AF46" i="4" s="1"/>
  <c r="AD38" i="4"/>
  <c r="AH38" i="4" s="1"/>
  <c r="AC49" i="4"/>
  <c r="AG49" i="4" s="1"/>
  <c r="AC36" i="4"/>
  <c r="AG36" i="4" s="1"/>
  <c r="AB53" i="4"/>
  <c r="AF53" i="4" s="1"/>
  <c r="AE56" i="4"/>
  <c r="AI56" i="4" s="1"/>
  <c r="AD10" i="4"/>
  <c r="AH10" i="4" s="1"/>
  <c r="AE18" i="4"/>
  <c r="AI18" i="4" s="1"/>
  <c r="AD21" i="4"/>
  <c r="AH21" i="4" s="1"/>
  <c r="AD42" i="4"/>
  <c r="AH42" i="4" s="1"/>
  <c r="AE27" i="4"/>
  <c r="AI27" i="4" s="1"/>
  <c r="AC34" i="4"/>
  <c r="AG34" i="4" s="1"/>
  <c r="AC20" i="4"/>
  <c r="AG20" i="4" s="1"/>
  <c r="AE11" i="4"/>
  <c r="AI11" i="4" s="1"/>
  <c r="AE25" i="4"/>
  <c r="AI25" i="4" s="1"/>
  <c r="AB56" i="4"/>
  <c r="AF56" i="4" s="1"/>
  <c r="AD52" i="4"/>
  <c r="AH52" i="4" s="1"/>
  <c r="AB43" i="4"/>
  <c r="AF43" i="4" s="1"/>
  <c r="AC35" i="4"/>
  <c r="AG35" i="4" s="1"/>
  <c r="AD14" i="4"/>
  <c r="AH14" i="4" s="1"/>
  <c r="AD6" i="4"/>
  <c r="AH6" i="4" s="1"/>
  <c r="AB52" i="4"/>
  <c r="AF52" i="4" s="1"/>
  <c r="AD26" i="4"/>
  <c r="AH26" i="4" s="1"/>
  <c r="AC19" i="4"/>
  <c r="AG19" i="4" s="1"/>
  <c r="AE36" i="4"/>
  <c r="AI36" i="4" s="1"/>
  <c r="AB10" i="4"/>
  <c r="AF10" i="4" s="1"/>
  <c r="AC52" i="4"/>
  <c r="AG52" i="4" s="1"/>
  <c r="AE53" i="4"/>
  <c r="AI53" i="4" s="1"/>
  <c r="AD13" i="4"/>
  <c r="AH13" i="4" s="1"/>
  <c r="AE49" i="4"/>
  <c r="AI49" i="4" s="1"/>
  <c r="AD5" i="4"/>
  <c r="AH5" i="4" s="1"/>
  <c r="AE54" i="4"/>
  <c r="AI54" i="4" s="1"/>
  <c r="AC42" i="4"/>
  <c r="AG42" i="4" s="1"/>
  <c r="AE55" i="4"/>
  <c r="AI55" i="4" s="1"/>
  <c r="AB26" i="4"/>
  <c r="AF26" i="4" s="1"/>
  <c r="AB55" i="4"/>
  <c r="AF55" i="4" s="1"/>
  <c r="AB27" i="4"/>
  <c r="AF27" i="4" s="1"/>
  <c r="AD48" i="4"/>
  <c r="AH48" i="4" s="1"/>
  <c r="AE4" i="4"/>
  <c r="AI4" i="4" s="1"/>
  <c r="AB12" i="4"/>
  <c r="AF12" i="4" s="1"/>
  <c r="AC8" i="4"/>
  <c r="AG8" i="4" s="1"/>
  <c r="AC18" i="4"/>
  <c r="AG18" i="4" s="1"/>
  <c r="AC21" i="4"/>
  <c r="AG21" i="4" s="1"/>
  <c r="AC31" i="4"/>
  <c r="AG31" i="4" s="1"/>
  <c r="AE39" i="4"/>
  <c r="AI39" i="4" s="1"/>
  <c r="AE38" i="4"/>
  <c r="AI38" i="4" s="1"/>
  <c r="AE50" i="4"/>
  <c r="AI50" i="4" s="1"/>
  <c r="AE33" i="4"/>
  <c r="AI33" i="4" s="1"/>
  <c r="AE13" i="4"/>
  <c r="AI13" i="4" s="1"/>
  <c r="AB14" i="4"/>
  <c r="AF14" i="4" s="1"/>
  <c r="AB30" i="4"/>
  <c r="AF30" i="4" s="1"/>
  <c r="AB8" i="4"/>
  <c r="AF8" i="4" s="1"/>
  <c r="AC29" i="4"/>
  <c r="AG29" i="4" s="1"/>
  <c r="AE40" i="4"/>
  <c r="AI40" i="4" s="1"/>
  <c r="AD37" i="4"/>
  <c r="AH37" i="4" s="1"/>
  <c r="AE26" i="4"/>
  <c r="AI26" i="4" s="1"/>
  <c r="AD19" i="4"/>
  <c r="AH19" i="4" s="1"/>
  <c r="AE17" i="4"/>
  <c r="AI17" i="4" s="1"/>
  <c r="AB2" i="4"/>
  <c r="AF2" i="4" s="1"/>
  <c r="AB16" i="4"/>
  <c r="AF16" i="4" s="1"/>
  <c r="AE8" i="4"/>
  <c r="AI8" i="4" s="1"/>
  <c r="AC26" i="4"/>
  <c r="AG26" i="4" s="1"/>
  <c r="AE35" i="4"/>
  <c r="AI35" i="4" s="1"/>
  <c r="AD2" i="4"/>
  <c r="AH2" i="4" s="1"/>
  <c r="AE47" i="4"/>
  <c r="AI47" i="4" s="1"/>
  <c r="AD27" i="4"/>
  <c r="AH27" i="4" s="1"/>
  <c r="AD7" i="4"/>
  <c r="AH7" i="4" s="1"/>
  <c r="AC12" i="4"/>
  <c r="AG12" i="4" s="1"/>
  <c r="AB18" i="4"/>
  <c r="AF18" i="4" s="1"/>
  <c r="AC40" i="4"/>
  <c r="AG40" i="4" s="1"/>
  <c r="AD16" i="4"/>
  <c r="AH16" i="4" s="1"/>
  <c r="AC45" i="4"/>
  <c r="AG45" i="4" s="1"/>
  <c r="AB9" i="4"/>
  <c r="AF9" i="4" s="1"/>
  <c r="AD15" i="4"/>
  <c r="AH15" i="4" s="1"/>
  <c r="AD40" i="4"/>
  <c r="AH40" i="4" s="1"/>
  <c r="AE23" i="4"/>
  <c r="AI23" i="4" s="1"/>
  <c r="AD22" i="4"/>
  <c r="AH22" i="4" s="1"/>
  <c r="AD8" i="4"/>
  <c r="AH8" i="4" s="1"/>
  <c r="AE20" i="4"/>
  <c r="AI20" i="4" s="1"/>
  <c r="AB35" i="4"/>
  <c r="AF35" i="4" s="1"/>
  <c r="AE6" i="4"/>
  <c r="AI6" i="4" s="1"/>
  <c r="AC2" i="4"/>
  <c r="AG2" i="4" s="1"/>
  <c r="AD46" i="4"/>
  <c r="AH46" i="4" s="1"/>
  <c r="AE24" i="4"/>
  <c r="AI24" i="4" s="1"/>
  <c r="AD41" i="4"/>
  <c r="AH41" i="4" s="1"/>
  <c r="AD33" i="4"/>
  <c r="AH33" i="4" s="1"/>
  <c r="AD50" i="4"/>
  <c r="AH50" i="4" s="1"/>
  <c r="AE3" i="4"/>
  <c r="AI3" i="4" s="1"/>
  <c r="AD9" i="4"/>
  <c r="AH9" i="4" s="1"/>
  <c r="AE37" i="4"/>
  <c r="AI37" i="4" s="1"/>
  <c r="AE51" i="4"/>
  <c r="AI51" i="4" s="1"/>
  <c r="AC24" i="4"/>
  <c r="AG24" i="4" s="1"/>
  <c r="AD39" i="4"/>
  <c r="AH39" i="4" s="1"/>
  <c r="AC27" i="4"/>
  <c r="AG27" i="4" s="1"/>
  <c r="AD11" i="4"/>
  <c r="AH11" i="4" s="1"/>
  <c r="AE30" i="4"/>
  <c r="AI30" i="4" s="1"/>
  <c r="AC47" i="4"/>
  <c r="AG47" i="4" s="1"/>
  <c r="AE43" i="4"/>
  <c r="AI43" i="4" s="1"/>
  <c r="AE7" i="4"/>
  <c r="AI7" i="4" s="1"/>
  <c r="AE22" i="4"/>
  <c r="AI22" i="4" s="1"/>
  <c r="AE31" i="4"/>
  <c r="AI31" i="4" s="1"/>
  <c r="AD44" i="4"/>
  <c r="AH44" i="4" s="1"/>
  <c r="AB31" i="4"/>
  <c r="AF31" i="4" s="1"/>
  <c r="AE29" i="4"/>
  <c r="AI29" i="4" s="1"/>
  <c r="AD23" i="4"/>
  <c r="AH23" i="4" s="1"/>
  <c r="AD49" i="4"/>
  <c r="AH49" i="4" s="1"/>
  <c r="AC16" i="4"/>
  <c r="AG16" i="4" s="1"/>
  <c r="AB25" i="4"/>
  <c r="AF25" i="4" s="1"/>
  <c r="AC37" i="4"/>
  <c r="AG37" i="4" s="1"/>
  <c r="AE9" i="4"/>
  <c r="AI9" i="4" s="1"/>
  <c r="AD25" i="4"/>
  <c r="AH25" i="4" s="1"/>
  <c r="AE48" i="4"/>
  <c r="AI48" i="4" s="1"/>
  <c r="AB29" i="4"/>
  <c r="AF29" i="4" s="1"/>
  <c r="AC4" i="4"/>
  <c r="AG4" i="4" s="1"/>
  <c r="AB32" i="4"/>
  <c r="AF32" i="4" s="1"/>
  <c r="AD29" i="4"/>
  <c r="AH29" i="4" s="1"/>
  <c r="AE21" i="4"/>
  <c r="AI21" i="4" s="1"/>
  <c r="AC23" i="4"/>
  <c r="AG23" i="4" s="1"/>
  <c r="AD4" i="4"/>
  <c r="AH4" i="4" s="1"/>
  <c r="AE5" i="4"/>
  <c r="AI5" i="4" s="1"/>
  <c r="AB15" i="4"/>
  <c r="AF15" i="4" s="1"/>
  <c r="E3" i="3" l="1"/>
  <c r="D6" i="3"/>
  <c r="D7" i="3"/>
  <c r="D3" i="3"/>
  <c r="D5" i="3" s="1"/>
  <c r="D10" i="3" s="1"/>
  <c r="D8" i="3"/>
  <c r="G3" i="3"/>
  <c r="G4" i="3" s="1"/>
  <c r="G9" i="3" s="1"/>
  <c r="G8" i="3"/>
  <c r="G6" i="3"/>
  <c r="G7" i="3"/>
  <c r="E6" i="3"/>
  <c r="E8" i="3"/>
  <c r="E5" i="3"/>
  <c r="E10" i="3" s="1"/>
  <c r="E7" i="3"/>
  <c r="F7" i="3"/>
  <c r="F3" i="3"/>
  <c r="F4" i="3" s="1"/>
  <c r="F9" i="3" s="1"/>
  <c r="F8" i="3"/>
  <c r="F6" i="3"/>
  <c r="G5" i="3" l="1"/>
  <c r="G10" i="3" s="1"/>
  <c r="G12" i="3" s="1"/>
  <c r="E4" i="3"/>
  <c r="E9" i="3" s="1"/>
  <c r="E12" i="3" s="1"/>
  <c r="F5" i="3"/>
  <c r="F10" i="3" s="1"/>
  <c r="F12" i="3" s="1"/>
  <c r="F13" i="3" s="1"/>
  <c r="F15" i="3" s="1"/>
  <c r="D4" i="3"/>
  <c r="D9" i="3" s="1"/>
  <c r="D12" i="3" s="1"/>
  <c r="D14" i="3" l="1"/>
  <c r="F14" i="3"/>
  <c r="E13" i="3"/>
  <c r="E15" i="3" s="1"/>
  <c r="E14" i="3"/>
  <c r="G14" i="3"/>
  <c r="G13" i="3"/>
  <c r="G15" i="3" s="1"/>
  <c r="D13" i="3"/>
  <c r="D15" i="3" s="1"/>
  <c r="B6" i="1" l="1"/>
  <c r="B7" i="1"/>
  <c r="B4" i="1"/>
  <c r="B5" i="1"/>
  <c r="D23" i="3"/>
  <c r="S92" i="4" l="1"/>
  <c r="S51" i="4"/>
  <c r="S83" i="4"/>
  <c r="S129" i="4"/>
  <c r="S35" i="4"/>
  <c r="S111" i="4"/>
  <c r="S78" i="4"/>
  <c r="S71" i="4"/>
  <c r="S7" i="4"/>
  <c r="S64" i="4"/>
  <c r="S122" i="4"/>
  <c r="S117" i="4"/>
  <c r="S107" i="4"/>
  <c r="S79" i="4"/>
  <c r="S37" i="4"/>
  <c r="S125" i="4"/>
  <c r="S94" i="4"/>
  <c r="S93" i="4"/>
  <c r="S73" i="4"/>
  <c r="S75" i="4"/>
  <c r="S95" i="4"/>
  <c r="S4" i="4"/>
  <c r="S131" i="4"/>
  <c r="S43" i="4"/>
  <c r="S30" i="4"/>
  <c r="S124" i="4"/>
  <c r="S105" i="4"/>
  <c r="S96" i="4"/>
  <c r="S110" i="4"/>
  <c r="S70" i="4"/>
  <c r="S88" i="4"/>
  <c r="S130" i="4"/>
  <c r="S50" i="4"/>
  <c r="S108" i="4"/>
  <c r="S6" i="4"/>
  <c r="S123" i="4"/>
  <c r="S91" i="4"/>
  <c r="S14" i="4"/>
  <c r="S33" i="4"/>
  <c r="S12" i="4"/>
  <c r="S115" i="4"/>
  <c r="S19" i="4"/>
  <c r="S34" i="4"/>
  <c r="S8" i="4"/>
  <c r="S65" i="4"/>
  <c r="S61" i="4"/>
  <c r="S102" i="4"/>
  <c r="S112" i="4"/>
  <c r="S114" i="4"/>
  <c r="S48" i="4"/>
  <c r="S58" i="4"/>
  <c r="S113" i="4"/>
  <c r="S9" i="4"/>
  <c r="S10" i="4"/>
  <c r="S101" i="4"/>
  <c r="S103" i="4"/>
  <c r="S42" i="4"/>
  <c r="S59" i="4"/>
  <c r="S36" i="4"/>
  <c r="S28" i="4"/>
  <c r="S119" i="4"/>
  <c r="S3" i="4"/>
  <c r="S13" i="4"/>
  <c r="S41" i="4"/>
  <c r="S99" i="4"/>
  <c r="S121" i="4"/>
  <c r="S15" i="4"/>
  <c r="S46" i="4"/>
  <c r="S47" i="4"/>
  <c r="S97" i="4"/>
  <c r="S44" i="4"/>
  <c r="S86" i="4"/>
  <c r="S82" i="4"/>
  <c r="S116" i="4"/>
  <c r="S32" i="4"/>
  <c r="S106" i="4"/>
  <c r="S25" i="4"/>
  <c r="S5" i="4"/>
  <c r="S74" i="4"/>
  <c r="S84" i="4"/>
  <c r="S118" i="4"/>
  <c r="S39" i="4"/>
  <c r="S132" i="4"/>
  <c r="S55" i="4"/>
  <c r="S56" i="4"/>
  <c r="S23" i="4"/>
  <c r="S57" i="4"/>
  <c r="S20" i="4"/>
  <c r="S120" i="4"/>
  <c r="S89" i="4"/>
  <c r="S45" i="4"/>
  <c r="S127" i="4"/>
  <c r="S98" i="4"/>
  <c r="S16" i="4"/>
  <c r="S87" i="4"/>
  <c r="S85" i="4"/>
  <c r="S60" i="4"/>
  <c r="S21" i="4"/>
  <c r="S2" i="4"/>
  <c r="S27" i="4"/>
  <c r="S52" i="4"/>
  <c r="S49" i="4"/>
  <c r="S22" i="4"/>
  <c r="S53" i="4"/>
  <c r="S77" i="4"/>
  <c r="S18" i="4"/>
  <c r="S40" i="4"/>
  <c r="S38" i="4"/>
  <c r="S54" i="4"/>
  <c r="S11" i="4"/>
  <c r="S63" i="4"/>
  <c r="S66" i="4"/>
  <c r="S72" i="4"/>
  <c r="S126" i="4"/>
  <c r="S29" i="4"/>
  <c r="S68" i="4"/>
  <c r="S109" i="4"/>
  <c r="S76" i="4"/>
  <c r="S100" i="4"/>
  <c r="S128" i="4"/>
  <c r="S104" i="4"/>
  <c r="S24" i="4"/>
  <c r="S80" i="4"/>
  <c r="S81" i="4"/>
  <c r="S26" i="4"/>
  <c r="S17" i="4"/>
  <c r="S31" i="4"/>
  <c r="S69" i="4"/>
  <c r="S62" i="4"/>
  <c r="S133" i="4"/>
  <c r="S90" i="4"/>
  <c r="S67" i="4"/>
  <c r="B8" i="1"/>
  <c r="B18" i="6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<sst xmlns="http://schemas.openxmlformats.org/spreadsheetml/2006/main" count="213" uniqueCount="127">
  <si>
    <t>Weather Zone</t>
  </si>
  <si>
    <t>Thunder Bay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</si>
  <si>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</si>
  <si>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</si>
  <si>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</si>
  <si>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</si>
  <si>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</si>
  <si>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</si>
  <si>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</si>
  <si>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</si>
  <si>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</si>
  <si>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</si>
  <si>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</si>
  <si>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</si>
  <si>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</si>
  <si>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</si>
  <si>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</si>
  <si>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</si>
  <si>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</si>
  <si>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</si>
  <si>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</si>
  <si>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</si>
  <si>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</si>
  <si>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</si>
  <si>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</si>
  <si>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</si>
  <si>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</si>
  <si>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</si>
  <si>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</si>
  <si>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</si>
  <si>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</si>
  <si>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</si>
  <si>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</si>
  <si>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</si>
  <si>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</si>
  <si>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</si>
  <si>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</si>
  <si>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</si>
  <si>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</si>
  <si>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</si>
  <si>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</si>
  <si>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</si>
  <si>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</si>
  <si>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</si>
  <si>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</si>
  <si>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</si>
  <si>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</si>
  <si>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</si>
  <si>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</si>
  <si>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</si>
  <si>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</si>
  <si>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</si>
  <si>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</si>
  <si>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</si>
  <si>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</si>
  <si>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</si>
  <si>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</si>
  <si>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</si>
  <si>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</si>
  <si>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</si>
  <si>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</si>
  <si>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</si>
  <si>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</si>
  <si>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</si>
  <si>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</si>
  <si>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</si>
  <si>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</si>
  <si>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</si>
  <si>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</si>
  <si>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</si>
  <si>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</si>
  <si>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</si>
  <si>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</si>
  <si>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</si>
  <si>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</si>
  <si>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</si>
  <si>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Ottawa</t>
  </si>
  <si>
    <t>Wx Column Index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</si>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</sst>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696.61332179930798</c:v>
                </c:pt>
                <c:pt idx="1">
                  <c:v>50.442622950819676</c:v>
                </c:pt>
                <c:pt idx="2">
                  <c:v>732.61004566210045</c:v>
                </c:pt>
                <c:pt idx="3">
                  <c:v>1052.7983870967741</c:v>
                </c:pt>
                <c:pt idx="7">
                  <c:v>2304.6593866345565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7.3743169542218823</c:v>
                </c:pt>
                <c:pt idx="1">
                  <c:v>10.243397098095691</c:v>
                </c:pt>
                <c:pt idx="2">
                  <c:v>6.4297206963672018</c:v>
                </c:pt>
                <c:pt idx="3">
                  <c:v>-3.5455373076141861</c:v>
                </c:pt>
                <c:pt idx="4">
                  <c:v>6.8653484259621571</c:v>
                </c:pt>
                <c:pt idx="5">
                  <c:v>17.829749087652853</c:v>
                </c:pt>
                <c:pt idx="6">
                  <c:v>7.6345029337364334</c:v>
                </c:pt>
                <c:pt idx="7">
                  <c:v>0.68629228388485686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575.36065573770497</c:v>
                </c:pt>
                <c:pt idx="1">
                  <c:v>707.68032786885249</c:v>
                </c:pt>
                <c:pt idx="2">
                  <c:v>994.64480874316939</c:v>
                </c:pt>
                <c:pt idx="3">
                  <c:v>50.442622950819676</c:v>
                </c:pt>
                <c:pt idx="4">
                  <c:v>495.74576271186442</c:v>
                </c:pt>
                <c:pt idx="5">
                  <c:v>1052.7983870967741</c:v>
                </c:pt>
                <c:pt idx="6">
                  <c:v>535.59649122807014</c:v>
                </c:pt>
                <c:pt idx="7">
                  <c:v>217.78260869565219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7.3743169542218823</c:v>
                </c:pt>
                <c:pt idx="1">
                  <c:v>10.243397098095691</c:v>
                </c:pt>
                <c:pt idx="2">
                  <c:v>6.8653484259621571</c:v>
                </c:pt>
                <c:pt idx="3">
                  <c:v>17.829749087652853</c:v>
                </c:pt>
                <c:pt idx="4">
                  <c:v>7.6345029337364334</c:v>
                </c:pt>
                <c:pt idx="5">
                  <c:v>0.68629228388485686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575.36065573770497</c:v>
                </c:pt>
                <c:pt idx="1">
                  <c:v>707.68032786885249</c:v>
                </c:pt>
                <c:pt idx="2">
                  <c:v>495.74576271186442</c:v>
                </c:pt>
                <c:pt idx="3">
                  <c:v>1052.7983870967741</c:v>
                </c:pt>
                <c:pt idx="4">
                  <c:v>535.59649122807014</c:v>
                </c:pt>
                <c:pt idx="5">
                  <c:v>217.78260869565219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G3" sqref="G3:G47"/>
    </sheetView>
  </sheetViews>
  <sheetFormatPr defaultColWidth="10.5" defaultRowHeight="15.75" x14ac:dyDescent="0.25"/>
  <cols>
    <col min="1" max="6" width="12.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>
        <v>4</v>
      </c>
      <c r="B3" s="11">
        <v>44370</v>
      </c>
      <c r="C3" s="11">
        <v>44404</v>
      </c>
      <c r="D3" s="12">
        <v>35</v>
      </c>
      <c r="E3" s="12">
        <v>189284</v>
      </c>
      <c r="F3" s="15" t="s">
        <v>9</v>
      </c>
      <c r="G3" s="19">
        <v>1743</v>
      </c>
      <c r="M3" s="2"/>
      <c r="N3" s="2"/>
      <c r="O3" s="2"/>
      <c r="U3" s="2"/>
      <c r="V3" s="2"/>
      <c r="W3" s="2"/>
    </row>
    <row r="4" spans="1:23" x14ac:dyDescent="0.25">
      <c r="A4" s="11">
        <v>4</v>
      </c>
      <c r="B4" s="11">
        <v>44405</v>
      </c>
      <c r="C4" s="11">
        <v>44435</v>
      </c>
      <c r="D4" s="12">
        <v>31</v>
      </c>
      <c r="E4" s="12">
        <v>189791</v>
      </c>
      <c r="F4" s="15" t="s">
        <v>9</v>
      </c>
      <c r="G4" s="19">
        <v>1590</v>
      </c>
      <c r="M4" s="2"/>
      <c r="N4" s="2"/>
      <c r="O4" s="2"/>
      <c r="U4" s="2"/>
      <c r="V4" s="2"/>
      <c r="W4" s="2"/>
    </row>
    <row r="5" spans="1:23" x14ac:dyDescent="0.25">
      <c r="A5" s="11">
        <v>4</v>
      </c>
      <c r="B5" s="11">
        <v>44436</v>
      </c>
      <c r="C5" s="11">
        <v>44466</v>
      </c>
      <c r="D5" s="12">
        <v>31</v>
      </c>
      <c r="E5" s="12">
        <v>190298</v>
      </c>
      <c r="F5" s="15" t="s">
        <v>9</v>
      </c>
      <c r="G5" s="19">
        <v>1590</v>
      </c>
      <c r="M5" s="2"/>
      <c r="N5" s="2"/>
      <c r="O5" s="2"/>
      <c r="U5" s="2"/>
      <c r="V5" s="2"/>
      <c r="W5" s="2"/>
    </row>
    <row r="6" spans="1:23" x14ac:dyDescent="0.25">
      <c r="A6" s="11">
        <v>4</v>
      </c>
      <c r="B6" s="11">
        <v>44467</v>
      </c>
      <c r="C6" s="11">
        <v>44496</v>
      </c>
      <c r="D6" s="12">
        <v>30</v>
      </c>
      <c r="E6" s="12">
        <v>192339</v>
      </c>
      <c r="F6" s="15" t="s">
        <v>9</v>
      </c>
      <c r="G6" s="19">
        <v>6401</v>
      </c>
      <c r="M6" s="2"/>
      <c r="N6" s="2"/>
      <c r="O6" s="2"/>
      <c r="U6" s="2"/>
      <c r="V6" s="2"/>
      <c r="W6" s="2"/>
    </row>
    <row r="7" spans="1:23" x14ac:dyDescent="0.25">
      <c r="A7" s="11">
        <v>4</v>
      </c>
      <c r="B7" s="11">
        <v>44497</v>
      </c>
      <c r="C7" s="11">
        <v>44526</v>
      </c>
      <c r="D7" s="12">
        <v>30</v>
      </c>
      <c r="E7" s="12">
        <v>198749</v>
      </c>
      <c r="F7" s="15" t="s">
        <v>9</v>
      </c>
      <c r="G7" s="19">
        <v>20102</v>
      </c>
      <c r="M7" s="2"/>
      <c r="N7" s="2"/>
      <c r="O7" s="2"/>
      <c r="U7" s="2"/>
      <c r="V7" s="2"/>
      <c r="W7" s="2"/>
    </row>
    <row r="8" spans="1:23" x14ac:dyDescent="0.25">
      <c r="A8" s="11">
        <v>4</v>
      </c>
      <c r="B8" s="11">
        <v>44527</v>
      </c>
      <c r="C8" s="11">
        <v>44559</v>
      </c>
      <c r="D8" s="12">
        <v>33</v>
      </c>
      <c r="E8" s="12">
        <v>208645</v>
      </c>
      <c r="F8" s="15" t="s">
        <v>9</v>
      </c>
      <c r="G8" s="19">
        <v>31034</v>
      </c>
      <c r="M8" s="2"/>
      <c r="N8" s="2"/>
      <c r="O8" s="2"/>
      <c r="U8" s="2"/>
      <c r="V8" s="2"/>
      <c r="W8" s="2"/>
    </row>
    <row r="9" spans="1:23" x14ac:dyDescent="0.25">
      <c r="A9" s="11">
        <v>4</v>
      </c>
      <c r="B9" s="11">
        <v>44560</v>
      </c>
      <c r="C9" s="11">
        <v>44588</v>
      </c>
      <c r="D9" s="12">
        <v>29</v>
      </c>
      <c r="E9" s="12">
        <v>221108</v>
      </c>
      <c r="F9" s="15" t="s">
        <v>9</v>
      </c>
      <c r="G9" s="19">
        <v>39084</v>
      </c>
      <c r="M9" s="2"/>
      <c r="N9" s="2"/>
      <c r="O9" s="2"/>
      <c r="U9" s="2"/>
      <c r="V9" s="2"/>
      <c r="W9" s="2"/>
    </row>
    <row r="10" spans="1:23" x14ac:dyDescent="0.25">
      <c r="A10" s="11">
        <v>4</v>
      </c>
      <c r="B10" s="11">
        <v>44589</v>
      </c>
      <c r="C10" s="11">
        <v>44617</v>
      </c>
      <c r="D10" s="12">
        <v>29</v>
      </c>
      <c r="E10" s="12">
        <v>233163</v>
      </c>
      <c r="F10" s="15" t="s">
        <v>9</v>
      </c>
      <c r="G10" s="19">
        <v>37804</v>
      </c>
      <c r="M10" s="2"/>
      <c r="N10" s="2"/>
      <c r="O10" s="2"/>
      <c r="U10" s="2"/>
      <c r="V10" s="2"/>
      <c r="W10" s="2"/>
    </row>
    <row r="11" spans="1:23" x14ac:dyDescent="0.25">
      <c r="A11" s="11">
        <v>4</v>
      </c>
      <c r="B11" s="11">
        <v>44618</v>
      </c>
      <c r="C11" s="11">
        <v>44648</v>
      </c>
      <c r="D11" s="12">
        <v>31</v>
      </c>
      <c r="E11" s="12">
        <v>247121</v>
      </c>
      <c r="F11" s="15" t="s">
        <v>10</v>
      </c>
      <c r="G11" s="19">
        <v>43772</v>
      </c>
      <c r="M11" s="2"/>
      <c r="N11" s="2"/>
      <c r="O11" s="2"/>
      <c r="U11" s="2"/>
      <c r="V11" s="2"/>
      <c r="W11" s="2"/>
    </row>
    <row r="12" spans="1:23" x14ac:dyDescent="0.25">
      <c r="A12" s="11">
        <v>4</v>
      </c>
      <c r="B12" s="11">
        <v>44649</v>
      </c>
      <c r="C12" s="11">
        <v>44678</v>
      </c>
      <c r="D12" s="12">
        <v>30</v>
      </c>
      <c r="E12" s="12">
        <v>254141</v>
      </c>
      <c r="F12" s="15" t="s">
        <v>9</v>
      </c>
      <c r="G12" s="19">
        <v>22015</v>
      </c>
      <c r="M12" s="2"/>
      <c r="N12" s="2"/>
      <c r="O12" s="2"/>
      <c r="U12" s="2"/>
      <c r="V12" s="2"/>
      <c r="W12" s="2"/>
    </row>
    <row r="13" spans="1:23" x14ac:dyDescent="0.25">
      <c r="A13" s="11">
        <v>4</v>
      </c>
      <c r="B13" s="11">
        <v>44679</v>
      </c>
      <c r="C13" s="11">
        <v>44708</v>
      </c>
      <c r="D13" s="12">
        <v>30</v>
      </c>
      <c r="E13" s="12">
        <v>256837</v>
      </c>
      <c r="F13" s="15" t="s">
        <v>9</v>
      </c>
      <c r="G13" s="19">
        <v>8455</v>
      </c>
      <c r="M13" s="2"/>
      <c r="N13" s="2"/>
      <c r="O13" s="2"/>
      <c r="U13" s="2"/>
      <c r="V13" s="2"/>
      <c r="W13" s="2"/>
    </row>
    <row r="14" spans="1:23" x14ac:dyDescent="0.25">
      <c r="A14" s="11">
        <v>4</v>
      </c>
      <c r="B14" s="11">
        <v>44709</v>
      </c>
      <c r="C14" s="11">
        <v>44739</v>
      </c>
      <c r="D14" s="12">
        <v>31</v>
      </c>
      <c r="E14" s="12">
        <v>257344</v>
      </c>
      <c r="F14" s="15" t="s">
        <v>9</v>
      </c>
      <c r="G14" s="19">
        <v>1590</v>
      </c>
      <c r="M14" s="2"/>
      <c r="N14" s="2"/>
      <c r="O14" s="2"/>
      <c r="U14" s="2"/>
      <c r="V14" s="2"/>
      <c r="W14" s="2"/>
    </row>
    <row r="15" spans="1:23" x14ac:dyDescent="0.25">
      <c r="A15" s="11">
        <v>4</v>
      </c>
      <c r="B15" s="11">
        <v>44740</v>
      </c>
      <c r="C15" s="11">
        <v>44769</v>
      </c>
      <c r="D15" s="12">
        <v>30</v>
      </c>
      <c r="E15" s="12">
        <v>257834</v>
      </c>
      <c r="F15" s="15" t="s">
        <v>9</v>
      </c>
      <c r="G15" s="19">
        <v>1537</v>
      </c>
      <c r="M15" s="2"/>
      <c r="N15" s="2"/>
      <c r="O15" s="2"/>
      <c r="U15" s="2"/>
      <c r="V15" s="2"/>
      <c r="W15" s="2"/>
    </row>
    <row r="16" spans="1:23" x14ac:dyDescent="0.25">
      <c r="A16" s="11">
        <v>4</v>
      </c>
      <c r="B16" s="11">
        <v>44770</v>
      </c>
      <c r="C16" s="11">
        <v>44802</v>
      </c>
      <c r="D16" s="12">
        <v>33</v>
      </c>
      <c r="E16" s="12">
        <v>258373</v>
      </c>
      <c r="F16" s="15" t="s">
        <v>9</v>
      </c>
      <c r="G16" s="19">
        <v>1690</v>
      </c>
      <c r="M16" s="2"/>
      <c r="N16" s="2"/>
      <c r="O16" s="2"/>
      <c r="U16" s="2"/>
      <c r="V16" s="2"/>
      <c r="W16" s="2"/>
    </row>
    <row r="17" spans="1:23" x14ac:dyDescent="0.25">
      <c r="A17" s="11">
        <v>4</v>
      </c>
      <c r="B17" s="11">
        <v>44803</v>
      </c>
      <c r="C17" s="11">
        <v>44832</v>
      </c>
      <c r="D17" s="12">
        <v>30</v>
      </c>
      <c r="E17" s="12">
        <v>259899</v>
      </c>
      <c r="F17" s="15" t="s">
        <v>10</v>
      </c>
      <c r="G17" s="19">
        <v>4785</v>
      </c>
      <c r="M17" s="2"/>
      <c r="N17" s="2"/>
      <c r="O17" s="2"/>
      <c r="U17" s="2"/>
      <c r="V17" s="2"/>
      <c r="W17" s="2"/>
    </row>
    <row r="18" spans="1:23" x14ac:dyDescent="0.25">
      <c r="A18" s="11">
        <v>4</v>
      </c>
      <c r="B18" s="11">
        <v>44833</v>
      </c>
      <c r="C18" s="11">
        <v>44861</v>
      </c>
      <c r="D18" s="12">
        <v>29</v>
      </c>
      <c r="E18" s="12">
        <v>263695</v>
      </c>
      <c r="F18" s="15" t="s">
        <v>9</v>
      </c>
      <c r="G18" s="19">
        <v>11904</v>
      </c>
      <c r="M18" s="2"/>
      <c r="N18" s="2"/>
      <c r="O18" s="2"/>
      <c r="U18" s="2"/>
      <c r="V18" s="2"/>
      <c r="W18" s="2"/>
    </row>
    <row r="19" spans="1:23" x14ac:dyDescent="0.25">
      <c r="A19" s="11">
        <v>4</v>
      </c>
      <c r="B19" s="11">
        <v>44862</v>
      </c>
      <c r="C19" s="11">
        <v>44889</v>
      </c>
      <c r="D19" s="12">
        <v>28</v>
      </c>
      <c r="E19" s="12">
        <v>269634</v>
      </c>
      <c r="F19" s="15" t="s">
        <v>10</v>
      </c>
      <c r="G19" s="19">
        <v>18625</v>
      </c>
      <c r="M19" s="2"/>
      <c r="N19" s="2"/>
      <c r="O19" s="2"/>
      <c r="U19" s="2"/>
      <c r="V19" s="2"/>
      <c r="W19" s="2"/>
    </row>
    <row r="20" spans="1:23" x14ac:dyDescent="0.25">
      <c r="A20" s="11">
        <v>4</v>
      </c>
      <c r="B20" s="11">
        <v>44890</v>
      </c>
      <c r="C20" s="11">
        <v>44923</v>
      </c>
      <c r="D20" s="12">
        <v>34</v>
      </c>
      <c r="E20" s="12">
        <v>279948</v>
      </c>
      <c r="F20" s="15" t="s">
        <v>9</v>
      </c>
      <c r="G20" s="19">
        <v>32344</v>
      </c>
      <c r="M20" s="2"/>
      <c r="N20" s="2"/>
      <c r="O20" s="2"/>
      <c r="U20" s="2"/>
      <c r="V20" s="2"/>
      <c r="W20" s="2"/>
    </row>
    <row r="21" spans="1:23" x14ac:dyDescent="0.25">
      <c r="A21" s="11">
        <v>4</v>
      </c>
      <c r="B21" s="11">
        <v>44924</v>
      </c>
      <c r="C21" s="11">
        <v>44984</v>
      </c>
      <c r="D21" s="12">
        <v>61</v>
      </c>
      <c r="E21" s="12">
        <v>290849</v>
      </c>
      <c r="F21" s="15" t="s">
        <v>9</v>
      </c>
      <c r="G21" s="19">
        <v>69054</v>
      </c>
      <c r="M21" s="2"/>
      <c r="N21" s="2"/>
      <c r="O21" s="2"/>
      <c r="U21" s="2"/>
      <c r="V21" s="2"/>
      <c r="W21" s="2"/>
    </row>
    <row r="22" spans="1:23" x14ac:dyDescent="0.25">
      <c r="A22" s="11">
        <v>4</v>
      </c>
      <c r="B22" s="11">
        <v>44985</v>
      </c>
      <c r="C22" s="11">
        <v>45013</v>
      </c>
      <c r="D22" s="12">
        <v>29</v>
      </c>
      <c r="E22" s="12">
        <v>311263</v>
      </c>
      <c r="F22" s="15" t="s">
        <v>10</v>
      </c>
      <c r="G22" s="19">
        <v>29149</v>
      </c>
      <c r="M22" s="2"/>
      <c r="N22" s="2"/>
      <c r="O22" s="2"/>
      <c r="U22" s="2"/>
      <c r="V22" s="2"/>
      <c r="W22" s="2"/>
    </row>
    <row r="23" spans="1:23" x14ac:dyDescent="0.25">
      <c r="A23" s="11">
        <v>4</v>
      </c>
      <c r="B23" s="11">
        <v>45014</v>
      </c>
      <c r="C23" s="11">
        <v>45043</v>
      </c>
      <c r="D23" s="12">
        <v>30</v>
      </c>
      <c r="E23" s="12">
        <v>317362</v>
      </c>
      <c r="F23" s="15" t="s">
        <v>9</v>
      </c>
      <c r="G23" s="19">
        <v>19126</v>
      </c>
      <c r="M23" s="2"/>
      <c r="N23" s="2"/>
      <c r="O23" s="2"/>
      <c r="U23" s="2"/>
      <c r="V23" s="2"/>
      <c r="W23" s="2"/>
    </row>
    <row r="24" spans="1:23" x14ac:dyDescent="0.25">
      <c r="A24" s="11">
        <v>4</v>
      </c>
      <c r="B24" s="11">
        <v>45044</v>
      </c>
      <c r="C24" s="11">
        <v>45072</v>
      </c>
      <c r="D24" s="12">
        <v>29</v>
      </c>
      <c r="E24" s="12">
        <v>320590</v>
      </c>
      <c r="F24" s="15" t="s">
        <v>10</v>
      </c>
      <c r="G24" s="19">
        <v>10123</v>
      </c>
      <c r="M24" s="2"/>
      <c r="N24" s="2"/>
      <c r="O24" s="2"/>
      <c r="U24" s="2"/>
      <c r="V24" s="2"/>
      <c r="W24" s="2"/>
    </row>
    <row r="25" spans="1:23" x14ac:dyDescent="0.25">
      <c r="A25" s="11">
        <v>4</v>
      </c>
      <c r="B25" s="11">
        <v>45073</v>
      </c>
      <c r="C25" s="11">
        <v>45103</v>
      </c>
      <c r="D25" s="12">
        <v>31</v>
      </c>
      <c r="E25" s="12">
        <v>321097</v>
      </c>
      <c r="F25" s="15" t="s">
        <v>9</v>
      </c>
      <c r="G25" s="19">
        <v>1590</v>
      </c>
      <c r="M25" s="2"/>
      <c r="N25" s="2"/>
      <c r="O25" s="2"/>
      <c r="U25" s="2"/>
      <c r="V25" s="2"/>
      <c r="W25" s="2"/>
    </row>
    <row r="26" spans="1:23" x14ac:dyDescent="0.25">
      <c r="A26" s="11">
        <v>4</v>
      </c>
      <c r="B26" s="11">
        <v>45104</v>
      </c>
      <c r="C26" s="11">
        <v>45133</v>
      </c>
      <c r="D26" s="12">
        <v>30</v>
      </c>
      <c r="E26" s="12">
        <v>321571</v>
      </c>
      <c r="F26" s="15" t="s">
        <v>10</v>
      </c>
      <c r="G26" s="19">
        <v>1487</v>
      </c>
      <c r="M26" s="2"/>
      <c r="N26" s="2"/>
      <c r="O26" s="2"/>
      <c r="U26" s="2"/>
      <c r="V26" s="2"/>
      <c r="W26" s="2"/>
    </row>
    <row r="27" spans="1:23" x14ac:dyDescent="0.25">
      <c r="A27" s="11">
        <v>4</v>
      </c>
      <c r="B27" s="11">
        <v>45134</v>
      </c>
      <c r="C27" s="11">
        <v>45166</v>
      </c>
      <c r="D27" s="12">
        <v>33</v>
      </c>
      <c r="E27" s="12">
        <v>322125</v>
      </c>
      <c r="F27" s="15" t="s">
        <v>9</v>
      </c>
      <c r="G27" s="19">
        <v>1737</v>
      </c>
      <c r="M27" s="2"/>
      <c r="N27" s="2"/>
      <c r="O27" s="2"/>
      <c r="U27" s="2"/>
      <c r="V27" s="2"/>
      <c r="W27" s="2"/>
    </row>
    <row r="28" spans="1:23" x14ac:dyDescent="0.25">
      <c r="A28" s="11">
        <v>4</v>
      </c>
      <c r="B28" s="11">
        <v>45167</v>
      </c>
      <c r="C28" s="11">
        <v>45196</v>
      </c>
      <c r="D28" s="12">
        <v>30</v>
      </c>
      <c r="E28" s="12">
        <v>322629</v>
      </c>
      <c r="F28" s="15" t="s">
        <v>9</v>
      </c>
      <c r="G28" s="19">
        <v>1581</v>
      </c>
      <c r="M28" s="2"/>
      <c r="N28" s="2"/>
      <c r="O28" s="2"/>
      <c r="U28" s="2"/>
      <c r="V28" s="2"/>
      <c r="W28" s="2"/>
    </row>
    <row r="29" spans="1:23" x14ac:dyDescent="0.25">
      <c r="A29" s="11">
        <v>4</v>
      </c>
      <c r="B29" s="11">
        <v>45197</v>
      </c>
      <c r="C29" s="11">
        <v>45229</v>
      </c>
      <c r="D29" s="12">
        <v>33</v>
      </c>
      <c r="E29" s="12">
        <v>326278</v>
      </c>
      <c r="F29" s="15" t="s">
        <v>9</v>
      </c>
      <c r="G29" s="19">
        <v>11443</v>
      </c>
      <c r="M29" s="2"/>
      <c r="N29" s="2"/>
      <c r="O29" s="2"/>
      <c r="U29" s="2"/>
      <c r="V29" s="2"/>
      <c r="W29" s="2"/>
    </row>
    <row r="30" spans="1:23" x14ac:dyDescent="0.25">
      <c r="A30" s="11">
        <v>4</v>
      </c>
      <c r="B30" s="11">
        <v>45230</v>
      </c>
      <c r="C30" s="11">
        <v>45257</v>
      </c>
      <c r="D30" s="12">
        <v>28</v>
      </c>
      <c r="E30" s="12">
        <v>333006</v>
      </c>
      <c r="F30" s="15" t="s">
        <v>9</v>
      </c>
      <c r="G30" s="19">
        <v>21099</v>
      </c>
      <c r="M30" s="2"/>
      <c r="N30" s="2"/>
      <c r="O30" s="2"/>
      <c r="U30" s="2"/>
      <c r="V30" s="2"/>
      <c r="W30" s="2"/>
    </row>
    <row r="31" spans="1:23" x14ac:dyDescent="0.25">
      <c r="A31" s="11">
        <v>4</v>
      </c>
      <c r="B31" s="11">
        <v>45258</v>
      </c>
      <c r="C31" s="11">
        <v>45287</v>
      </c>
      <c r="D31" s="12">
        <v>30</v>
      </c>
      <c r="E31" s="12">
        <v>341102</v>
      </c>
      <c r="F31" s="15" t="s">
        <v>9</v>
      </c>
      <c r="G31" s="19">
        <v>25389</v>
      </c>
      <c r="M31" s="2"/>
      <c r="N31" s="2"/>
      <c r="O31" s="2"/>
      <c r="U31" s="2"/>
      <c r="V31" s="2"/>
      <c r="W31" s="2"/>
    </row>
    <row r="32" spans="1:23" x14ac:dyDescent="0.25">
      <c r="A32" s="11">
        <v>4</v>
      </c>
      <c r="B32" s="11">
        <v>45288</v>
      </c>
      <c r="C32" s="11">
        <v>45317</v>
      </c>
      <c r="D32" s="12">
        <v>30</v>
      </c>
      <c r="E32" s="12">
        <v>351778</v>
      </c>
      <c r="F32" s="15" t="s">
        <v>9</v>
      </c>
      <c r="G32" s="19">
        <v>33480</v>
      </c>
      <c r="M32" s="2"/>
      <c r="N32" s="2"/>
      <c r="O32" s="2"/>
      <c r="U32" s="2"/>
      <c r="V32" s="2"/>
      <c r="W32" s="2"/>
    </row>
    <row r="33" spans="1:23" x14ac:dyDescent="0.25">
      <c r="A33" s="11">
        <v>4</v>
      </c>
      <c r="B33" s="11">
        <v>45318</v>
      </c>
      <c r="C33" s="11">
        <v>45348</v>
      </c>
      <c r="D33" s="12">
        <v>31</v>
      </c>
      <c r="E33" s="12">
        <v>360911</v>
      </c>
      <c r="F33" s="15" t="s">
        <v>9</v>
      </c>
      <c r="G33" s="19">
        <v>28641</v>
      </c>
      <c r="M33" s="2"/>
      <c r="N33" s="2"/>
      <c r="O33" s="2"/>
      <c r="U33" s="2"/>
      <c r="V33" s="2"/>
      <c r="W33" s="2"/>
    </row>
    <row r="34" spans="1:23" x14ac:dyDescent="0.25">
      <c r="A34" s="11">
        <v>4</v>
      </c>
      <c r="B34" s="11">
        <v>45349</v>
      </c>
      <c r="C34" s="11">
        <v>45377</v>
      </c>
      <c r="D34" s="12">
        <v>29</v>
      </c>
      <c r="E34" s="12">
        <v>368723</v>
      </c>
      <c r="F34" s="15" t="s">
        <v>9</v>
      </c>
      <c r="G34" s="19">
        <v>24498</v>
      </c>
      <c r="M34" s="2"/>
      <c r="N34" s="2"/>
      <c r="O34" s="2"/>
      <c r="U34" s="2"/>
      <c r="V34" s="2"/>
      <c r="W34" s="2"/>
    </row>
    <row r="35" spans="1:23" x14ac:dyDescent="0.25">
      <c r="A35" s="11">
        <v>4</v>
      </c>
      <c r="B35" s="11">
        <v>45378</v>
      </c>
      <c r="C35" s="11">
        <v>45407</v>
      </c>
      <c r="D35" s="12">
        <v>30</v>
      </c>
      <c r="E35" s="12">
        <v>374685</v>
      </c>
      <c r="F35" s="15" t="s">
        <v>9</v>
      </c>
      <c r="G35" s="19">
        <v>18697</v>
      </c>
      <c r="M35" s="2"/>
      <c r="N35" s="2"/>
      <c r="O35" s="2"/>
      <c r="U35" s="2"/>
      <c r="V35" s="2"/>
      <c r="W35" s="2"/>
    </row>
    <row r="36" spans="1:23" x14ac:dyDescent="0.25">
      <c r="A36" s="11">
        <v>4</v>
      </c>
      <c r="B36" s="11">
        <v>45408</v>
      </c>
      <c r="C36" s="11">
        <v>45436</v>
      </c>
      <c r="D36" s="12">
        <v>29</v>
      </c>
      <c r="E36" s="12">
        <v>377231</v>
      </c>
      <c r="F36" s="15" t="s">
        <v>9</v>
      </c>
      <c r="G36" s="19">
        <v>7984</v>
      </c>
      <c r="M36" s="2"/>
      <c r="N36" s="2"/>
      <c r="O36" s="2"/>
      <c r="U36" s="2"/>
      <c r="V36" s="2"/>
      <c r="W36" s="2"/>
    </row>
    <row r="37" spans="1:23" x14ac:dyDescent="0.25">
      <c r="A37" s="11">
        <v>4</v>
      </c>
      <c r="B37" s="11">
        <v>45230</v>
      </c>
      <c r="C37" s="11">
        <v>45469</v>
      </c>
      <c r="D37" s="12">
        <v>240</v>
      </c>
      <c r="E37" s="12">
        <v>336558</v>
      </c>
      <c r="F37" s="15" t="s">
        <v>9</v>
      </c>
      <c r="G37" s="19">
        <v>187794</v>
      </c>
      <c r="M37" s="2"/>
      <c r="N37" s="2"/>
      <c r="O37" s="2"/>
      <c r="U37" s="2"/>
      <c r="V37" s="2"/>
      <c r="W37" s="2"/>
    </row>
    <row r="38" spans="1:23" x14ac:dyDescent="0.25">
      <c r="A38" s="11">
        <v>4</v>
      </c>
      <c r="B38" s="11">
        <v>45470</v>
      </c>
      <c r="C38" s="11">
        <v>45499</v>
      </c>
      <c r="D38" s="12">
        <v>30</v>
      </c>
      <c r="E38" s="12">
        <v>386703</v>
      </c>
      <c r="F38" s="15" t="s">
        <v>10</v>
      </c>
      <c r="G38" s="19">
        <v>1697</v>
      </c>
      <c r="M38" s="2"/>
      <c r="N38" s="2"/>
      <c r="O38" s="2"/>
      <c r="U38" s="2"/>
      <c r="V38" s="2"/>
      <c r="W38" s="2"/>
    </row>
    <row r="39" spans="1:23" x14ac:dyDescent="0.25">
      <c r="A39" s="11">
        <v>4</v>
      </c>
      <c r="B39" s="11">
        <v>45500</v>
      </c>
      <c r="C39" s="11">
        <v>45531</v>
      </c>
      <c r="D39" s="12">
        <v>32</v>
      </c>
      <c r="E39" s="12">
        <v>387275</v>
      </c>
      <c r="F39" s="15" t="s">
        <v>9</v>
      </c>
      <c r="G39" s="19">
        <v>1794</v>
      </c>
      <c r="M39" s="2"/>
      <c r="N39" s="2"/>
      <c r="O39" s="2"/>
      <c r="U39" s="2"/>
      <c r="V39" s="2"/>
      <c r="W39" s="2"/>
    </row>
    <row r="40" spans="1:23" x14ac:dyDescent="0.25">
      <c r="A40" s="11">
        <v>4</v>
      </c>
      <c r="B40" s="11">
        <v>45532</v>
      </c>
      <c r="C40" s="11">
        <v>45560</v>
      </c>
      <c r="D40" s="12">
        <v>29</v>
      </c>
      <c r="E40" s="12">
        <v>387794</v>
      </c>
      <c r="F40" s="15" t="s">
        <v>9</v>
      </c>
      <c r="G40" s="19">
        <v>1628</v>
      </c>
      <c r="M40" s="2"/>
      <c r="N40" s="2"/>
      <c r="O40" s="2"/>
      <c r="U40" s="2"/>
      <c r="V40" s="2"/>
      <c r="W40" s="2"/>
    </row>
    <row r="41" spans="1:23" x14ac:dyDescent="0.25">
      <c r="A41" s="11">
        <v>4</v>
      </c>
      <c r="B41" s="11">
        <v>45561</v>
      </c>
      <c r="C41" s="11">
        <v>45593</v>
      </c>
      <c r="D41" s="12">
        <v>33</v>
      </c>
      <c r="E41" s="12">
        <v>390943</v>
      </c>
      <c r="F41" s="15" t="s">
        <v>9</v>
      </c>
      <c r="G41" s="19">
        <v>9876</v>
      </c>
      <c r="M41" s="2"/>
      <c r="N41" s="2"/>
      <c r="O41" s="2"/>
      <c r="U41" s="2"/>
      <c r="V41" s="2"/>
      <c r="W41" s="2"/>
    </row>
    <row r="42" spans="1:23" x14ac:dyDescent="0.25">
      <c r="A42" s="11">
        <v>4</v>
      </c>
      <c r="B42" s="11">
        <v>45594</v>
      </c>
      <c r="C42" s="11">
        <v>45626</v>
      </c>
      <c r="D42" s="12">
        <v>33</v>
      </c>
      <c r="E42" s="12">
        <v>395584</v>
      </c>
      <c r="F42" s="15" t="s">
        <v>9</v>
      </c>
      <c r="G42" s="19">
        <v>19412</v>
      </c>
      <c r="M42" s="2"/>
      <c r="N42" s="2"/>
      <c r="O42" s="2"/>
      <c r="U42" s="2"/>
      <c r="V42" s="2"/>
      <c r="W42" s="2"/>
    </row>
    <row r="43" spans="1:23" x14ac:dyDescent="0.25">
      <c r="A43" s="11">
        <v>4</v>
      </c>
      <c r="B43" s="11">
        <v>45627</v>
      </c>
      <c r="C43" s="11">
        <v>45653</v>
      </c>
      <c r="D43" s="12">
        <v>27</v>
      </c>
      <c r="E43" s="12">
        <v>405968</v>
      </c>
      <c r="F43" s="15" t="s">
        <v>9</v>
      </c>
      <c r="G43" s="19">
        <v>27706</v>
      </c>
      <c r="M43" s="2"/>
      <c r="N43" s="2"/>
      <c r="O43" s="2"/>
      <c r="U43" s="2"/>
      <c r="V43" s="2"/>
      <c r="W43" s="2"/>
    </row>
    <row r="44" spans="1:23" x14ac:dyDescent="0.25">
      <c r="A44" s="11">
        <v>4</v>
      </c>
      <c r="B44" s="11">
        <v>45654</v>
      </c>
      <c r="C44" s="11">
        <v>45715</v>
      </c>
      <c r="D44" s="12">
        <v>62</v>
      </c>
      <c r="E44" s="12">
        <v>418024</v>
      </c>
      <c r="F44" s="15" t="s">
        <v>9</v>
      </c>
      <c r="G44" s="19">
        <v>76041</v>
      </c>
      <c r="M44" s="2"/>
      <c r="N44" s="2"/>
      <c r="O44" s="2"/>
      <c r="U44" s="2"/>
      <c r="V44" s="2"/>
      <c r="W44" s="2"/>
    </row>
    <row r="45" spans="1:23" x14ac:dyDescent="0.25">
      <c r="A45" s="11">
        <v>4</v>
      </c>
      <c r="B45" s="11">
        <v>45716</v>
      </c>
      <c r="C45" s="11">
        <v>45743</v>
      </c>
      <c r="D45" s="12">
        <v>28</v>
      </c>
      <c r="E45" s="12">
        <v>441765</v>
      </c>
      <c r="F45" s="15" t="s">
        <v>10</v>
      </c>
      <c r="G45" s="19">
        <v>36217</v>
      </c>
      <c r="M45" s="2"/>
      <c r="O45" s="2"/>
      <c r="U45" s="2"/>
      <c r="W45" s="2"/>
    </row>
    <row r="46" spans="1:23" x14ac:dyDescent="0.25">
      <c r="A46" s="11">
        <v>4</v>
      </c>
      <c r="B46" s="11">
        <v>45744</v>
      </c>
      <c r="C46" s="11">
        <v>45775</v>
      </c>
      <c r="D46" s="12">
        <v>32</v>
      </c>
      <c r="E46" s="12">
        <v>449470</v>
      </c>
      <c r="F46" s="15" t="s">
        <v>9</v>
      </c>
      <c r="G46" s="19">
        <v>24162</v>
      </c>
      <c r="M46" s="2"/>
      <c r="O46" s="2"/>
      <c r="U46" s="2"/>
      <c r="W46" s="2"/>
    </row>
    <row r="47" spans="1:23" x14ac:dyDescent="0.25">
      <c r="A47" s="11"/>
      <c r="B47" s="11">
        <v>45776</v>
      </c>
      <c r="C47" s="11">
        <v>45804</v>
      </c>
      <c r="D47" s="12">
        <v>29</v>
      </c>
      <c r="E47" s="12">
        <v>452957</v>
      </c>
      <c r="F47" s="15" t="s">
        <v>10</v>
      </c>
      <c r="G47" s="19">
        <v>10935</v>
      </c>
      <c r="M47" s="2"/>
      <c r="O47" s="2"/>
      <c r="U47" s="2"/>
      <c r="W47" s="2"/>
    </row>
    <row r="48" spans="1:23" x14ac:dyDescent="0.25">
      <c r="A48" s="11"/>
      <c r="B48" s="11"/>
      <c r="C48" s="11"/>
      <c r="D48" s="12"/>
      <c r="E48" s="12"/>
      <c r="F48" s="15"/>
      <c r="G48" s="19"/>
      <c r="M48" s="2"/>
      <c r="O48" s="2"/>
      <c r="U48" s="2"/>
      <c r="W48" s="2"/>
    </row>
    <row r="49" spans="1:23" x14ac:dyDescent="0.25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 x14ac:dyDescent="0.25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 x14ac:dyDescent="0.25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 x14ac:dyDescent="0.25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 x14ac:dyDescent="0.25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 x14ac:dyDescent="0.25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 x14ac:dyDescent="0.25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 x14ac:dyDescent="0.25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 x14ac:dyDescent="0.25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 x14ac:dyDescent="0.25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 x14ac:dyDescent="0.25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 x14ac:dyDescent="0.25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 x14ac:dyDescent="0.25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 x14ac:dyDescent="0.25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 x14ac:dyDescent="0.25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B15" sqref="B15:C17"/>
    </sheetView>
  </sheetViews>
  <sheetFormatPr defaultColWidth="10.5" defaultRowHeight="15.75" x14ac:dyDescent="0.25"/>
  <cols>
    <col min="1" max="1" width="47" customWidth="1"/>
    <col min="2" max="2" width="10" customWidth="1"/>
  </cols>
  <sheetData>
    <row r="1" spans="1:3" x14ac:dyDescent="0.25">
      <c r="A1" t="s">
        <v>11</v>
      </c>
    </row>
    <row r="3" spans="1:3" x14ac:dyDescent="0.25">
      <c r="A3" t="s">
        <v>0</v>
      </c>
      <c r="B3" t="str">
        <f>'DDD Model Calculations'!D19</f>
        <v>Thunder Bay</v>
      </c>
    </row>
    <row r="5" spans="1:3" x14ac:dyDescent="0.25">
      <c r="A5" s="23" t="s">
        <v>12</v>
      </c>
      <c r="B5" s="23"/>
    </row>
    <row r="6" spans="1:3" x14ac:dyDescent="0.25">
      <c r="A6" t="s">
        <v>13</v>
      </c>
      <c r="B6" s="7">
        <f>SUM(WorkingData!$G$2:$G$133)/SUM(WorkingData!$I$2:$I$133)</f>
        <v>696.61332179930798</v>
      </c>
    </row>
    <row r="7" spans="1:3" x14ac:dyDescent="0.25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50.442622950819676</v>
      </c>
    </row>
    <row r="8" spans="1:3" x14ac:dyDescent="0.25">
      <c r="A8" t="s">
        <v>15</v>
      </c>
      <c r="B8" s="7">
        <f>SUMPRODUCT(WorkingData!$G$2:$G$133,WorkingData!$Q$2:$Q$133)/SUMPRODUCT(WorkingData!$I$2:$I$133,WorkingData!$Q$2:$Q$133)</f>
        <v>732.61004566210045</v>
      </c>
    </row>
    <row r="9" spans="1:3" x14ac:dyDescent="0.25">
      <c r="A9" t="s">
        <v>16</v>
      </c>
      <c r="B9" s="13">
        <f>SUMPRODUCT(WorkingData!$G$2:$G$133,WorkingData!$Q$2:$Q$133)/SUMPRODUCT(WorkingData!$M$2:$M$133,WorkingData!$Q$2:$Q$133)</f>
        <v>57.485803447189404</v>
      </c>
    </row>
    <row r="10" spans="1:3" x14ac:dyDescent="0.25">
      <c r="A10" t="s">
        <v>17</v>
      </c>
      <c r="B10" s="7">
        <f>_xlfn.XLOOKUP(MAX(WorkingData!$O$2:$O$133),WorkingData!$O$2:$O$133,WorkingData!$N$2:$N$133)</f>
        <v>1052.7983870967741</v>
      </c>
    </row>
    <row r="11" spans="1:3" x14ac:dyDescent="0.25">
      <c r="A11" t="s">
        <v>18</v>
      </c>
      <c r="B11" s="14">
        <f>_xlfn.XLOOKUP(MAX(WorkingData!$O$2:$O$133),WorkingData!$O$2:$O$133,WorkingData!$O$2:$O$133)</f>
        <v>22.829749087652853</v>
      </c>
    </row>
    <row r="12" spans="1:3" x14ac:dyDescent="0.25">
      <c r="A12" t="s">
        <v>19</v>
      </c>
      <c r="B12" s="14"/>
    </row>
    <row r="14" spans="1:3" x14ac:dyDescent="0.25">
      <c r="A14" s="17" t="s">
        <v>20</v>
      </c>
      <c r="B14" s="17" t="s">
        <v>21</v>
      </c>
      <c r="C14" s="17" t="s">
        <v>22</v>
      </c>
    </row>
    <row r="15" spans="1:3" x14ac:dyDescent="0.25">
      <c r="A15" t="s">
        <v>23</v>
      </c>
      <c r="B15" s="7"/>
      <c r="C15" s="14"/>
    </row>
    <row r="16" spans="1:3" x14ac:dyDescent="0.25">
      <c r="A16" t="s">
        <v>24</v>
      </c>
      <c r="B16" s="7"/>
      <c r="C16" s="14"/>
    </row>
    <row r="17" spans="1:3" x14ac:dyDescent="0.25">
      <c r="A17" t="s">
        <v>25</v>
      </c>
      <c r="B17" s="7"/>
      <c r="C17" s="14"/>
    </row>
    <row r="18" spans="1:3" x14ac:dyDescent="0.25">
      <c r="A18" t="s">
        <v>26</v>
      </c>
      <c r="B18" s="7">
        <f>'DDD Model Summary'!$B$6+(C18-5)*'DDD Model Summary'!$B$5</f>
        <v>2304.6593866345565</v>
      </c>
      <c r="C18" s="14">
        <f>'DDD Model Calculations'!D21</f>
        <v>48.2</v>
      </c>
    </row>
    <row r="19" spans="1:3" x14ac:dyDescent="0.25">
      <c r="B19" s="7"/>
    </row>
  </sheetData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130" zoomScaleNormal="130" workbookViewId="0">
      <selection activeCell="B8" sqref="B8"/>
    </sheetView>
  </sheetViews>
  <sheetFormatPr defaultColWidth="10.5" defaultRowHeight="15.75" x14ac:dyDescent="0.25"/>
  <cols>
    <col min="1" max="1" width="40" customWidth="1"/>
    <col min="2" max="2" width="10" customWidth="1"/>
  </cols>
  <sheetData>
    <row r="1" spans="1:2" x14ac:dyDescent="0.25">
      <c r="A1" t="s">
        <v>27</v>
      </c>
    </row>
    <row r="3" spans="1:2" x14ac:dyDescent="0.25">
      <c r="A3" t="s">
        <v>0</v>
      </c>
      <c r="B3" t="str">
        <f>'DDD Model Calculations'!D19</f>
        <v>Thunder Bay</v>
      </c>
    </row>
    <row r="4" spans="1:2" x14ac:dyDescent="0.25">
      <c r="A4" t="s">
        <v>28</v>
      </c>
      <c r="B4" s="6" t="str">
        <f>_xlfn.XLOOKUP(MAX('DDD Model Calculations'!$D$14:$G$14),'DDD Model Calculations'!$D$14:$G$14,'DDD Model Calculations'!$D2:$G2)</f>
        <v>4 years</v>
      </c>
    </row>
    <row r="5" spans="1:2" x14ac:dyDescent="0.25">
      <c r="A5" t="s">
        <v>29</v>
      </c>
      <c r="B5" s="13">
        <f>_xlfn.XLOOKUP(MAX('DDD Model Calculations'!$D$14:$G$14),'DDD Model Calculations'!$D$14:$G$14,'DDD Model Calculations'!$D12:$G12)</f>
        <v>49.111421684501416</v>
      </c>
    </row>
    <row r="6" spans="1:2" x14ac:dyDescent="0.25">
      <c r="A6" t="s">
        <v>30</v>
      </c>
      <c r="B6" s="13">
        <f>_xlfn.XLOOKUP(MAX('DDD Model Calculations'!$D$14:$G$14),'DDD Model Calculations'!$D$14:$G$14,'DDD Model Calculations'!$D13:$G13)</f>
        <v>183.04596986409535</v>
      </c>
    </row>
    <row r="7" spans="1:2" x14ac:dyDescent="0.25">
      <c r="A7" t="s">
        <v>31</v>
      </c>
      <c r="B7" s="13">
        <f>_xlfn.XLOOKUP(MAX('DDD Model Calculations'!$D$14:$G$14),'DDD Model Calculations'!$D$14:$G$14,'DDD Model Calculations'!$D14:$G14)</f>
        <v>0.99336501293604684</v>
      </c>
    </row>
    <row r="8" spans="1:2" x14ac:dyDescent="0.25">
      <c r="A8" t="s">
        <v>26</v>
      </c>
      <c r="B8" s="7">
        <f>B6+(B10)*B5</f>
        <v>2304.6593866345565</v>
      </c>
    </row>
    <row r="9" spans="1:2" x14ac:dyDescent="0.25">
      <c r="A9" t="s">
        <v>32</v>
      </c>
      <c r="B9">
        <f>'DDD Model Calculations'!D21</f>
        <v>48.2</v>
      </c>
    </row>
    <row r="10" spans="1:2" x14ac:dyDescent="0.25">
      <c r="A10" t="s">
        <v>33</v>
      </c>
      <c r="B10">
        <f>B9-5</f>
        <v>43.2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I23" sqref="I23"/>
    </sheetView>
  </sheetViews>
  <sheetFormatPr defaultColWidth="10.5" defaultRowHeight="15.75" x14ac:dyDescent="0.25"/>
  <cols>
    <col min="3" max="3" width="18.25" customWidth="1"/>
    <col min="10" max="10" width="18.75" customWidth="1"/>
    <col min="16" max="16" width="43.75" customWidth="1"/>
  </cols>
  <sheetData>
    <row r="1" spans="2:29" x14ac:dyDescent="0.25">
      <c r="C1" s="6" t="s">
        <v>34</v>
      </c>
      <c r="D1" s="23" t="s">
        <v>35</v>
      </c>
      <c r="E1" s="24"/>
      <c r="F1" s="24"/>
      <c r="G1" s="24"/>
      <c r="J1" s="6" t="s">
        <v>36</v>
      </c>
      <c r="K1" s="23" t="s">
        <v>35</v>
      </c>
      <c r="L1" s="24"/>
      <c r="M1" s="24"/>
      <c r="N1" s="24"/>
    </row>
    <row r="2" spans="2:29" x14ac:dyDescent="0.25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 x14ac:dyDescent="0.25">
      <c r="C3" t="s">
        <v>42</v>
      </c>
      <c r="D3">
        <f>SUMPRODUCT(WorkingData!$Q$2:$Q$133,WorkingData!T$2:T$133,WorkingData!AF$2:AF$133)</f>
        <v>0</v>
      </c>
      <c r="E3">
        <f>IF(ISERROR(SUMPRODUCT(WorkingData!$Q$2:$Q$133,WorkingData!U$2:U$133,WorkingData!AG$2:AG$133)),0,SUMPRODUCT(WorkingData!$Q$2:$Q$133,WorkingData!U$2:U$133,WorkingData!AG$2:AG$133))</f>
        <v>3</v>
      </c>
      <c r="F3">
        <f>SUMPRODUCT(WorkingData!$Q$2:$Q$133,WorkingData!V$2:V$133,WorkingData!AH$2:AH$133)</f>
        <v>6</v>
      </c>
      <c r="G3">
        <f>SUMPRODUCT(WorkingData!$Q$2:$Q$133,WorkingData!W$2:W$133,WorkingData!AI$2:AI$133)</f>
        <v>6</v>
      </c>
      <c r="J3" t="s">
        <v>42</v>
      </c>
      <c r="K3">
        <f>SUMPRODUCT(WorkingData!$Q$2:$Q$133,WorkingData!T$2:T$133)</f>
        <v>2</v>
      </c>
      <c r="L3">
        <f>SUMPRODUCT(WorkingData!$Q$2:$Q$133,WorkingData!U$2:U$133)</f>
        <v>3</v>
      </c>
      <c r="M3">
        <f>SUMPRODUCT(WorkingData!$Q$2:$Q$133,WorkingData!V$2:V$133)</f>
        <v>7</v>
      </c>
      <c r="N3">
        <f>SUMPRODUCT(WorkingData!$Q$2:$Q$133,WorkingData!W$2:W$133)</f>
        <v>7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 x14ac:dyDescent="0.25">
      <c r="B4" t="s">
        <v>45</v>
      </c>
      <c r="C4" t="s">
        <v>46</v>
      </c>
      <c r="D4" s="3" t="e">
        <f>SUMPRODUCT(WorkingData!$Q$2:$Q$133,WorkingData!T$2:T$133,WorkingData!$N$2:$N$133,WorkingData!AF$2:AF$133)/D$3</f>
        <v>#DIV/0!</v>
      </c>
      <c r="E4" s="3">
        <f>SUMPRODUCT(WorkingData!$Q$2:$Q$133,WorkingData!U$2:U$133,WorkingData!$N$2:$N$133,WorkingData!AG$2:AG$133)/E$3</f>
        <v>759.22859744990899</v>
      </c>
      <c r="F4" s="3">
        <f>SUMPRODUCT(WorkingData!$Q$2:$Q$133,WorkingData!V$2:V$133,WorkingData!$N$2:$N$133,WorkingData!AH$2:AH$133)/F$3</f>
        <v>597.49403888981965</v>
      </c>
      <c r="G4" s="3">
        <f>SUMPRODUCT(WorkingData!$Q$2:$Q$133,WorkingData!W$2:W$133,WorkingData!$N$2:$N$133,WorkingData!AI$2:AI$133)/G$3</f>
        <v>597.49403888981965</v>
      </c>
      <c r="I4" t="s">
        <v>45</v>
      </c>
      <c r="J4" t="s">
        <v>46</v>
      </c>
      <c r="K4" s="3">
        <f>SUMPRODUCT(WorkingData!$Q$2:$Q$133,WorkingData!T$2:T$133,WorkingData!$N$2:$N$133)/K$3</f>
        <v>641.52049180327867</v>
      </c>
      <c r="L4" s="3">
        <f>SUMPRODUCT(WorkingData!$Q$2:$Q$133,WorkingData!U$2:U$133,WorkingData!$N$2:$N$133)/L$3</f>
        <v>759.22859744990899</v>
      </c>
      <c r="M4" s="3">
        <f>SUMPRODUCT(WorkingData!$Q$2:$Q$133,WorkingData!V$2:V$133,WorkingData!$N$2:$N$133)/M$3</f>
        <v>654.22986315458388</v>
      </c>
      <c r="N4" s="3">
        <f>SUMPRODUCT(WorkingData!$Q$2:$Q$133,WorkingData!W$2:W$133,WorkingData!$N$2:$N$133)/N$3</f>
        <v>654.22986315458388</v>
      </c>
      <c r="P4" s="3" t="s">
        <v>47</v>
      </c>
      <c r="Q4" cm="1">
        <f t="array" aca="1" ref="Q4:Q11" ca="1">OFFSET(WorkingData!$P$2,0,0,COUNTIF(WorkingData!$P$2:$P$132,"&gt;=-5"))</f>
        <v>7.3743169542218823</v>
      </c>
      <c r="R4" cm="1">
        <f t="array" aca="1" ref="R4:R11" ca="1">OFFSET(WorkingData!$O$2,0,0,COUNTIF(WorkingData!$O$2:$O$132,"&gt;=0"))</f>
        <v>12.374316954221882</v>
      </c>
      <c r="S4" cm="1">
        <f t="array" aca="1" ref="S4:S11" ca="1">OFFSET(WorkingData!$N$2,0,0,COUNTIF(WorkingData!$N$2:$N$132,"&gt;=0"))</f>
        <v>575.36065573770497</v>
      </c>
      <c r="U4" cm="1">
        <f t="array" ref="U4:Z9">_xlfn._xlws.FILTER(WorkingData!N2:S132,(WorkingData!Q2:Q132=1)*(WorkingData!R2:R132&lt;=D23)*(WorkingData!S2:S132=1))</f>
        <v>575.36065573770497</v>
      </c>
      <c r="V4">
        <v>12.374316954221882</v>
      </c>
      <c r="W4">
        <v>7.3743169542218823</v>
      </c>
      <c r="X4">
        <v>1</v>
      </c>
      <c r="Y4">
        <v>1</v>
      </c>
      <c r="Z4">
        <v>1</v>
      </c>
      <c r="AB4" cm="1">
        <f t="array" aca="1" ref="AB4:AB9" ca="1">OFFSET(W4,0,0,COUNTIF(W4:W134,"&gt;=0"))</f>
        <v>7.3743169542218823</v>
      </c>
      <c r="AC4" cm="1">
        <f t="array" aca="1" ref="AC4:AC9" ca="1">OFFSET(U4,0,0,COUNTIF(U4:U134,"&gt;=0"))</f>
        <v>575.36065573770497</v>
      </c>
    </row>
    <row r="5" spans="2:29" x14ac:dyDescent="0.25">
      <c r="B5" t="s">
        <v>48</v>
      </c>
      <c r="C5" t="s">
        <v>49</v>
      </c>
      <c r="D5" s="3" t="e">
        <f>SUMPRODUCT(WorkingData!$Q$2:$Q$133,WorkingData!T$2:T$133,WorkingData!$P$2:$P$133,WorkingData!AF$2:AF$133)/D$3</f>
        <v>#DIV/0!</v>
      </c>
      <c r="E5" s="3">
        <f>SUMPRODUCT(WorkingData!$Q$2:$Q$133,WorkingData!U$2:U$133,WorkingData!$P$2:$P$133,WorkingData!AG$2:AG$133)/E$3</f>
        <v>8.0158115828949246</v>
      </c>
      <c r="F5" s="3">
        <f>SUMPRODUCT(WorkingData!$Q$2:$Q$133,WorkingData!V$2:V$133,WorkingData!$P$2:$P$133,WorkingData!AH$2:AH$133)/F$3</f>
        <v>8.4389344639256461</v>
      </c>
      <c r="G5" s="3">
        <f>SUMPRODUCT(WorkingData!$Q$2:$Q$133,WorkingData!W$2:W$133,WorkingData!$P$2:$P$133,WorkingData!AI$2:AI$133)/G$3</f>
        <v>8.4389344639256461</v>
      </c>
      <c r="I5" t="s">
        <v>48</v>
      </c>
      <c r="J5" t="s">
        <v>49</v>
      </c>
      <c r="K5" s="3">
        <f>SUMPRODUCT(WorkingData!$Q$2:$Q$133,WorkingData!T$2:T$133,WorkingData!$P$2:$P$133)/K$3</f>
        <v>8.8088570261587869</v>
      </c>
      <c r="L5" s="3">
        <f>SUMPRODUCT(WorkingData!$Q$2:$Q$133,WorkingData!U$2:U$133,WorkingData!$P$2:$P$133)/L$3</f>
        <v>8.0158115828949246</v>
      </c>
      <c r="M5" s="3">
        <f>SUMPRODUCT(WorkingData!$Q$2:$Q$133,WorkingData!V$2:V$133,WorkingData!$P$2:$P$133)/M$3</f>
        <v>8.1519039257030119</v>
      </c>
      <c r="N5" s="3">
        <f>SUMPRODUCT(WorkingData!$Q$2:$Q$133,WorkingData!W$2:W$133,WorkingData!$P$2:$P$133)/N$3</f>
        <v>8.1519039257030119</v>
      </c>
      <c r="Q5">
        <f ca="1"/>
        <v>10.243397098095691</v>
      </c>
      <c r="R5">
        <f ca="1"/>
        <v>15.243397098095691</v>
      </c>
      <c r="S5">
        <f ca="1"/>
        <v>707.68032786885249</v>
      </c>
      <c r="U5">
        <v>707.68032786885249</v>
      </c>
      <c r="V5">
        <v>15.243397098095691</v>
      </c>
      <c r="W5">
        <v>10.243397098095691</v>
      </c>
      <c r="X5">
        <v>1</v>
      </c>
      <c r="Y5">
        <v>1</v>
      </c>
      <c r="Z5">
        <v>1</v>
      </c>
      <c r="AB5">
        <f ca="1"/>
        <v>10.243397098095691</v>
      </c>
      <c r="AC5">
        <f ca="1"/>
        <v>707.68032786885249</v>
      </c>
    </row>
    <row r="6" spans="2:29" x14ac:dyDescent="0.25">
      <c r="C6" t="s">
        <v>50</v>
      </c>
      <c r="D6" s="3">
        <f>SUMPRODUCT(WorkingData!$Q$2:$Q$133,WorkingData!T$2:T$133,WorkingData!$N$2:$N$133,WorkingData!$P$2:$P$133,WorkingData!AF$2:AF$133)</f>
        <v>0</v>
      </c>
      <c r="E6" s="3">
        <f>SUMPRODUCT(WorkingData!$Q$2:$Q$133,WorkingData!U$2:U$133,WorkingData!$N$2:$N$133,WorkingData!$P$2:$P$133,WorkingData!AG$2:AG$133)</f>
        <v>17887.230767580142</v>
      </c>
      <c r="F6" s="3">
        <f>SUMPRODUCT(WorkingData!$Q$2:$Q$133,WorkingData!V$2:V$133,WorkingData!$N$2:$N$133,WorkingData!$P$2:$P$133,WorkingData!AH$2:AH$133)</f>
        <v>37905.01643629418</v>
      </c>
      <c r="G6" s="3">
        <f>SUMPRODUCT(WorkingData!$Q$2:$Q$133,WorkingData!W$2:W$133,WorkingData!$N$2:$N$133,WorkingData!$P$2:$P$133,WorkingData!AI$2:AI$133)</f>
        <v>37905.01643629418</v>
      </c>
      <c r="J6" t="s">
        <v>50</v>
      </c>
      <c r="K6" s="3">
        <f>SUMPRODUCT(WorkingData!$Q$2:$Q$133,WorkingData!T$2:T$133,WorkingData!$N$2:$N$133,WorkingData!$P$2:$P$133)</f>
        <v>11491.942455269989</v>
      </c>
      <c r="L6" s="3">
        <f>SUMPRODUCT(WorkingData!$Q$2:$Q$133,WorkingData!U$2:U$133,WorkingData!$N$2:$N$133,WorkingData!$P$2:$P$133)</f>
        <v>17887.230767580142</v>
      </c>
      <c r="M6" s="3">
        <f>SUMPRODUCT(WorkingData!$Q$2:$Q$133,WorkingData!V$2:V$133,WorkingData!$N$2:$N$133,WorkingData!$P$2:$P$133)</f>
        <v>44300.304748604336</v>
      </c>
      <c r="N6" s="3">
        <f>SUMPRODUCT(WorkingData!$Q$2:$Q$133,WorkingData!W$2:W$133,WorkingData!$N$2:$N$133,WorkingData!$P$2:$P$133)</f>
        <v>44300.304748604336</v>
      </c>
      <c r="Q6">
        <f ca="1"/>
        <v>6.4297206963672018</v>
      </c>
      <c r="R6">
        <f ca="1"/>
        <v>11.429720696367202</v>
      </c>
      <c r="S6">
        <f ca="1"/>
        <v>994.64480874316939</v>
      </c>
      <c r="U6">
        <v>495.74576271186442</v>
      </c>
      <c r="V6">
        <v>11.865348425962157</v>
      </c>
      <c r="W6">
        <v>6.8653484259621571</v>
      </c>
      <c r="X6">
        <v>1</v>
      </c>
      <c r="Y6">
        <v>3</v>
      </c>
      <c r="Z6">
        <v>1</v>
      </c>
      <c r="AB6">
        <f ca="1"/>
        <v>6.8653484259621571</v>
      </c>
      <c r="AC6">
        <f ca="1"/>
        <v>495.74576271186442</v>
      </c>
    </row>
    <row r="7" spans="2:29" x14ac:dyDescent="0.25">
      <c r="C7" t="s">
        <v>51</v>
      </c>
      <c r="D7" s="3">
        <f>SUMPRODUCT(WorkingData!$Q$2:$Q$133,WorkingData!T$2:T$133,WorkingData!$P$2:$P$133,WorkingData!$P$2:$P$133,WorkingData!AF$2:AF$133)</f>
        <v>0</v>
      </c>
      <c r="E7" s="3">
        <f>SUMPRODUCT(WorkingData!$Q$2:$Q$133,WorkingData!U$2:U$133,WorkingData!$P$2:$P$133,WorkingData!$P$2:$P$133,WorkingData!AG$2:AG$133)</f>
        <v>200.64904288389226</v>
      </c>
      <c r="F7" s="3">
        <f>SUMPRODUCT(WorkingData!$Q$2:$Q$133,WorkingData!V$2:V$133,WorkingData!$P$2:$P$133,WorkingData!$P$2:$P$133,WorkingData!AH$2:AH$133)</f>
        <v>583.09732833326836</v>
      </c>
      <c r="G7" s="3">
        <f>SUMPRODUCT(WorkingData!$Q$2:$Q$133,WorkingData!W$2:W$133,WorkingData!$P$2:$P$133,WorkingData!$P$2:$P$133,WorkingData!AI$2:AI$133)</f>
        <v>583.09732833326836</v>
      </c>
      <c r="J7" t="s">
        <v>51</v>
      </c>
      <c r="K7" s="3">
        <f>SUMPRODUCT(WorkingData!$Q$2:$Q$133,WorkingData!T$2:T$133,WorkingData!$P$2:$P$133,WorkingData!$P$2:$P$133)</f>
        <v>159.30773465059951</v>
      </c>
      <c r="L7" s="3">
        <f>SUMPRODUCT(WorkingData!$Q$2:$Q$133,WorkingData!U$2:U$133,WorkingData!$P$2:$P$133,WorkingData!$P$2:$P$133)</f>
        <v>200.64904288389226</v>
      </c>
      <c r="M7" s="3">
        <f>SUMPRODUCT(WorkingData!$Q$2:$Q$133,WorkingData!V$2:V$133,WorkingData!$P$2:$P$133,WorkingData!$P$2:$P$133)</f>
        <v>624.43863656656106</v>
      </c>
      <c r="N7" s="3">
        <f>SUMPRODUCT(WorkingData!$Q$2:$Q$133,WorkingData!W$2:W$133,WorkingData!$P$2:$P$133,WorkingData!$P$2:$P$133)</f>
        <v>624.43863656656106</v>
      </c>
      <c r="Q7">
        <f ca="1"/>
        <v>-3.5455373076141861</v>
      </c>
      <c r="R7">
        <f ca="1"/>
        <v>1.4544626923858142</v>
      </c>
      <c r="S7">
        <f ca="1"/>
        <v>50.442622950819676</v>
      </c>
      <c r="U7">
        <v>1052.7983870967741</v>
      </c>
      <c r="V7">
        <v>22.829749087652853</v>
      </c>
      <c r="W7">
        <v>17.829749087652853</v>
      </c>
      <c r="X7">
        <v>1</v>
      </c>
      <c r="Y7">
        <v>3</v>
      </c>
      <c r="Z7">
        <v>1</v>
      </c>
      <c r="AB7">
        <f ca="1"/>
        <v>17.829749087652853</v>
      </c>
      <c r="AC7">
        <f ca="1"/>
        <v>1052.7983870967741</v>
      </c>
    </row>
    <row r="8" spans="2:29" x14ac:dyDescent="0.25">
      <c r="C8" t="s">
        <v>52</v>
      </c>
      <c r="D8" s="3">
        <f>SUMPRODUCT(WorkingData!$Q$2:$Q$133,WorkingData!T$2:T$133,WorkingData!$N$2:$N$133,WorkingData!$N$2:$N$133,WorkingData!AF$2:AF$133)</f>
        <v>0</v>
      </c>
      <c r="E8" s="3">
        <f>SUMPRODUCT(WorkingData!$Q$2:$Q$133,WorkingData!U$2:U$133,WorkingData!$N$2:$N$133,WorkingData!$N$2:$N$133,WorkingData!AG$2:AG$133)</f>
        <v>1821169.6261832244</v>
      </c>
      <c r="F8" s="3">
        <f>SUMPRODUCT(WorkingData!$Q$2:$Q$133,WorkingData!V$2:V$133,WorkingData!$N$2:$N$133,WorkingData!$N$2:$N$133,WorkingData!AH$2:AH$133)</f>
        <v>2520292.5018099295</v>
      </c>
      <c r="G8" s="3">
        <f>SUMPRODUCT(WorkingData!$Q$2:$Q$133,WorkingData!W$2:W$133,WorkingData!$N$2:$N$133,WorkingData!$N$2:$N$133,WorkingData!AI$2:AI$133)</f>
        <v>2520292.5018099295</v>
      </c>
      <c r="J8" t="s">
        <v>52</v>
      </c>
      <c r="K8" s="3">
        <f>SUMPRODUCT(WorkingData!$Q$2:$Q$133,WorkingData!T$2:T$133,WorkingData!$N$2:$N$133,WorkingData!$N$2:$N$133)</f>
        <v>831851.33062348841</v>
      </c>
      <c r="L8" s="3">
        <f>SUMPRODUCT(WorkingData!$Q$2:$Q$133,WorkingData!U$2:U$133,WorkingData!$N$2:$N$133,WorkingData!$N$2:$N$133)</f>
        <v>1821169.6261832244</v>
      </c>
      <c r="M8" s="3">
        <f>SUMPRODUCT(WorkingData!$Q$2:$Q$133,WorkingData!V$2:V$133,WorkingData!$N$2:$N$133,WorkingData!$N$2:$N$133)</f>
        <v>3509610.7973696655</v>
      </c>
      <c r="N8" s="3">
        <f>SUMPRODUCT(WorkingData!$Q$2:$Q$133,WorkingData!W$2:W$133,WorkingData!$N$2:$N$133,WorkingData!$N$2:$N$133)</f>
        <v>3509610.7973696655</v>
      </c>
      <c r="Q8">
        <f ca="1"/>
        <v>6.8653484259621571</v>
      </c>
      <c r="R8">
        <f ca="1"/>
        <v>11.865348425962157</v>
      </c>
      <c r="S8">
        <f ca="1"/>
        <v>495.74576271186442</v>
      </c>
      <c r="U8">
        <v>535.59649122807014</v>
      </c>
      <c r="V8">
        <v>12.634502933736433</v>
      </c>
      <c r="W8">
        <v>7.6345029337364334</v>
      </c>
      <c r="X8">
        <v>1</v>
      </c>
      <c r="Y8">
        <v>3</v>
      </c>
      <c r="Z8">
        <v>1</v>
      </c>
      <c r="AB8">
        <f ca="1"/>
        <v>7.6345029337364334</v>
      </c>
      <c r="AC8">
        <f ca="1"/>
        <v>535.59649122807014</v>
      </c>
    </row>
    <row r="9" spans="2:29" x14ac:dyDescent="0.25">
      <c r="C9" t="s">
        <v>53</v>
      </c>
      <c r="D9" s="3" t="e">
        <f t="shared" ref="D9:G10" si="0">D4*D$3</f>
        <v>#DIV/0!</v>
      </c>
      <c r="E9" s="3">
        <f t="shared" si="0"/>
        <v>2277.6857923497269</v>
      </c>
      <c r="F9" s="3">
        <f t="shared" si="0"/>
        <v>3584.9642333389179</v>
      </c>
      <c r="G9" s="3">
        <f t="shared" si="0"/>
        <v>3584.9642333389179</v>
      </c>
      <c r="J9" t="s">
        <v>53</v>
      </c>
      <c r="K9" s="3">
        <f t="shared" ref="K9:N10" si="1">K4*K$3</f>
        <v>1283.0409836065573</v>
      </c>
      <c r="L9" s="3">
        <f t="shared" si="1"/>
        <v>2277.6857923497269</v>
      </c>
      <c r="M9" s="3">
        <f t="shared" si="1"/>
        <v>4579.6090420820874</v>
      </c>
      <c r="N9" s="3">
        <f t="shared" si="1"/>
        <v>4579.6090420820874</v>
      </c>
      <c r="Q9">
        <f ca="1"/>
        <v>17.829749087652853</v>
      </c>
      <c r="R9">
        <f ca="1"/>
        <v>22.829749087652853</v>
      </c>
      <c r="S9">
        <f ca="1"/>
        <v>1052.7983870967741</v>
      </c>
      <c r="U9">
        <v>217.78260869565219</v>
      </c>
      <c r="V9">
        <v>5.6862922838848569</v>
      </c>
      <c r="W9">
        <v>0.68629228388485686</v>
      </c>
      <c r="X9">
        <v>1</v>
      </c>
      <c r="Y9">
        <v>4</v>
      </c>
      <c r="Z9">
        <v>1</v>
      </c>
      <c r="AB9">
        <f ca="1"/>
        <v>0.68629228388485686</v>
      </c>
      <c r="AC9">
        <f ca="1"/>
        <v>217.78260869565219</v>
      </c>
    </row>
    <row r="10" spans="2:29" x14ac:dyDescent="0.25">
      <c r="C10" t="s">
        <v>54</v>
      </c>
      <c r="D10" s="3" t="e">
        <f t="shared" si="0"/>
        <v>#DIV/0!</v>
      </c>
      <c r="E10" s="3">
        <f t="shared" si="0"/>
        <v>24.047434748684772</v>
      </c>
      <c r="F10" s="3">
        <f t="shared" si="0"/>
        <v>50.633606783553873</v>
      </c>
      <c r="G10" s="3">
        <f t="shared" si="0"/>
        <v>50.633606783553873</v>
      </c>
      <c r="J10" t="s">
        <v>54</v>
      </c>
      <c r="K10" s="3">
        <f t="shared" si="1"/>
        <v>17.617714052317574</v>
      </c>
      <c r="L10" s="3">
        <f t="shared" si="1"/>
        <v>24.047434748684772</v>
      </c>
      <c r="M10" s="3">
        <f t="shared" si="1"/>
        <v>57.063327479921085</v>
      </c>
      <c r="N10" s="3">
        <f t="shared" si="1"/>
        <v>57.063327479921085</v>
      </c>
      <c r="Q10">
        <f ca="1"/>
        <v>7.6345029337364334</v>
      </c>
      <c r="R10">
        <f ca="1"/>
        <v>12.634502933736433</v>
      </c>
      <c r="S10">
        <f ca="1"/>
        <v>535.59649122807014</v>
      </c>
    </row>
    <row r="11" spans="2:29" x14ac:dyDescent="0.25">
      <c r="J11" t="s">
        <v>55</v>
      </c>
      <c r="K11" s="8" t="str">
        <f>IF(K3&gt;=3,SQRT(SUMPRODUCT(WorkingData!X$2:X$133,WorkingData!X$2:X$133,WorkingData!$Q$2:$Q$133,WorkingData!T$2:T$133)/('DDD Model Calculations'!K3-2)),"Insufficient Data")</f>
        <v>Insufficient Data</v>
      </c>
      <c r="L11" s="8">
        <f>IF(L3&gt;=3,SQRT(SUMPRODUCT(WorkingData!Y$2:Y$133,WorkingData!Y$2:Y$133,WorkingData!$Q$2:$Q$133,WorkingData!U$2:U$133)/('DDD Model Calculations'!L3-2)),"Insufficient Data")</f>
        <v>272.96084649289367</v>
      </c>
      <c r="M11" s="8">
        <f>IF(M3&gt;=3,SQRT(SUMPRODUCT(WorkingData!Z$2:Z$133,WorkingData!Z$2:Z$133,WorkingData!$Q$2:$Q$133,WorkingData!V$2:V$133)/('DDD Model Calculations'!M3-2)),"Insufficient Data")</f>
        <v>204.28155747373901</v>
      </c>
      <c r="N11" s="8">
        <f>IF(N3&gt;=3,SQRT(SUMPRODUCT(WorkingData!AA$2:AA$133,WorkingData!AA$2:AA$133,WorkingData!$Q$2:$Q$133,WorkingData!W$2:W$133)/('DDD Model Calculations'!N3-2)),"Insufficient Data")</f>
        <v>204.28155747373901</v>
      </c>
      <c r="P11" s="8" t="s">
        <v>56</v>
      </c>
      <c r="Q11">
        <f ca="1"/>
        <v>0.68629228388485686</v>
      </c>
      <c r="R11">
        <f ca="1"/>
        <v>5.6862922838848569</v>
      </c>
      <c r="S11">
        <f ca="1"/>
        <v>217.78260869565219</v>
      </c>
    </row>
    <row r="12" spans="2:29" x14ac:dyDescent="0.25">
      <c r="B12" s="6" t="s">
        <v>29</v>
      </c>
      <c r="C12" t="s">
        <v>57</v>
      </c>
      <c r="D12" s="9" t="str">
        <f>IF(D3&gt;=3,(D$3*D6-D9*D10)/(D$3*D7-D10^2),"Insufficient Data")</f>
        <v>Insufficient Data</v>
      </c>
      <c r="E12" s="9">
        <f>IF(E3&gt;=3,(E$3*E6-E9*E10)/(E$3*E7-E10^2),"Insufficient Data")</f>
        <v>-46.932891098460615</v>
      </c>
      <c r="F12" s="9">
        <f>IF(F3&gt;=3,(F$3*F6-F9*F10)/(F$3*F7-F10^2),"Insufficient Data")</f>
        <v>49.111421684501416</v>
      </c>
      <c r="G12" s="9">
        <f>IF(G3&gt;=3,(G$3*G6-G9*G10)/(G$3*G7-G10^2),"Insufficient Data")</f>
        <v>49.111421684501416</v>
      </c>
      <c r="I12" s="6" t="s">
        <v>29</v>
      </c>
      <c r="J12" t="s">
        <v>57</v>
      </c>
      <c r="K12" s="9" t="str">
        <f>IF(K3&gt;=3,(K$3*K6-K9*K10)/(K$3*K7-K10^2),"Insufficient Data")</f>
        <v>Insufficient Data</v>
      </c>
      <c r="L12" s="9">
        <f>IF(L3&gt;=3,(L$3*L6-L9*L10)/(L$3*L7-L10^2),"Insufficient Data")</f>
        <v>-46.932891098460615</v>
      </c>
      <c r="M12" s="9">
        <f>IF(M3&gt;=3,(M$3*M6-M9*M10)/(M$3*M7-M10^2),"Insufficient Data")</f>
        <v>43.749857875727002</v>
      </c>
      <c r="N12" s="9">
        <f>IF(N3&gt;=3,(N$3*N6-N9*N10)/(N$3*N7-N10^2),"Insufficient Data")</f>
        <v>43.749857875727002</v>
      </c>
      <c r="P12" s="9" t="s">
        <v>58</v>
      </c>
    </row>
    <row r="13" spans="2:29" x14ac:dyDescent="0.25">
      <c r="B13" s="6" t="s">
        <v>59</v>
      </c>
      <c r="C13" t="s">
        <v>60</v>
      </c>
      <c r="D13" s="9" t="str">
        <f>IF(D3&gt;=3,D4-D5*D12,"Insufficient Data")</f>
        <v>Insufficient Data</v>
      </c>
      <c r="E13" s="9">
        <f>IF(E3&gt;=3,E4-E5*E12,"Insufficient Data")</f>
        <v>1135.4338095356957</v>
      </c>
      <c r="F13" s="9">
        <f>IF(F3&gt;=3,F4-F5*F12,"Insufficient Data")</f>
        <v>183.04596986409535</v>
      </c>
      <c r="G13" s="9">
        <f>IF(G3&gt;=3,G4-G5*G12,"Insufficient Data")</f>
        <v>183.04596986409535</v>
      </c>
      <c r="I13" s="6" t="s">
        <v>59</v>
      </c>
      <c r="J13" t="s">
        <v>60</v>
      </c>
      <c r="K13" s="9" t="str">
        <f>IF(K3&gt;=3,K4-K5*K12,"Insufficient Data")</f>
        <v>Insufficient Data</v>
      </c>
      <c r="L13" s="9">
        <f>IF(L3&gt;=3,L4-L5*L12,"Insufficient Data")</f>
        <v>1135.4338095356957</v>
      </c>
      <c r="M13" s="9">
        <f>IF(M3&gt;=3,M4-M5*M12,"Insufficient Data")</f>
        <v>297.58522498849612</v>
      </c>
      <c r="N13" s="9">
        <f>IF(N3&gt;=3,N4-N5*N12,"Insufficient Data")</f>
        <v>297.58522498849612</v>
      </c>
    </row>
    <row r="14" spans="2:29" x14ac:dyDescent="0.25">
      <c r="C14" t="s">
        <v>61</v>
      </c>
      <c r="D14" s="10" t="str">
        <f>IF(D3&gt;=3,(((D6/D3)-D4*D5)/SQRT((D7/D3-D5^2)*(D8/D3-D4^2)))^2,"Insufficient Data")</f>
        <v>Insufficient Data</v>
      </c>
      <c r="E14" s="10">
        <f>IF(E3&gt;=3,(((E6/E3)-E4*E5)/SQRT((E7/E3-E5^2)*(E8/E3-E4^2)))^2,"Insufficient Data")</f>
        <v>0.18912477913753112</v>
      </c>
      <c r="F14" s="10">
        <f>IF(F3&gt;=3,(((F6/F3)-F4*F5)/SQRT((F7/F3-F5^2)*(F8/F3-F4^2)))^2,"Insufficient Data")</f>
        <v>0.99336501293604684</v>
      </c>
      <c r="G14" s="10">
        <f>IF(G3&gt;=3,(((G6/G3)-G4*G5)/SQRT((G7/G3-G5^2)*(G8/G3-G4^2)))^2,"Insufficient Data")</f>
        <v>0.99336501293604684</v>
      </c>
      <c r="J14" t="s">
        <v>61</v>
      </c>
      <c r="K14" t="str">
        <f>IF(K3&gt;=3,(((K6/K3)-K4*K5)/SQRT((K7/K3-K5^2)*(K8/K3-K4^2)))^2,"Insufficient Data")</f>
        <v>Insufficient Data</v>
      </c>
      <c r="L14">
        <f>IF(L3&gt;=3,(((L6/L3)-L4*L5)/SQRT((L7/L3-L5^2)*(L8/L3-L4^2)))^2,"Insufficient Data")</f>
        <v>0.18912477913753112</v>
      </c>
      <c r="M14">
        <f>IF(M3&gt;=3,(((M6/M3)-M4*M5)/SQRT((M7/M3-M5^2)*(M8/M3-M4^2)))^2,"Insufficient Data")</f>
        <v>0.59365668401488259</v>
      </c>
      <c r="N14">
        <f>IF(N3&gt;=3,(((N6/N3)-N4*N5)/SQRT((N7/N3-N5^2)*(N8/N3-N4^2)))^2,"Insufficient Data")</f>
        <v>0.59365668401488259</v>
      </c>
      <c r="P14" s="10" t="s">
        <v>62</v>
      </c>
    </row>
    <row r="15" spans="2:29" x14ac:dyDescent="0.25">
      <c r="C15" t="s">
        <v>63</v>
      </c>
      <c r="D15" t="str">
        <f>IF(D3&gt;=3,D13+D12*($D$21-5),"Insufficient Data")</f>
        <v>Insufficient Data</v>
      </c>
      <c r="E15">
        <f>IF(E3&gt;=3,E13+E12*($D$21-5),"Insufficient Data")</f>
        <v>-892.06708591780307</v>
      </c>
      <c r="F15">
        <f>IF(F3&gt;=3,F13+F12*($D$21-5),"Insufficient Data")</f>
        <v>2304.6593866345565</v>
      </c>
      <c r="G15">
        <f>IF(G3&gt;=3,G13+G12*($D$21-5),"Insufficient Data")</f>
        <v>2304.6593866345565</v>
      </c>
      <c r="J15" t="s">
        <v>63</v>
      </c>
      <c r="K15" t="str">
        <f>IF(K3&gt;=3,K13+K12*($D$21-5),"Insufficient Data")</f>
        <v>Insufficient Data</v>
      </c>
      <c r="L15">
        <f>IF(L3&gt;=3,L13+L12*($D$21-5),"Insufficient Data")</f>
        <v>-892.06708591780307</v>
      </c>
      <c r="M15">
        <f>IF(M3&gt;=3,M13+M12*($D$21-5),"Insufficient Data")</f>
        <v>2187.5790852199029</v>
      </c>
      <c r="N15">
        <f>IF(N3&gt;=3,N13+N12*($D$21-5),"Insufficient Data")</f>
        <v>2187.5790852199029</v>
      </c>
    </row>
    <row r="16" spans="2:29" x14ac:dyDescent="0.25">
      <c r="C16" t="s">
        <v>64</v>
      </c>
      <c r="D16">
        <v>1</v>
      </c>
      <c r="E16">
        <v>2</v>
      </c>
      <c r="F16">
        <v>4</v>
      </c>
      <c r="G16">
        <v>10</v>
      </c>
    </row>
    <row r="17" spans="3:12" x14ac:dyDescent="0.25">
      <c r="J17" t="s">
        <v>65</v>
      </c>
    </row>
    <row r="18" spans="3:12" x14ac:dyDescent="0.25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</row>
    <row r="19" spans="3:12" x14ac:dyDescent="0.25">
      <c r="C19" t="s">
        <v>67</v>
      </c>
      <c r="D19" t="str">
        <f>'Consumption Data Input'!B1</f>
        <v>Thunder Bay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</row>
    <row r="20" spans="3:12" x14ac:dyDescent="0.25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</row>
    <row r="21" spans="3:12" x14ac:dyDescent="0.25">
      <c r="C21" t="s">
        <v>69</v>
      </c>
      <c r="D21">
        <f>VLOOKUP(D19,$G$19:$I$22,3,FALSE)</f>
        <v>48.2</v>
      </c>
      <c r="G21" t="s">
        <v>76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</row>
    <row r="22" spans="3:12" x14ac:dyDescent="0.25">
      <c r="C22" t="s">
        <v>77</v>
      </c>
      <c r="D22">
        <f>VLOOKUP(D19,$G$19:$I$22,2,FALSE)</f>
        <v>5</v>
      </c>
      <c r="G22" t="s">
        <v>1</v>
      </c>
      <c r="H22">
        <v>5</v>
      </c>
      <c r="I22">
        <v>48.2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</row>
    <row r="23" spans="3:12" x14ac:dyDescent="0.25">
      <c r="C23" t="s">
        <v>78</v>
      </c>
      <c r="D23">
        <f>_xlfn.XLOOKUP(MAX('DDD Model Calculations'!$D$14:$G$14),'DDD Model Calculations'!$D$14:$G$14,'DDD Model Calculations'!$D16:$G16)</f>
        <v>4</v>
      </c>
    </row>
    <row r="24" spans="3:12" x14ac:dyDescent="0.25">
      <c r="C24" t="s">
        <v>70</v>
      </c>
      <c r="D24">
        <f>VLOOKUP($D$19,$G$19:$L22,4,FALSE)</f>
        <v>49.100000381469727</v>
      </c>
    </row>
    <row r="25" spans="3:12" x14ac:dyDescent="0.25">
      <c r="C25" t="s">
        <v>79</v>
      </c>
      <c r="D25">
        <f>VLOOKUP($D$19,$G$19:$L23,5,FALSE)</f>
        <v>47.799999237060547</v>
      </c>
    </row>
    <row r="26" spans="3:12" x14ac:dyDescent="0.25">
      <c r="C26" t="s">
        <v>80</v>
      </c>
      <c r="D26">
        <f>VLOOKUP($D$19,$G$19:$L24,6,FALSE)</f>
        <v>47.5</v>
      </c>
    </row>
  </sheetData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P4" sqref="P4"/>
    </sheetView>
  </sheetViews>
  <sheetFormatPr defaultColWidth="10.5" defaultRowHeight="15.75" x14ac:dyDescent="0.25"/>
  <cols>
    <col min="2" max="3" width="10.5" style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 x14ac:dyDescent="0.25">
      <c r="A2" s="2" cm="1">
        <f t="array" ref="A2:F10">_xlfn._xlws.SORT(_xlfn._xlws.FILTER('Accumulated Input Data'!A2:F134,('Accumulated Input Data'!D2:D134="A")+('Accumulated Input Data'!D2:D134="01")),1,-1)</f>
        <v>45804</v>
      </c>
      <c r="B2" s="1">
        <v>29</v>
      </c>
      <c r="C2" s="1">
        <v>452957</v>
      </c>
      <c r="D2" t="str">
        <v>A</v>
      </c>
      <c r="E2">
        <v>10935</v>
      </c>
      <c r="F2">
        <v>988405</v>
      </c>
      <c r="G2">
        <f>IF(F3&gt;0,F2-F3,"")</f>
        <v>35097</v>
      </c>
      <c r="H2" s="2">
        <f>IF(A2&lt;&gt;"",DATE(YEAR(A2),MONTH(A2),DAY(A2)),"")</f>
        <v>45804</v>
      </c>
      <c r="I2">
        <f>IF(A3&gt;0,A2-A3,"")</f>
        <v>61</v>
      </c>
      <c r="J2">
        <f>I2</f>
        <v>61</v>
      </c>
      <c r="K2">
        <f>IF(AND($H3&gt;0,$H3&lt;&gt;""),VLOOKUP($H3,'Weather Data'!$L$2:$P$4170,'DDD Model Calculations'!$D$22,FALSE),"")</f>
        <v>58890.73888887465</v>
      </c>
      <c r="L2">
        <f>IF(AND($K2&gt;0,$K2&lt;&gt;""),VLOOKUP($H2,'Weather Data'!$L$2:$P$4170,'DDD Model Calculations'!$D$22,FALSE),"")</f>
        <v>59645.572223082185</v>
      </c>
      <c r="M2">
        <f>L2-K2</f>
        <v>754.83333420753479</v>
      </c>
      <c r="N2">
        <f t="shared" ref="N2:N33" si="0">IF(AND($I2&gt;0,$I2&lt;&gt;""),G2/$I2,"")</f>
        <v>575.36065573770497</v>
      </c>
      <c r="O2">
        <f t="shared" ref="O2:O33" si="1">IF(AND($I2&gt;0,$I2&lt;&gt;""),$M2/$I2,"")</f>
        <v>12.374316954221882</v>
      </c>
      <c r="P2">
        <f>IF(AND($I2&gt;0,$I2&lt;&gt;""),$M2/$I2-5,"")</f>
        <v>7.3743169542218823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 t="str">
        <f>IF(AND($N2&gt;0,$N2&lt;&gt;"",'DDD Model Calculations'!$K$3&gt;=3),$N2-('DDD Model Calculations'!K$13+'DDD Model Calculations'!K$12*WorkingData!$P2),"")</f>
        <v/>
      </c>
      <c r="Y2">
        <f>IF(AND($N2&gt;0,$N2&lt;&gt;""),$N2-('DDD Model Calculations'!L$13+'DDD Model Calculations'!L$12*WorkingData!$P2),"")</f>
        <v>-213.97513925996327</v>
      </c>
      <c r="Z2">
        <f>IF(AND($N2&gt;0,$N2&lt;&gt;""),$N2-('DDD Model Calculations'!M$13+'DDD Model Calculations'!M$12*WorkingData!$P2),"")</f>
        <v>-44.849887928562566</v>
      </c>
      <c r="AA2">
        <f>IF(AND($N2&gt;0,$N2&lt;&gt;""),$N2-('DDD Model Calculations'!N$13+'DDD Model Calculations'!N$12*WorkingData!$P2),"")</f>
        <v>-44.849887928562566</v>
      </c>
      <c r="AB2" t="str">
        <f>IF(X2&lt;&gt;"",X2/'DDD Model Calculations'!K$11,"")</f>
        <v/>
      </c>
      <c r="AC2">
        <f>IF(Y2&lt;&gt;"",Y2/'DDD Model Calculations'!L$11,"")</f>
        <v>-0.78390414599455738</v>
      </c>
      <c r="AD2">
        <f>IF(Z2&lt;&gt;"",Z2/'DDD Model Calculations'!M$11,"")</f>
        <v>-0.2195493733413901</v>
      </c>
      <c r="AE2">
        <f>IF(AA2&lt;&gt;"",AA2/'DDD Model Calculations'!N$11,"")</f>
        <v>-0.2195493733413901</v>
      </c>
      <c r="AF2" t="str">
        <f t="shared" ref="AF2:AF33" si="8">IF(AB2="","",IF(ABS(AB2)&gt;2,0,1))</f>
        <v/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 x14ac:dyDescent="0.25">
      <c r="A3" s="2">
        <v>45743</v>
      </c>
      <c r="B3" s="1">
        <v>28</v>
      </c>
      <c r="C3" s="1">
        <v>441765</v>
      </c>
      <c r="D3" t="str">
        <v>A</v>
      </c>
      <c r="E3">
        <v>36217</v>
      </c>
      <c r="F3">
        <v>953308</v>
      </c>
      <c r="G3">
        <f t="shared" ref="G3:G66" si="12">IF(F4&gt;0,F3-F4,"")</f>
        <v>172674</v>
      </c>
      <c r="H3" s="2">
        <f t="shared" ref="H3:H66" si="13">IF(A3&lt;&gt;"",DATE(YEAR(A3),MONTH(A3),DAY(A3)),"")</f>
        <v>45743</v>
      </c>
      <c r="I3">
        <f t="shared" ref="I3:I66" si="14">IF(A4&gt;0,A3-A4,"")</f>
        <v>244</v>
      </c>
      <c r="J3">
        <f t="shared" ref="J3:J34" si="15">IF(AND(I3&gt;0,I3&lt;&gt;""),I3+J2,"")</f>
        <v>305</v>
      </c>
      <c r="K3">
        <f>IF(AND($H4&gt;0,$H4&lt;&gt;""),VLOOKUP($H4,'Weather Data'!$L$2:$P$4170,'DDD Model Calculations'!$D$22,FALSE),"")</f>
        <v>55171.349996939301</v>
      </c>
      <c r="L3">
        <f>IF(AND($K3&gt;0,$K3&lt;&gt;""),VLOOKUP($H3,'Weather Data'!$L$2:$P$4170,'DDD Model Calculations'!$D$22,FALSE),"")</f>
        <v>58890.73888887465</v>
      </c>
      <c r="M3">
        <f t="shared" ref="M3:M34" si="16">IF(AND(K3&gt;0,K3&lt;&gt;""),L3-K3,"")</f>
        <v>3719.3888919353485</v>
      </c>
      <c r="N3">
        <f t="shared" si="0"/>
        <v>707.68032786885249</v>
      </c>
      <c r="O3">
        <f t="shared" si="1"/>
        <v>15.243397098095691</v>
      </c>
      <c r="P3">
        <f t="shared" ref="P3:P34" si="17">IF(AND($I3&gt;0,$I3&lt;&gt;""),M3/$I3-5,"")</f>
        <v>10.243397098095691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 t="str">
        <f>IF(AND($N3&gt;0,$N3&lt;&gt;"",'DDD Model Calculations'!$K$3&gt;=3),$N3-('DDD Model Calculations'!K$13+'DDD Model Calculations'!K$12*WorkingData!$P3),"")</f>
        <v/>
      </c>
      <c r="Y3">
        <f>IF(AND($N3&gt;0,$N3&lt;&gt;""),$N3-('DDD Model Calculations'!L$13+'DDD Model Calculations'!L$12*WorkingData!$P3),"")</f>
        <v>52.998758816369332</v>
      </c>
      <c r="Z3">
        <f>IF(AND($N3&gt;0,$N3&lt;&gt;""),$N3-('DDD Model Calculations'!M$13+'DDD Model Calculations'!M$12*WorkingData!$P3),"")</f>
        <v>-38.052064325964579</v>
      </c>
      <c r="AA3">
        <f>IF(AND($N3&gt;0,$N3&lt;&gt;""),$N3-('DDD Model Calculations'!N$13+'DDD Model Calculations'!N$12*WorkingData!$P3),"")</f>
        <v>-38.052064325964579</v>
      </c>
      <c r="AB3" t="str">
        <f>IF(X3&lt;&gt;"",X3/'DDD Model Calculations'!K$11,"")</f>
        <v/>
      </c>
      <c r="AC3">
        <f>IF(Y3&lt;&gt;"",Y3/'DDD Model Calculations'!L$11,"")</f>
        <v>0.19416249435520824</v>
      </c>
      <c r="AD3">
        <f>IF(Z3&lt;&gt;"",Z3/'DDD Model Calculations'!M$11,"")</f>
        <v>-0.18627263663219468</v>
      </c>
      <c r="AE3">
        <f>IF(AA3&lt;&gt;"",AA3/'DDD Model Calculations'!N$11,"")</f>
        <v>-0.18627263663219468</v>
      </c>
      <c r="AF3" t="str">
        <f t="shared" si="8"/>
        <v/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 x14ac:dyDescent="0.25">
      <c r="A4" s="2">
        <v>45499</v>
      </c>
      <c r="B4" s="1">
        <v>30</v>
      </c>
      <c r="C4" s="1">
        <v>386703</v>
      </c>
      <c r="D4" t="str">
        <v>A</v>
      </c>
      <c r="E4">
        <v>1697</v>
      </c>
      <c r="F4">
        <v>780634</v>
      </c>
      <c r="G4">
        <f t="shared" si="12"/>
        <v>364040</v>
      </c>
      <c r="H4" s="2">
        <f t="shared" si="13"/>
        <v>45499</v>
      </c>
      <c r="I4">
        <f t="shared" si="14"/>
        <v>366</v>
      </c>
      <c r="J4">
        <f t="shared" si="15"/>
        <v>671</v>
      </c>
      <c r="K4">
        <f>IF(AND($H5&gt;0,$H5&lt;&gt;""),VLOOKUP($H5,'Weather Data'!$L$2:$P$4170,'DDD Model Calculations'!$D$22,FALSE),"")</f>
        <v>50988.072222068906</v>
      </c>
      <c r="L4">
        <f>IF(AND($K4&gt;0,$K4&lt;&gt;""),VLOOKUP($H4,'Weather Data'!$L$2:$P$4170,'DDD Model Calculations'!$D$22,FALSE),"")</f>
        <v>55171.349996939301</v>
      </c>
      <c r="M4">
        <f t="shared" si="16"/>
        <v>4183.2777748703957</v>
      </c>
      <c r="N4">
        <f t="shared" si="0"/>
        <v>994.64480874316939</v>
      </c>
      <c r="O4">
        <f t="shared" si="1"/>
        <v>11.429720696367202</v>
      </c>
      <c r="P4">
        <f t="shared" si="17"/>
        <v>6.4297206963672018</v>
      </c>
      <c r="Q4">
        <f t="shared" si="2"/>
        <v>1</v>
      </c>
      <c r="R4">
        <f t="shared" si="3"/>
        <v>2</v>
      </c>
      <c r="S4">
        <f>IF('DDD Model Calculations'!$D$23=1,WorkingData!AF4,IF('DDD Model Calculations'!$D$23=2,WorkingData!AG4,IF('DDD Model Calculations'!$D$23=4,WorkingData!AH4,WorkingData!AI4)))</f>
        <v>0</v>
      </c>
      <c r="T4">
        <f t="shared" si="4"/>
        <v>0</v>
      </c>
      <c r="U4">
        <f t="shared" si="5"/>
        <v>1</v>
      </c>
      <c r="V4">
        <f t="shared" si="6"/>
        <v>1</v>
      </c>
      <c r="W4">
        <f t="shared" si="7"/>
        <v>1</v>
      </c>
      <c r="X4" t="str">
        <f>IF(AND($N4&gt;0,$N4&lt;&gt;"",'DDD Model Calculations'!$K$3&gt;=3),$N4-('DDD Model Calculations'!K$13+'DDD Model Calculations'!K$12*WorkingData!$P4),"")</f>
        <v/>
      </c>
      <c r="Y4">
        <f>IF(AND($N4&gt;0,$N4&lt;&gt;""),$N4-('DDD Model Calculations'!L$13+'DDD Model Calculations'!L$12*WorkingData!$P4),"")</f>
        <v>160.97638044359394</v>
      </c>
      <c r="Z4">
        <f>IF(AND($N4&gt;0,$N4&lt;&gt;""),$N4-('DDD Model Calculations'!M$13+'DDD Model Calculations'!M$12*WorkingData!$P4),"")</f>
        <v>415.76021710798773</v>
      </c>
      <c r="AA4">
        <f>IF(AND($N4&gt;0,$N4&lt;&gt;""),$N4-('DDD Model Calculations'!N$13+'DDD Model Calculations'!N$12*WorkingData!$P4),"")</f>
        <v>415.76021710798773</v>
      </c>
      <c r="AB4" t="str">
        <f>IF(X4&lt;&gt;"",X4/'DDD Model Calculations'!K$11,"")</f>
        <v/>
      </c>
      <c r="AC4">
        <f>IF(Y4&lt;&gt;"",Y4/'DDD Model Calculations'!L$11,"")</f>
        <v>0.58974165163934911</v>
      </c>
      <c r="AD4">
        <f>IF(Z4&lt;&gt;"",Z4/'DDD Model Calculations'!M$11,"")</f>
        <v>2.035231286903787</v>
      </c>
      <c r="AE4">
        <f>IF(AA4&lt;&gt;"",AA4/'DDD Model Calculations'!N$11,"")</f>
        <v>2.035231286903787</v>
      </c>
      <c r="AF4" t="str">
        <f t="shared" si="8"/>
        <v/>
      </c>
      <c r="AG4">
        <f t="shared" si="9"/>
        <v>1</v>
      </c>
      <c r="AH4">
        <f t="shared" si="10"/>
        <v>0</v>
      </c>
      <c r="AI4">
        <f t="shared" si="11"/>
        <v>0</v>
      </c>
    </row>
    <row r="5" spans="1:35" x14ac:dyDescent="0.25">
      <c r="A5" s="2">
        <v>45133</v>
      </c>
      <c r="B5" s="1">
        <v>30</v>
      </c>
      <c r="C5" s="1">
        <v>321571</v>
      </c>
      <c r="D5" t="str">
        <v>A</v>
      </c>
      <c r="E5">
        <v>1487</v>
      </c>
      <c r="F5">
        <v>416594</v>
      </c>
      <c r="G5">
        <f t="shared" si="12"/>
        <v>3077</v>
      </c>
      <c r="H5" s="2">
        <f t="shared" si="13"/>
        <v>45133</v>
      </c>
      <c r="I5">
        <f t="shared" si="14"/>
        <v>61</v>
      </c>
      <c r="J5">
        <f t="shared" si="15"/>
        <v>732</v>
      </c>
      <c r="K5">
        <f>IF(AND($H6&gt;0,$H6&lt;&gt;""),VLOOKUP($H6,'Weather Data'!$L$2:$P$4170,'DDD Model Calculations'!$D$22,FALSE),"")</f>
        <v>50899.349997833371</v>
      </c>
      <c r="L5">
        <f>IF(AND($K5&gt;0,$K5&lt;&gt;""),VLOOKUP($H5,'Weather Data'!$L$2:$P$4170,'DDD Model Calculations'!$D$22,FALSE),"")</f>
        <v>50988.072222068906</v>
      </c>
      <c r="M5">
        <f t="shared" si="16"/>
        <v>88.722224235534668</v>
      </c>
      <c r="N5">
        <f t="shared" si="0"/>
        <v>50.442622950819676</v>
      </c>
      <c r="O5">
        <f t="shared" si="1"/>
        <v>1.4544626923858142</v>
      </c>
      <c r="P5">
        <f t="shared" si="17"/>
        <v>-3.5455373076141861</v>
      </c>
      <c r="Q5">
        <f t="shared" si="2"/>
        <v>0</v>
      </c>
      <c r="R5">
        <f t="shared" si="3"/>
        <v>2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0</v>
      </c>
      <c r="U5">
        <f t="shared" si="5"/>
        <v>1</v>
      </c>
      <c r="V5">
        <f t="shared" si="6"/>
        <v>1</v>
      </c>
      <c r="W5">
        <f t="shared" si="7"/>
        <v>1</v>
      </c>
      <c r="X5" t="str">
        <f>IF(AND($N5&gt;0,$N5&lt;&gt;"",'DDD Model Calculations'!$K$3&gt;=3),$N5-('DDD Model Calculations'!K$13+'DDD Model Calculations'!K$12*WorkingData!$P5),"")</f>
        <v/>
      </c>
      <c r="Y5">
        <f>IF(AND($N5&gt;0,$N5&lt;&gt;""),$N5-('DDD Model Calculations'!L$13+'DDD Model Calculations'!L$12*WorkingData!$P5),"")</f>
        <v>-1251.393502928662</v>
      </c>
      <c r="Z5">
        <f>IF(AND($N5&gt;0,$N5&lt;&gt;""),$N5-('DDD Model Calculations'!M$13+'DDD Model Calculations'!M$12*WorkingData!$P5),"")</f>
        <v>-92.025848736468049</v>
      </c>
      <c r="AA5">
        <f>IF(AND($N5&gt;0,$N5&lt;&gt;""),$N5-('DDD Model Calculations'!N$13+'DDD Model Calculations'!N$12*WorkingData!$P5),"")</f>
        <v>-92.025848736468049</v>
      </c>
      <c r="AB5" t="str">
        <f>IF(X5&lt;&gt;"",X5/'DDD Model Calculations'!K$11,"")</f>
        <v/>
      </c>
      <c r="AC5">
        <f>IF(Y5&lt;&gt;"",Y5/'DDD Model Calculations'!L$11,"")</f>
        <v>-4.5845164938746663</v>
      </c>
      <c r="AD5">
        <f>IF(Z5&lt;&gt;"",Z5/'DDD Model Calculations'!M$11,"")</f>
        <v>-0.45048534911575772</v>
      </c>
      <c r="AE5">
        <f>IF(AA5&lt;&gt;"",AA5/'DDD Model Calculations'!N$11,"")</f>
        <v>-0.45048534911575772</v>
      </c>
      <c r="AF5" t="str">
        <f t="shared" si="8"/>
        <v/>
      </c>
      <c r="AG5">
        <f t="shared" si="9"/>
        <v>0</v>
      </c>
      <c r="AH5">
        <f t="shared" si="10"/>
        <v>1</v>
      </c>
      <c r="AI5">
        <f t="shared" si="11"/>
        <v>1</v>
      </c>
    </row>
    <row r="6" spans="1:35" x14ac:dyDescent="0.25">
      <c r="A6" s="2">
        <v>45072</v>
      </c>
      <c r="B6" s="1">
        <v>29</v>
      </c>
      <c r="C6" s="1">
        <v>320590</v>
      </c>
      <c r="D6" t="str">
        <v>A</v>
      </c>
      <c r="E6">
        <v>10123</v>
      </c>
      <c r="F6">
        <v>413517</v>
      </c>
      <c r="G6">
        <f t="shared" si="12"/>
        <v>29249</v>
      </c>
      <c r="H6" s="2">
        <f t="shared" si="13"/>
        <v>45072</v>
      </c>
      <c r="I6">
        <f t="shared" si="14"/>
        <v>59</v>
      </c>
      <c r="J6">
        <f t="shared" si="15"/>
        <v>791</v>
      </c>
      <c r="K6">
        <f>IF(AND($H7&gt;0,$H7&lt;&gt;""),VLOOKUP($H7,'Weather Data'!$L$2:$P$4170,'DDD Model Calculations'!$D$22,FALSE),"")</f>
        <v>50199.294440701604</v>
      </c>
      <c r="L6">
        <f>IF(AND($K6&gt;0,$K6&lt;&gt;""),VLOOKUP($H6,'Weather Data'!$L$2:$P$4170,'DDD Model Calculations'!$D$22,FALSE),"")</f>
        <v>50899.349997833371</v>
      </c>
      <c r="M6">
        <f t="shared" si="16"/>
        <v>700.05555713176727</v>
      </c>
      <c r="N6">
        <f t="shared" si="0"/>
        <v>495.74576271186442</v>
      </c>
      <c r="O6">
        <f t="shared" si="1"/>
        <v>11.865348425962157</v>
      </c>
      <c r="P6">
        <f t="shared" si="17"/>
        <v>6.8653484259621571</v>
      </c>
      <c r="Q6">
        <f t="shared" si="2"/>
        <v>1</v>
      </c>
      <c r="R6">
        <f t="shared" si="3"/>
        <v>3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0</v>
      </c>
      <c r="U6">
        <f t="shared" si="5"/>
        <v>0</v>
      </c>
      <c r="V6">
        <f t="shared" si="6"/>
        <v>1</v>
      </c>
      <c r="W6">
        <f t="shared" si="7"/>
        <v>1</v>
      </c>
      <c r="X6" t="str">
        <f>IF(AND($N6&gt;0,$N6&lt;&gt;"",'DDD Model Calculations'!$K$3&gt;=3),$N6-('DDD Model Calculations'!K$13+'DDD Model Calculations'!K$12*WorkingData!$P6),"")</f>
        <v/>
      </c>
      <c r="Y6">
        <f>IF(AND($N6&gt;0,$N6&lt;&gt;""),$N6-('DDD Model Calculations'!L$13+'DDD Model Calculations'!L$12*WorkingData!$P6),"")</f>
        <v>-317.47739679516127</v>
      </c>
      <c r="Z6">
        <f>IF(AND($N6&gt;0,$N6&lt;&gt;""),$N6-('DDD Model Calculations'!M$13+'DDD Model Calculations'!M$12*WorkingData!$P6),"")</f>
        <v>-102.19748017982221</v>
      </c>
      <c r="AA6">
        <f>IF(AND($N6&gt;0,$N6&lt;&gt;""),$N6-('DDD Model Calculations'!N$13+'DDD Model Calculations'!N$12*WorkingData!$P6),"")</f>
        <v>-102.19748017982221</v>
      </c>
      <c r="AB6" t="str">
        <f>IF(X6&lt;&gt;"",X6/'DDD Model Calculations'!K$11,"")</f>
        <v/>
      </c>
      <c r="AC6">
        <f>IF(Y6&lt;&gt;"",Y6/'DDD Model Calculations'!L$11,"")</f>
        <v>-1.1630876767647573</v>
      </c>
      <c r="AD6">
        <f>IF(Z6&lt;&gt;"",Z6/'DDD Model Calculations'!M$11,"")</f>
        <v>-0.50027756515886168</v>
      </c>
      <c r="AE6">
        <f>IF(AA6&lt;&gt;"",AA6/'DDD Model Calculations'!N$11,"")</f>
        <v>-0.50027756515886168</v>
      </c>
      <c r="AF6" t="str">
        <f t="shared" si="8"/>
        <v/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 x14ac:dyDescent="0.25">
      <c r="A7" s="2">
        <v>45013</v>
      </c>
      <c r="B7" s="1">
        <v>29</v>
      </c>
      <c r="C7" s="1">
        <v>311263</v>
      </c>
      <c r="D7" t="str">
        <v>A</v>
      </c>
      <c r="E7">
        <v>29149</v>
      </c>
      <c r="F7">
        <v>384268</v>
      </c>
      <c r="G7">
        <f t="shared" si="12"/>
        <v>130547</v>
      </c>
      <c r="H7" s="2">
        <f t="shared" si="13"/>
        <v>45013</v>
      </c>
      <c r="I7">
        <f t="shared" si="14"/>
        <v>124</v>
      </c>
      <c r="J7">
        <f t="shared" si="15"/>
        <v>915</v>
      </c>
      <c r="K7">
        <f>IF(AND($H8&gt;0,$H8&lt;&gt;""),VLOOKUP($H8,'Weather Data'!$L$2:$P$4170,'DDD Model Calculations'!$D$22,FALSE),"")</f>
        <v>47368.40555383265</v>
      </c>
      <c r="L7">
        <f>IF(AND($K7&gt;0,$K7&lt;&gt;""),VLOOKUP($H7,'Weather Data'!$L$2:$P$4170,'DDD Model Calculations'!$D$22,FALSE),"")</f>
        <v>50199.294440701604</v>
      </c>
      <c r="M7">
        <f t="shared" si="16"/>
        <v>2830.8888868689537</v>
      </c>
      <c r="N7">
        <f t="shared" si="0"/>
        <v>1052.7983870967741</v>
      </c>
      <c r="O7">
        <f t="shared" si="1"/>
        <v>22.829749087652853</v>
      </c>
      <c r="P7">
        <f t="shared" si="17"/>
        <v>17.829749087652853</v>
      </c>
      <c r="Q7">
        <f t="shared" si="2"/>
        <v>1</v>
      </c>
      <c r="R7">
        <f t="shared" si="3"/>
        <v>3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0</v>
      </c>
      <c r="U7">
        <f t="shared" si="5"/>
        <v>0</v>
      </c>
      <c r="V7">
        <f t="shared" si="6"/>
        <v>1</v>
      </c>
      <c r="W7">
        <f t="shared" si="7"/>
        <v>1</v>
      </c>
      <c r="X7" t="str">
        <f>IF(AND($N7&gt;0,$N7&lt;&gt;"",'DDD Model Calculations'!$K$3&gt;=3),$N7-('DDD Model Calculations'!K$13+'DDD Model Calculations'!K$12*WorkingData!$P7),"")</f>
        <v/>
      </c>
      <c r="Y7">
        <f>IF(AND($N7&gt;0,$N7&lt;&gt;""),$N7-('DDD Model Calculations'!L$13+'DDD Model Calculations'!L$12*WorkingData!$P7),"")</f>
        <v>754.1662498047674</v>
      </c>
      <c r="Z7">
        <f>IF(AND($N7&gt;0,$N7&lt;&gt;""),$N7-('DDD Model Calculations'!M$13+'DDD Model Calculations'!M$12*WorkingData!$P7),"")</f>
        <v>-24.835826436407615</v>
      </c>
      <c r="AA7">
        <f>IF(AND($N7&gt;0,$N7&lt;&gt;""),$N7-('DDD Model Calculations'!N$13+'DDD Model Calculations'!N$12*WorkingData!$P7),"")</f>
        <v>-24.835826436407615</v>
      </c>
      <c r="AB7" t="str">
        <f>IF(X7&lt;&gt;"",X7/'DDD Model Calculations'!K$11,"")</f>
        <v/>
      </c>
      <c r="AC7">
        <f>IF(Y7&lt;&gt;"",Y7/'DDD Model Calculations'!L$11,"")</f>
        <v>2.7629099905520755</v>
      </c>
      <c r="AD7">
        <f>IF(Z7&lt;&gt;"",Z7/'DDD Model Calculations'!M$11,"")</f>
        <v>-0.12157644940415305</v>
      </c>
      <c r="AE7">
        <f>IF(AA7&lt;&gt;"",AA7/'DDD Model Calculations'!N$11,"")</f>
        <v>-0.12157644940415305</v>
      </c>
      <c r="AF7" t="str">
        <f t="shared" si="8"/>
        <v/>
      </c>
      <c r="AG7">
        <f t="shared" si="9"/>
        <v>0</v>
      </c>
      <c r="AH7">
        <f t="shared" si="10"/>
        <v>1</v>
      </c>
      <c r="AI7">
        <f t="shared" si="11"/>
        <v>1</v>
      </c>
    </row>
    <row r="8" spans="1:35" x14ac:dyDescent="0.25">
      <c r="A8" s="2">
        <v>44889</v>
      </c>
      <c r="B8" s="1">
        <v>28</v>
      </c>
      <c r="C8" s="1">
        <v>269634</v>
      </c>
      <c r="D8" t="str">
        <v>A</v>
      </c>
      <c r="E8">
        <v>18625</v>
      </c>
      <c r="F8">
        <v>253721</v>
      </c>
      <c r="G8">
        <f t="shared" si="12"/>
        <v>30529</v>
      </c>
      <c r="H8" s="2">
        <f t="shared" si="13"/>
        <v>44889</v>
      </c>
      <c r="I8">
        <f t="shared" si="14"/>
        <v>57</v>
      </c>
      <c r="J8">
        <f t="shared" si="15"/>
        <v>972</v>
      </c>
      <c r="K8">
        <f>IF(AND($H9&gt;0,$H9&lt;&gt;""),VLOOKUP($H9,'Weather Data'!$L$2:$P$4170,'DDD Model Calculations'!$D$22,FALSE),"")</f>
        <v>46648.238886609674</v>
      </c>
      <c r="L8">
        <f>IF(AND($K8&gt;0,$K8&lt;&gt;""),VLOOKUP($H8,'Weather Data'!$L$2:$P$4170,'DDD Model Calculations'!$D$22,FALSE),"")</f>
        <v>47368.40555383265</v>
      </c>
      <c r="M8">
        <f t="shared" si="16"/>
        <v>720.16666722297668</v>
      </c>
      <c r="N8">
        <f t="shared" si="0"/>
        <v>535.59649122807014</v>
      </c>
      <c r="O8">
        <f t="shared" si="1"/>
        <v>12.634502933736433</v>
      </c>
      <c r="P8">
        <f t="shared" si="17"/>
        <v>7.6345029337364334</v>
      </c>
      <c r="Q8">
        <f t="shared" si="2"/>
        <v>1</v>
      </c>
      <c r="R8">
        <f t="shared" si="3"/>
        <v>3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0</v>
      </c>
      <c r="U8">
        <f t="shared" si="5"/>
        <v>0</v>
      </c>
      <c r="V8">
        <f t="shared" si="6"/>
        <v>1</v>
      </c>
      <c r="W8">
        <f t="shared" si="7"/>
        <v>1</v>
      </c>
      <c r="X8" t="str">
        <f>IF(AND($N8&gt;0,$N8&lt;&gt;"",'DDD Model Calculations'!$K$3&gt;=3),$N8-('DDD Model Calculations'!K$13+'DDD Model Calculations'!K$12*WorkingData!$P8),"")</f>
        <v/>
      </c>
      <c r="Y8">
        <f>IF(AND($N8&gt;0,$N8&lt;&gt;""),$N8-('DDD Model Calculations'!L$13+'DDD Model Calculations'!L$12*WorkingData!$P8),"")</f>
        <v>-241.5280235276955</v>
      </c>
      <c r="Z8">
        <f>IF(AND($N8&gt;0,$N8&lt;&gt;""),$N8-('DDD Model Calculations'!M$13+'DDD Model Calculations'!M$12*WorkingData!$P8),"")</f>
        <v>-95.997152063215822</v>
      </c>
      <c r="AA8">
        <f>IF(AND($N8&gt;0,$N8&lt;&gt;""),$N8-('DDD Model Calculations'!N$13+'DDD Model Calculations'!N$12*WorkingData!$P8),"")</f>
        <v>-95.997152063215822</v>
      </c>
      <c r="AB8" t="str">
        <f>IF(X8&lt;&gt;"",X8/'DDD Model Calculations'!K$11,"")</f>
        <v/>
      </c>
      <c r="AC8">
        <f>IF(Y8&lt;&gt;"",Y8/'DDD Model Calculations'!L$11,"")</f>
        <v>-0.88484493886555815</v>
      </c>
      <c r="AD8">
        <f>IF(Z8&lt;&gt;"",Z8/'DDD Model Calculations'!M$11,"")</f>
        <v>-0.46992569104314047</v>
      </c>
      <c r="AE8">
        <f>IF(AA8&lt;&gt;"",AA8/'DDD Model Calculations'!N$11,"")</f>
        <v>-0.46992569104314047</v>
      </c>
      <c r="AF8" t="str">
        <f t="shared" si="8"/>
        <v/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 x14ac:dyDescent="0.25">
      <c r="A9" s="2">
        <v>44832</v>
      </c>
      <c r="B9" s="1">
        <v>30</v>
      </c>
      <c r="C9" s="1">
        <v>259899</v>
      </c>
      <c r="D9" t="str">
        <v>A</v>
      </c>
      <c r="E9">
        <v>4785</v>
      </c>
      <c r="F9">
        <v>223192</v>
      </c>
      <c r="G9">
        <f t="shared" si="12"/>
        <v>40072</v>
      </c>
      <c r="H9" s="2">
        <f t="shared" si="13"/>
        <v>44832</v>
      </c>
      <c r="I9">
        <f t="shared" si="14"/>
        <v>184</v>
      </c>
      <c r="J9">
        <f t="shared" si="15"/>
        <v>1156</v>
      </c>
      <c r="K9">
        <f>IF(AND($H10&gt;0,$H10&lt;&gt;""),VLOOKUP($H10,'Weather Data'!$L$2:$P$4170,'DDD Model Calculations'!$D$22,FALSE),"")</f>
        <v>45601.96110637486</v>
      </c>
      <c r="L9">
        <f>IF(AND($K9&gt;0,$K9&lt;&gt;""),VLOOKUP($H9,'Weather Data'!$L$2:$P$4170,'DDD Model Calculations'!$D$22,FALSE),"")</f>
        <v>46648.238886609674</v>
      </c>
      <c r="M9">
        <f t="shared" si="16"/>
        <v>1046.2777802348137</v>
      </c>
      <c r="N9">
        <f t="shared" si="0"/>
        <v>217.78260869565219</v>
      </c>
      <c r="O9">
        <f t="shared" si="1"/>
        <v>5.6862922838848569</v>
      </c>
      <c r="P9">
        <f t="shared" si="17"/>
        <v>0.68629228388485686</v>
      </c>
      <c r="Q9">
        <f t="shared" si="2"/>
        <v>1</v>
      </c>
      <c r="R9">
        <f t="shared" si="3"/>
        <v>4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0</v>
      </c>
      <c r="V9">
        <f t="shared" si="6"/>
        <v>1</v>
      </c>
      <c r="W9">
        <f t="shared" si="7"/>
        <v>1</v>
      </c>
      <c r="X9" t="str">
        <f>IF(AND($N9&gt;0,$N9&lt;&gt;"",'DDD Model Calculations'!$K$3&gt;=3),$N9-('DDD Model Calculations'!K$13+'DDD Model Calculations'!K$12*WorkingData!$P9),"")</f>
        <v/>
      </c>
      <c r="Y9">
        <f>IF(AND($N9&gt;0,$N9&lt;&gt;""),$N9-('DDD Model Calculations'!L$13+'DDD Model Calculations'!L$12*WorkingData!$P9),"")</f>
        <v>-885.44151981876166</v>
      </c>
      <c r="Z9">
        <f>IF(AND($N9&gt;0,$N9&lt;&gt;""),$N9-('DDD Model Calculations'!M$13+'DDD Model Calculations'!M$12*WorkingData!$P9),"")</f>
        <v>-109.82780617401448</v>
      </c>
      <c r="AA9">
        <f>IF(AND($N9&gt;0,$N9&lt;&gt;""),$N9-('DDD Model Calculations'!N$13+'DDD Model Calculations'!N$12*WorkingData!$P9),"")</f>
        <v>-109.82780617401448</v>
      </c>
      <c r="AB9" t="str">
        <f>IF(X9&lt;&gt;"",X9/'DDD Model Calculations'!K$11,"")</f>
        <v/>
      </c>
      <c r="AC9">
        <f>IF(Y9&lt;&gt;"",Y9/'DDD Model Calculations'!L$11,"")</f>
        <v>-3.2438407602967829</v>
      </c>
      <c r="AD9">
        <f>IF(Z9&lt;&gt;"",Z9/'DDD Model Calculations'!M$11,"")</f>
        <v>-0.53762957132404454</v>
      </c>
      <c r="AE9">
        <f>IF(AA9&lt;&gt;"",AA9/'DDD Model Calculations'!N$11,"")</f>
        <v>-0.53762957132404454</v>
      </c>
      <c r="AF9" t="str">
        <f t="shared" si="8"/>
        <v/>
      </c>
      <c r="AG9">
        <f t="shared" si="9"/>
        <v>0</v>
      </c>
      <c r="AH9">
        <f t="shared" si="10"/>
        <v>1</v>
      </c>
      <c r="AI9">
        <f t="shared" si="11"/>
        <v>1</v>
      </c>
    </row>
    <row r="10" spans="1:35" x14ac:dyDescent="0.25">
      <c r="A10" s="2">
        <v>44648</v>
      </c>
      <c r="B10" s="1">
        <v>31</v>
      </c>
      <c r="C10" s="1">
        <v>247121</v>
      </c>
      <c r="D10" t="str">
        <v>A</v>
      </c>
      <c r="E10">
        <v>43772</v>
      </c>
      <c r="F10">
        <v>183120</v>
      </c>
      <c r="G10" t="str">
        <f t="shared" si="12"/>
        <v/>
      </c>
      <c r="H10" s="2">
        <f t="shared" si="13"/>
        <v>44648</v>
      </c>
      <c r="I10" t="str">
        <f t="shared" si="14"/>
        <v/>
      </c>
      <c r="J10" t="str">
        <f t="shared" si="15"/>
        <v/>
      </c>
      <c r="K10" t="str">
        <f>IF(AND($H11&gt;0,$H11&lt;&gt;""),VLOOKUP($H11,'Weather Data'!$L$2:$P$4170,'DDD Model Calculations'!$D$22,FALSE),"")</f>
        <v/>
      </c>
      <c r="L10" t="str">
        <f>IF(AND($K10&gt;0,$K10&lt;&gt;""),VLOOKUP($H10,'Weather Data'!$L$2:$P$4170,'DDD Model Calculations'!$D$22,FALSE),"")</f>
        <v/>
      </c>
      <c r="M10" t="str">
        <f t="shared" si="16"/>
        <v/>
      </c>
      <c r="N10" t="str">
        <f t="shared" si="0"/>
        <v/>
      </c>
      <c r="O10" t="str">
        <f t="shared" si="1"/>
        <v/>
      </c>
      <c r="P10" t="str">
        <f t="shared" si="17"/>
        <v/>
      </c>
      <c r="Q10" t="str">
        <f t="shared" si="2"/>
        <v/>
      </c>
      <c r="R10" t="str">
        <f t="shared" si="3"/>
        <v/>
      </c>
      <c r="S10" t="str">
        <f>IF('DDD Model Calculations'!$D$23=1,WorkingData!AF10,IF('DDD Model Calculations'!$D$23=2,WorkingData!AG10,IF('DDD Model Calculations'!$D$23=4,WorkingData!AH10,WorkingData!AI10)))</f>
        <v/>
      </c>
      <c r="T10" t="str">
        <f t="shared" si="4"/>
        <v/>
      </c>
      <c r="U10" t="str">
        <f t="shared" si="5"/>
        <v/>
      </c>
      <c r="V10" t="str">
        <f t="shared" si="6"/>
        <v/>
      </c>
      <c r="W10" t="str">
        <f t="shared" si="7"/>
        <v/>
      </c>
      <c r="X10" t="str">
        <f>IF(AND($N10&gt;0,$N10&lt;&gt;"",'DDD Model Calculations'!$K$3&gt;=3),$N10-('DDD Model Calculations'!K$13+'DDD Model Calculations'!K$12*WorkingData!$P10),"")</f>
        <v/>
      </c>
      <c r="Y10" t="str">
        <f>IF(AND($N10&gt;0,$N10&lt;&gt;""),$N10-('DDD Model Calculations'!L$13+'DDD Model Calculations'!L$12*WorkingData!$P10),"")</f>
        <v/>
      </c>
      <c r="Z10" t="str">
        <f>IF(AND($N10&gt;0,$N10&lt;&gt;""),$N10-('DDD Model Calculations'!M$13+'DDD Model Calculations'!M$12*WorkingData!$P10),"")</f>
        <v/>
      </c>
      <c r="AA10" t="str">
        <f>IF(AND($N10&gt;0,$N10&lt;&gt;""),$N10-('DDD Model Calculations'!N$13+'DDD Model Calculations'!N$12*WorkingData!$P10),"")</f>
        <v/>
      </c>
      <c r="AB10" t="str">
        <f>IF(X10&lt;&gt;"",X10/'DDD Model Calculations'!K$11,"")</f>
        <v/>
      </c>
      <c r="AC10" t="str">
        <f>IF(Y10&lt;&gt;"",Y10/'DDD Model Calculations'!L$11,"")</f>
        <v/>
      </c>
      <c r="AD10" t="str">
        <f>IF(Z10&lt;&gt;"",Z10/'DDD Model Calculations'!M$11,"")</f>
        <v/>
      </c>
      <c r="AE10" t="str">
        <f>IF(AA10&lt;&gt;"",AA10/'DDD Model Calculations'!N$11,"")</f>
        <v/>
      </c>
      <c r="AF10" t="str">
        <f t="shared" si="8"/>
        <v/>
      </c>
      <c r="AG10" t="str">
        <f t="shared" si="9"/>
        <v/>
      </c>
      <c r="AH10" t="str">
        <f t="shared" si="10"/>
        <v/>
      </c>
      <c r="AI10" t="str">
        <f t="shared" si="11"/>
        <v/>
      </c>
    </row>
    <row r="11" spans="1:35" x14ac:dyDescent="0.25">
      <c r="A11" s="2"/>
      <c r="G11" t="str">
        <f t="shared" si="12"/>
        <v/>
      </c>
      <c r="H11" s="2" t="str">
        <f t="shared" si="13"/>
        <v/>
      </c>
      <c r="I11" t="str">
        <f t="shared" si="14"/>
        <v/>
      </c>
      <c r="J11" t="str">
        <f t="shared" si="15"/>
        <v/>
      </c>
      <c r="K11" t="str">
        <f>IF(AND($H12&gt;0,$H12&lt;&gt;""),VLOOKUP($H12,'Weather Data'!$L$2:$P$4170,'DDD Model Calculations'!$D$22,FALSE),"")</f>
        <v/>
      </c>
      <c r="L11" t="str">
        <f>IF(AND($K11&gt;0,$K11&lt;&gt;""),VLOOKUP($H11,'Weather Data'!$L$2:$P$4170,'DDD Model Calculations'!$D$22,FALSE),"")</f>
        <v/>
      </c>
      <c r="M11" t="str">
        <f t="shared" si="16"/>
        <v/>
      </c>
      <c r="N11" t="str">
        <f t="shared" si="0"/>
        <v/>
      </c>
      <c r="O11" t="str">
        <f t="shared" si="1"/>
        <v/>
      </c>
      <c r="P11" t="str">
        <f t="shared" si="17"/>
        <v/>
      </c>
      <c r="Q11" t="str">
        <f t="shared" si="2"/>
        <v/>
      </c>
      <c r="R11" t="str">
        <f t="shared" si="3"/>
        <v/>
      </c>
      <c r="S11" t="str">
        <f>IF('DDD Model Calculations'!$D$23=1,WorkingData!AF11,IF('DDD Model Calculations'!$D$23=2,WorkingData!AG11,IF('DDD Model Calculations'!$D$23=4,WorkingData!AH11,WorkingData!AI11)))</f>
        <v/>
      </c>
      <c r="T11" t="str">
        <f t="shared" si="4"/>
        <v/>
      </c>
      <c r="U11" t="str">
        <f t="shared" si="5"/>
        <v/>
      </c>
      <c r="V11" t="str">
        <f t="shared" si="6"/>
        <v/>
      </c>
      <c r="W11" t="str">
        <f t="shared" si="7"/>
        <v/>
      </c>
      <c r="X11" t="str">
        <f>IF(AND($N11&gt;0,$N11&lt;&gt;"",'DDD Model Calculations'!$K$3&gt;=3),$N11-('DDD Model Calculations'!K$13+'DDD Model Calculations'!K$12*WorkingData!$P11),"")</f>
        <v/>
      </c>
      <c r="Y11" t="str">
        <f>IF(AND($N11&gt;0,$N11&lt;&gt;""),$N11-('DDD Model Calculations'!L$13+'DDD Model Calculations'!L$12*WorkingData!$P11),"")</f>
        <v/>
      </c>
      <c r="Z11" t="str">
        <f>IF(AND($N11&gt;0,$N11&lt;&gt;""),$N11-('DDD Model Calculations'!M$13+'DDD Model Calculations'!M$12*WorkingData!$P11),"")</f>
        <v/>
      </c>
      <c r="AA11" t="str">
        <f>IF(AND($N11&gt;0,$N11&lt;&gt;""),$N11-('DDD Model Calculations'!N$13+'DDD Model Calculations'!N$12*WorkingData!$P11),"")</f>
        <v/>
      </c>
      <c r="AB11" t="str">
        <f>IF(X11&lt;&gt;"",X11/'DDD Model Calculations'!K$11,"")</f>
        <v/>
      </c>
      <c r="AC11" t="str">
        <f>IF(Y11&lt;&gt;"",Y11/'DDD Model Calculations'!L$11,"")</f>
        <v/>
      </c>
      <c r="AD11" t="str">
        <f>IF(Z11&lt;&gt;"",Z11/'DDD Model Calculations'!M$11,"")</f>
        <v/>
      </c>
      <c r="AE11" t="str">
        <f>IF(AA11&lt;&gt;"",AA11/'DDD Model Calculations'!N$11,"")</f>
        <v/>
      </c>
      <c r="AF11" t="str">
        <f t="shared" si="8"/>
        <v/>
      </c>
      <c r="AG11" t="str">
        <f t="shared" si="9"/>
        <v/>
      </c>
      <c r="AH11" t="str">
        <f t="shared" si="10"/>
        <v/>
      </c>
      <c r="AI11" t="str">
        <f t="shared" si="11"/>
        <v/>
      </c>
    </row>
    <row r="12" spans="1:35" x14ac:dyDescent="0.25">
      <c r="A12" s="2"/>
      <c r="G12" t="str">
        <f t="shared" si="12"/>
        <v/>
      </c>
      <c r="H12" s="2" t="str">
        <f t="shared" si="13"/>
        <v/>
      </c>
      <c r="I12" t="str">
        <f t="shared" si="14"/>
        <v/>
      </c>
      <c r="J12" t="str">
        <f t="shared" si="15"/>
        <v/>
      </c>
      <c r="K12" t="str">
        <f>IF(AND($H13&gt;0,$H13&lt;&gt;""),VLOOKUP($H13,'Weather Data'!$L$2:$P$4170,'DDD Model Calculations'!$D$22,FALSE),"")</f>
        <v/>
      </c>
      <c r="L12" t="str">
        <f>IF(AND($K12&gt;0,$K12&lt;&gt;""),VLOOKUP($H12,'Weather Data'!$L$2:$P$4170,'DDD Model Calculations'!$D$22,FALSE),"")</f>
        <v/>
      </c>
      <c r="M12" t="str">
        <f t="shared" si="16"/>
        <v/>
      </c>
      <c r="N12" t="str">
        <f t="shared" si="0"/>
        <v/>
      </c>
      <c r="O12" t="str">
        <f t="shared" si="1"/>
        <v/>
      </c>
      <c r="P12" t="str">
        <f t="shared" si="17"/>
        <v/>
      </c>
      <c r="Q12" t="str">
        <f t="shared" si="2"/>
        <v/>
      </c>
      <c r="R12" t="str">
        <f t="shared" si="3"/>
        <v/>
      </c>
      <c r="S12" t="str">
        <f>IF('DDD Model Calculations'!$D$23=1,WorkingData!AF12,IF('DDD Model Calculations'!$D$23=2,WorkingData!AG12,IF('DDD Model Calculations'!$D$23=4,WorkingData!AH12,WorkingData!AI12)))</f>
        <v/>
      </c>
      <c r="T12" t="str">
        <f t="shared" si="4"/>
        <v/>
      </c>
      <c r="U12" t="str">
        <f t="shared" si="5"/>
        <v/>
      </c>
      <c r="V12" t="str">
        <f t="shared" si="6"/>
        <v/>
      </c>
      <c r="W12" t="str">
        <f t="shared" si="7"/>
        <v/>
      </c>
      <c r="X12" t="str">
        <f>IF(AND($N12&gt;0,$N12&lt;&gt;"",'DDD Model Calculations'!$K$3&gt;=3),$N12-('DDD Model Calculations'!K$13+'DDD Model Calculations'!K$12*WorkingData!$P12),"")</f>
        <v/>
      </c>
      <c r="Y12" t="str">
        <f>IF(AND($N12&gt;0,$N12&lt;&gt;""),$N12-('DDD Model Calculations'!L$13+'DDD Model Calculations'!L$12*WorkingData!$P12),"")</f>
        <v/>
      </c>
      <c r="Z12" t="str">
        <f>IF(AND($N12&gt;0,$N12&lt;&gt;""),$N12-('DDD Model Calculations'!M$13+'DDD Model Calculations'!M$12*WorkingData!$P12),"")</f>
        <v/>
      </c>
      <c r="AA12" t="str">
        <f>IF(AND($N12&gt;0,$N12&lt;&gt;""),$N12-('DDD Model Calculations'!N$13+'DDD Model Calculations'!N$12*WorkingData!$P12),"")</f>
        <v/>
      </c>
      <c r="AB12" t="str">
        <f>IF(X12&lt;&gt;"",X12/'DDD Model Calculations'!K$11,"")</f>
        <v/>
      </c>
      <c r="AC12" t="str">
        <f>IF(Y12&lt;&gt;"",Y12/'DDD Model Calculations'!L$11,"")</f>
        <v/>
      </c>
      <c r="AD12" t="str">
        <f>IF(Z12&lt;&gt;"",Z12/'DDD Model Calculations'!M$11,"")</f>
        <v/>
      </c>
      <c r="AE12" t="str">
        <f>IF(AA12&lt;&gt;"",AA12/'DDD Model Calculations'!N$11,"")</f>
        <v/>
      </c>
      <c r="AF12" t="str">
        <f t="shared" si="8"/>
        <v/>
      </c>
      <c r="AG12" t="str">
        <f t="shared" si="9"/>
        <v/>
      </c>
      <c r="AH12" t="str">
        <f t="shared" si="10"/>
        <v/>
      </c>
      <c r="AI12" t="str">
        <f t="shared" si="11"/>
        <v/>
      </c>
    </row>
    <row r="13" spans="1:35" x14ac:dyDescent="0.25">
      <c r="A13" s="2"/>
      <c r="G13" t="str">
        <f t="shared" si="12"/>
        <v/>
      </c>
      <c r="H13" s="2" t="str">
        <f t="shared" si="13"/>
        <v/>
      </c>
      <c r="I13" t="str">
        <f t="shared" si="14"/>
        <v/>
      </c>
      <c r="J13" t="str">
        <f t="shared" si="15"/>
        <v/>
      </c>
      <c r="K13" t="str">
        <f>IF(AND($H14&gt;0,$H14&lt;&gt;""),VLOOKUP($H14,'Weather Data'!$L$2:$P$4170,'DDD Model Calculations'!$D$22,FALSE),"")</f>
        <v/>
      </c>
      <c r="L13" t="str">
        <f>IF(AND($K13&gt;0,$K13&lt;&gt;""),VLOOKUP($H13,'Weather Data'!$L$2:$P$4170,'DDD Model Calculations'!$D$22,FALSE),"")</f>
        <v/>
      </c>
      <c r="M13" t="str">
        <f t="shared" si="16"/>
        <v/>
      </c>
      <c r="N13" t="str">
        <f t="shared" si="0"/>
        <v/>
      </c>
      <c r="O13" t="str">
        <f t="shared" si="1"/>
        <v/>
      </c>
      <c r="P13" t="str">
        <f t="shared" si="17"/>
        <v/>
      </c>
      <c r="Q13" t="str">
        <f t="shared" si="2"/>
        <v/>
      </c>
      <c r="R13" t="str">
        <f t="shared" si="3"/>
        <v/>
      </c>
      <c r="S13" t="str">
        <f>IF('DDD Model Calculations'!$D$23=1,WorkingData!AF13,IF('DDD Model Calculations'!$D$23=2,WorkingData!AG13,IF('DDD Model Calculations'!$D$23=4,WorkingData!AH13,WorkingData!AI13)))</f>
        <v/>
      </c>
      <c r="T13" t="str">
        <f t="shared" si="4"/>
        <v/>
      </c>
      <c r="U13" t="str">
        <f t="shared" si="5"/>
        <v/>
      </c>
      <c r="V13" t="str">
        <f t="shared" si="6"/>
        <v/>
      </c>
      <c r="W13" t="str">
        <f t="shared" si="7"/>
        <v/>
      </c>
      <c r="X13" t="str">
        <f>IF(AND($N13&gt;0,$N13&lt;&gt;"",'DDD Model Calculations'!$K$3&gt;=3),$N13-('DDD Model Calculations'!K$13+'DDD Model Calculations'!K$12*WorkingData!$P13),"")</f>
        <v/>
      </c>
      <c r="Y13" t="str">
        <f>IF(AND($N13&gt;0,$N13&lt;&gt;""),$N13-('DDD Model Calculations'!L$13+'DDD Model Calculations'!L$12*WorkingData!$P13),"")</f>
        <v/>
      </c>
      <c r="Z13" t="str">
        <f>IF(AND($N13&gt;0,$N13&lt;&gt;""),$N13-('DDD Model Calculations'!M$13+'DDD Model Calculations'!M$12*WorkingData!$P13),"")</f>
        <v/>
      </c>
      <c r="AA13" t="str">
        <f>IF(AND($N13&gt;0,$N13&lt;&gt;""),$N13-('DDD Model Calculations'!N$13+'DDD Model Calculations'!N$12*WorkingData!$P13),"")</f>
        <v/>
      </c>
      <c r="AB13" t="str">
        <f>IF(X13&lt;&gt;"",X13/'DDD Model Calculations'!K$11,"")</f>
        <v/>
      </c>
      <c r="AC13" t="str">
        <f>IF(Y13&lt;&gt;"",Y13/'DDD Model Calculations'!L$11,"")</f>
        <v/>
      </c>
      <c r="AD13" t="str">
        <f>IF(Z13&lt;&gt;"",Z13/'DDD Model Calculations'!M$11,"")</f>
        <v/>
      </c>
      <c r="AE13" t="str">
        <f>IF(AA13&lt;&gt;"",AA13/'DDD Model Calculations'!N$11,"")</f>
        <v/>
      </c>
      <c r="AF13" t="str">
        <f t="shared" si="8"/>
        <v/>
      </c>
      <c r="AG13" t="str">
        <f t="shared" si="9"/>
        <v/>
      </c>
      <c r="AH13" t="str">
        <f t="shared" si="10"/>
        <v/>
      </c>
      <c r="AI13" t="str">
        <f t="shared" si="11"/>
        <v/>
      </c>
    </row>
    <row r="14" spans="1:35" x14ac:dyDescent="0.25">
      <c r="A14" s="2"/>
      <c r="G14" t="str">
        <f t="shared" si="12"/>
        <v/>
      </c>
      <c r="H14" s="2" t="str">
        <f t="shared" si="13"/>
        <v/>
      </c>
      <c r="I14" t="str">
        <f t="shared" si="14"/>
        <v/>
      </c>
      <c r="J14" t="str">
        <f t="shared" si="15"/>
        <v/>
      </c>
      <c r="K14" t="str">
        <f>IF(AND($H15&gt;0,$H15&lt;&gt;""),VLOOKUP($H15,'Weather Data'!$L$2:$P$4170,'DDD Model Calculations'!$D$22,FALSE),"")</f>
        <v/>
      </c>
      <c r="L14" t="str">
        <f>IF(AND($K14&gt;0,$K14&lt;&gt;""),VLOOKUP($H14,'Weather Data'!$L$2:$P$4170,'DDD Model Calculations'!$D$22,FALSE),"")</f>
        <v/>
      </c>
      <c r="M14" t="str">
        <f t="shared" si="16"/>
        <v/>
      </c>
      <c r="N14" t="str">
        <f t="shared" si="0"/>
        <v/>
      </c>
      <c r="O14" t="str">
        <f t="shared" si="1"/>
        <v/>
      </c>
      <c r="P14" t="str">
        <f t="shared" si="17"/>
        <v/>
      </c>
      <c r="Q14" t="str">
        <f t="shared" si="2"/>
        <v/>
      </c>
      <c r="R14" t="str">
        <f t="shared" si="3"/>
        <v/>
      </c>
      <c r="S14" t="str">
        <f>IF('DDD Model Calculations'!$D$23=1,WorkingData!AF14,IF('DDD Model Calculations'!$D$23=2,WorkingData!AG14,IF('DDD Model Calculations'!$D$23=4,WorkingData!AH14,WorkingData!AI14)))</f>
        <v/>
      </c>
      <c r="T14" t="str">
        <f t="shared" si="4"/>
        <v/>
      </c>
      <c r="U14" t="str">
        <f t="shared" si="5"/>
        <v/>
      </c>
      <c r="V14" t="str">
        <f t="shared" si="6"/>
        <v/>
      </c>
      <c r="W14" t="str">
        <f t="shared" si="7"/>
        <v/>
      </c>
      <c r="X14" t="str">
        <f>IF(AND($N14&gt;0,$N14&lt;&gt;"",'DDD Model Calculations'!$K$3&gt;=3),$N14-('DDD Model Calculations'!K$13+'DDD Model Calculations'!K$12*WorkingData!$P14),"")</f>
        <v/>
      </c>
      <c r="Y14" t="str">
        <f>IF(AND($N14&gt;0,$N14&lt;&gt;""),$N14-('DDD Model Calculations'!L$13+'DDD Model Calculations'!L$12*WorkingData!$P14),"")</f>
        <v/>
      </c>
      <c r="Z14" t="str">
        <f>IF(AND($N14&gt;0,$N14&lt;&gt;""),$N14-('DDD Model Calculations'!M$13+'DDD Model Calculations'!M$12*WorkingData!$P14),"")</f>
        <v/>
      </c>
      <c r="AA14" t="str">
        <f>IF(AND($N14&gt;0,$N14&lt;&gt;""),$N14-('DDD Model Calculations'!N$13+'DDD Model Calculations'!N$12*WorkingData!$P14),"")</f>
        <v/>
      </c>
      <c r="AB14" t="str">
        <f>IF(X14&lt;&gt;"",X14/'DDD Model Calculations'!K$11,"")</f>
        <v/>
      </c>
      <c r="AC14" t="str">
        <f>IF(Y14&lt;&gt;"",Y14/'DDD Model Calculations'!L$11,"")</f>
        <v/>
      </c>
      <c r="AD14" t="str">
        <f>IF(Z14&lt;&gt;"",Z14/'DDD Model Calculations'!M$11,"")</f>
        <v/>
      </c>
      <c r="AE14" t="str">
        <f>IF(AA14&lt;&gt;"",AA14/'DDD Model Calculations'!N$11,"")</f>
        <v/>
      </c>
      <c r="AF14" t="str">
        <f t="shared" si="8"/>
        <v/>
      </c>
      <c r="AG14" t="str">
        <f t="shared" si="9"/>
        <v/>
      </c>
      <c r="AH14" t="str">
        <f t="shared" si="10"/>
        <v/>
      </c>
      <c r="AI14" t="str">
        <f t="shared" si="11"/>
        <v/>
      </c>
    </row>
    <row r="15" spans="1:35" x14ac:dyDescent="0.25">
      <c r="A15" s="2"/>
      <c r="G15" t="str">
        <f t="shared" si="12"/>
        <v/>
      </c>
      <c r="H15" s="2" t="str">
        <f t="shared" si="13"/>
        <v/>
      </c>
      <c r="I15" t="str">
        <f t="shared" si="14"/>
        <v/>
      </c>
      <c r="J15" t="str">
        <f t="shared" si="15"/>
        <v/>
      </c>
      <c r="K15" t="str">
        <f>IF(AND($H16&gt;0,$H16&lt;&gt;""),VLOOKUP($H16,'Weather Data'!$L$2:$P$4170,'DDD Model Calculations'!$D$22,FALSE),"")</f>
        <v/>
      </c>
      <c r="L15" t="str">
        <f>IF(AND($K15&gt;0,$K15&lt;&gt;""),VLOOKUP($H15,'Weather Data'!$L$2:$P$4170,'DDD Model Calculations'!$D$22,FALSE),"")</f>
        <v/>
      </c>
      <c r="M15" t="str">
        <f t="shared" si="16"/>
        <v/>
      </c>
      <c r="N15" t="str">
        <f t="shared" si="0"/>
        <v/>
      </c>
      <c r="O15" t="str">
        <f t="shared" si="1"/>
        <v/>
      </c>
      <c r="P15" t="str">
        <f t="shared" si="17"/>
        <v/>
      </c>
      <c r="Q15" t="str">
        <f t="shared" si="2"/>
        <v/>
      </c>
      <c r="R15" t="str">
        <f t="shared" si="3"/>
        <v/>
      </c>
      <c r="S15" t="str">
        <f>IF('DDD Model Calculations'!$D$23=1,WorkingData!AF15,IF('DDD Model Calculations'!$D$23=2,WorkingData!AG15,IF('DDD Model Calculations'!$D$23=4,WorkingData!AH15,WorkingData!AI15)))</f>
        <v/>
      </c>
      <c r="T15" t="str">
        <f t="shared" si="4"/>
        <v/>
      </c>
      <c r="U15" t="str">
        <f t="shared" si="5"/>
        <v/>
      </c>
      <c r="V15" t="str">
        <f t="shared" si="6"/>
        <v/>
      </c>
      <c r="W15" t="str">
        <f t="shared" si="7"/>
        <v/>
      </c>
      <c r="X15" t="str">
        <f>IF(AND($N15&gt;0,$N15&lt;&gt;"",'DDD Model Calculations'!$K$3&gt;=3),$N15-('DDD Model Calculations'!K$13+'DDD Model Calculations'!K$12*WorkingData!$P15),"")</f>
        <v/>
      </c>
      <c r="Y15" t="str">
        <f>IF(AND($N15&gt;0,$N15&lt;&gt;""),$N15-('DDD Model Calculations'!L$13+'DDD Model Calculations'!L$12*WorkingData!$P15),"")</f>
        <v/>
      </c>
      <c r="Z15" t="str">
        <f>IF(AND($N15&gt;0,$N15&lt;&gt;""),$N15-('DDD Model Calculations'!M$13+'DDD Model Calculations'!M$12*WorkingData!$P15),"")</f>
        <v/>
      </c>
      <c r="AA15" t="str">
        <f>IF(AND($N15&gt;0,$N15&lt;&gt;""),$N15-('DDD Model Calculations'!N$13+'DDD Model Calculations'!N$12*WorkingData!$P15),"")</f>
        <v/>
      </c>
      <c r="AB15" t="str">
        <f>IF(X15&lt;&gt;"",X15/'DDD Model Calculations'!K$11,"")</f>
        <v/>
      </c>
      <c r="AC15" t="str">
        <f>IF(Y15&lt;&gt;"",Y15/'DDD Model Calculations'!L$11,"")</f>
        <v/>
      </c>
      <c r="AD15" t="str">
        <f>IF(Z15&lt;&gt;"",Z15/'DDD Model Calculations'!M$11,"")</f>
        <v/>
      </c>
      <c r="AE15" t="str">
        <f>IF(AA15&lt;&gt;"",AA15/'DDD Model Calculations'!N$11,"")</f>
        <v/>
      </c>
      <c r="AF15" t="str">
        <f t="shared" si="8"/>
        <v/>
      </c>
      <c r="AG15" t="str">
        <f t="shared" si="9"/>
        <v/>
      </c>
      <c r="AH15" t="str">
        <f t="shared" si="10"/>
        <v/>
      </c>
      <c r="AI15" t="str">
        <f t="shared" si="11"/>
        <v/>
      </c>
    </row>
    <row r="16" spans="1:35" x14ac:dyDescent="0.25">
      <c r="A16" s="2"/>
      <c r="G16" t="str">
        <f t="shared" si="12"/>
        <v/>
      </c>
      <c r="H16" s="2" t="str">
        <f t="shared" si="13"/>
        <v/>
      </c>
      <c r="I16" t="str">
        <f t="shared" si="14"/>
        <v/>
      </c>
      <c r="J16" t="str">
        <f t="shared" si="15"/>
        <v/>
      </c>
      <c r="K16" t="str">
        <f>IF(AND($H17&gt;0,$H17&lt;&gt;""),VLOOKUP($H17,'Weather Data'!$L$2:$P$4170,'DDD Model Calculations'!$D$22,FALSE),"")</f>
        <v/>
      </c>
      <c r="L16" t="str">
        <f>IF(AND($K16&gt;0,$K16&lt;&gt;""),VLOOKUP($H16,'Weather Data'!$L$2:$P$4170,'DDD Model Calculations'!$D$22,FALSE),"")</f>
        <v/>
      </c>
      <c r="M16" t="str">
        <f t="shared" si="16"/>
        <v/>
      </c>
      <c r="N16" t="str">
        <f t="shared" si="0"/>
        <v/>
      </c>
      <c r="O16" t="str">
        <f t="shared" si="1"/>
        <v/>
      </c>
      <c r="P16" t="str">
        <f t="shared" si="17"/>
        <v/>
      </c>
      <c r="Q16" t="str">
        <f t="shared" si="2"/>
        <v/>
      </c>
      <c r="R16" t="str">
        <f t="shared" si="3"/>
        <v/>
      </c>
      <c r="S16" t="str">
        <f>IF('DDD Model Calculations'!$D$23=1,WorkingData!AF16,IF('DDD Model Calculations'!$D$23=2,WorkingData!AG16,IF('DDD Model Calculations'!$D$23=4,WorkingData!AH16,WorkingData!AI16)))</f>
        <v/>
      </c>
      <c r="T16" t="str">
        <f t="shared" si="4"/>
        <v/>
      </c>
      <c r="U16" t="str">
        <f t="shared" si="5"/>
        <v/>
      </c>
      <c r="V16" t="str">
        <f t="shared" si="6"/>
        <v/>
      </c>
      <c r="W16" t="str">
        <f t="shared" si="7"/>
        <v/>
      </c>
      <c r="X16" t="str">
        <f>IF(AND($N16&gt;0,$N16&lt;&gt;"",'DDD Model Calculations'!$K$3&gt;=3),$N16-('DDD Model Calculations'!K$13+'DDD Model Calculations'!K$12*WorkingData!$P16),"")</f>
        <v/>
      </c>
      <c r="Y16" t="str">
        <f>IF(AND($N16&gt;0,$N16&lt;&gt;""),$N16-('DDD Model Calculations'!L$13+'DDD Model Calculations'!L$12*WorkingData!$P16),"")</f>
        <v/>
      </c>
      <c r="Z16" t="str">
        <f>IF(AND($N16&gt;0,$N16&lt;&gt;""),$N16-('DDD Model Calculations'!M$13+'DDD Model Calculations'!M$12*WorkingData!$P16),"")</f>
        <v/>
      </c>
      <c r="AA16" t="str">
        <f>IF(AND($N16&gt;0,$N16&lt;&gt;""),$N16-('DDD Model Calculations'!N$13+'DDD Model Calculations'!N$12*WorkingData!$P16),"")</f>
        <v/>
      </c>
      <c r="AB16" t="str">
        <f>IF(X16&lt;&gt;"",X16/'DDD Model Calculations'!K$11,"")</f>
        <v/>
      </c>
      <c r="AC16" t="str">
        <f>IF(Y16&lt;&gt;"",Y16/'DDD Model Calculations'!L$11,"")</f>
        <v/>
      </c>
      <c r="AD16" t="str">
        <f>IF(Z16&lt;&gt;"",Z16/'DDD Model Calculations'!M$11,"")</f>
        <v/>
      </c>
      <c r="AE16" t="str">
        <f>IF(AA16&lt;&gt;"",AA16/'DDD Model Calculations'!N$11,"")</f>
        <v/>
      </c>
      <c r="AF16" t="str">
        <f t="shared" si="8"/>
        <v/>
      </c>
      <c r="AG16" t="str">
        <f t="shared" si="9"/>
        <v/>
      </c>
      <c r="AH16" t="str">
        <f t="shared" si="10"/>
        <v/>
      </c>
      <c r="AI16" t="str">
        <f t="shared" si="11"/>
        <v/>
      </c>
    </row>
    <row r="17" spans="1:35" x14ac:dyDescent="0.25">
      <c r="A17" s="2"/>
      <c r="G17" t="str">
        <f t="shared" si="12"/>
        <v/>
      </c>
      <c r="H17" s="2" t="str">
        <f t="shared" si="13"/>
        <v/>
      </c>
      <c r="I17" t="str">
        <f t="shared" si="14"/>
        <v/>
      </c>
      <c r="J17" t="str">
        <f t="shared" si="15"/>
        <v/>
      </c>
      <c r="K17" t="str">
        <f>IF(AND($H18&gt;0,$H18&lt;&gt;""),VLOOKUP($H18,'Weather Data'!$L$2:$P$4170,'DDD Model Calculations'!$D$22,FALSE),"")</f>
        <v/>
      </c>
      <c r="L17" t="str">
        <f>IF(AND($K17&gt;0,$K17&lt;&gt;""),VLOOKUP($H17,'Weather Data'!$L$2:$P$4170,'DDD Model Calculations'!$D$22,FALSE),"")</f>
        <v/>
      </c>
      <c r="M17" t="str">
        <f t="shared" si="16"/>
        <v/>
      </c>
      <c r="N17" t="str">
        <f t="shared" si="0"/>
        <v/>
      </c>
      <c r="O17" t="str">
        <f t="shared" si="1"/>
        <v/>
      </c>
      <c r="P17" t="str">
        <f t="shared" si="17"/>
        <v/>
      </c>
      <c r="Q17" t="str">
        <f t="shared" si="2"/>
        <v/>
      </c>
      <c r="R17" t="str">
        <f t="shared" si="3"/>
        <v/>
      </c>
      <c r="S17" t="str">
        <f>IF('DDD Model Calculations'!$D$23=1,WorkingData!AF17,IF('DDD Model Calculations'!$D$23=2,WorkingData!AG17,IF('DDD Model Calculations'!$D$23=4,WorkingData!AH17,WorkingData!AI17)))</f>
        <v/>
      </c>
      <c r="T17" t="str">
        <f t="shared" si="4"/>
        <v/>
      </c>
      <c r="U17" t="str">
        <f t="shared" si="5"/>
        <v/>
      </c>
      <c r="V17" t="str">
        <f t="shared" si="6"/>
        <v/>
      </c>
      <c r="W17" t="str">
        <f t="shared" si="7"/>
        <v/>
      </c>
      <c r="X17" t="str">
        <f>IF(AND($N17&gt;0,$N17&lt;&gt;"",'DDD Model Calculations'!$K$3&gt;=3),$N17-('DDD Model Calculations'!K$13+'DDD Model Calculations'!K$12*WorkingData!$P17),"")</f>
        <v/>
      </c>
      <c r="Y17" t="str">
        <f>IF(AND($N17&gt;0,$N17&lt;&gt;""),$N17-('DDD Model Calculations'!L$13+'DDD Model Calculations'!L$12*WorkingData!$P17),"")</f>
        <v/>
      </c>
      <c r="Z17" t="str">
        <f>IF(AND($N17&gt;0,$N17&lt;&gt;""),$N17-('DDD Model Calculations'!M$13+'DDD Model Calculations'!M$12*WorkingData!$P17),"")</f>
        <v/>
      </c>
      <c r="AA17" t="str">
        <f>IF(AND($N17&gt;0,$N17&lt;&gt;""),$N17-('DDD Model Calculations'!N$13+'DDD Model Calculations'!N$12*WorkingData!$P17),"")</f>
        <v/>
      </c>
      <c r="AB17" t="str">
        <f>IF(X17&lt;&gt;"",X17/'DDD Model Calculations'!K$11,"")</f>
        <v/>
      </c>
      <c r="AC17" t="str">
        <f>IF(Y17&lt;&gt;"",Y17/'DDD Model Calculations'!L$11,"")</f>
        <v/>
      </c>
      <c r="AD17" t="str">
        <f>IF(Z17&lt;&gt;"",Z17/'DDD Model Calculations'!M$11,"")</f>
        <v/>
      </c>
      <c r="AE17" t="str">
        <f>IF(AA17&lt;&gt;"",AA17/'DDD Model Calculations'!N$11,"")</f>
        <v/>
      </c>
      <c r="AF17" t="str">
        <f t="shared" si="8"/>
        <v/>
      </c>
      <c r="AG17" t="str">
        <f t="shared" si="9"/>
        <v/>
      </c>
      <c r="AH17" t="str">
        <f t="shared" si="10"/>
        <v/>
      </c>
      <c r="AI17" t="str">
        <f t="shared" si="11"/>
        <v/>
      </c>
    </row>
    <row r="18" spans="1:35" x14ac:dyDescent="0.25">
      <c r="A18" s="2"/>
      <c r="G18" t="str">
        <f t="shared" si="12"/>
        <v/>
      </c>
      <c r="H18" s="2" t="str">
        <f t="shared" si="13"/>
        <v/>
      </c>
      <c r="I18" t="str">
        <f t="shared" si="14"/>
        <v/>
      </c>
      <c r="J18" t="str">
        <f t="shared" si="15"/>
        <v/>
      </c>
      <c r="K18" t="str">
        <f>IF(AND($H19&gt;0,$H19&lt;&gt;""),VLOOKUP($H19,'Weather Data'!$L$2:$P$4170,'DDD Model Calculations'!$D$22,FALSE),"")</f>
        <v/>
      </c>
      <c r="L18" t="str">
        <f>IF(AND($K18&gt;0,$K18&lt;&gt;""),VLOOKUP($H18,'Weather Data'!$L$2:$P$4170,'DDD Model Calculations'!$D$22,FALSE),"")</f>
        <v/>
      </c>
      <c r="M18" t="str">
        <f t="shared" si="16"/>
        <v/>
      </c>
      <c r="N18" t="str">
        <f t="shared" si="0"/>
        <v/>
      </c>
      <c r="O18" t="str">
        <f t="shared" si="1"/>
        <v/>
      </c>
      <c r="P18" t="str">
        <f t="shared" si="17"/>
        <v/>
      </c>
      <c r="Q18" t="str">
        <f t="shared" si="2"/>
        <v/>
      </c>
      <c r="R18" t="str">
        <f t="shared" si="3"/>
        <v/>
      </c>
      <c r="S18" t="str">
        <f>IF('DDD Model Calculations'!$D$23=1,WorkingData!AF18,IF('DDD Model Calculations'!$D$23=2,WorkingData!AG18,IF('DDD Model Calculations'!$D$23=4,WorkingData!AH18,WorkingData!AI18)))</f>
        <v/>
      </c>
      <c r="T18" t="str">
        <f t="shared" si="4"/>
        <v/>
      </c>
      <c r="U18" t="str">
        <f t="shared" si="5"/>
        <v/>
      </c>
      <c r="V18" t="str">
        <f t="shared" si="6"/>
        <v/>
      </c>
      <c r="W18" t="str">
        <f t="shared" si="7"/>
        <v/>
      </c>
      <c r="X18" t="str">
        <f>IF(AND($N18&gt;0,$N18&lt;&gt;"",'DDD Model Calculations'!$K$3&gt;=3),$N18-('DDD Model Calculations'!K$13+'DDD Model Calculations'!K$12*WorkingData!$P18),"")</f>
        <v/>
      </c>
      <c r="Y18" t="str">
        <f>IF(AND($N18&gt;0,$N18&lt;&gt;""),$N18-('DDD Model Calculations'!L$13+'DDD Model Calculations'!L$12*WorkingData!$P18),"")</f>
        <v/>
      </c>
      <c r="Z18" t="str">
        <f>IF(AND($N18&gt;0,$N18&lt;&gt;""),$N18-('DDD Model Calculations'!M$13+'DDD Model Calculations'!M$12*WorkingData!$P18),"")</f>
        <v/>
      </c>
      <c r="AA18" t="str">
        <f>IF(AND($N18&gt;0,$N18&lt;&gt;""),$N18-('DDD Model Calculations'!N$13+'DDD Model Calculations'!N$12*WorkingData!$P18),"")</f>
        <v/>
      </c>
      <c r="AB18" t="str">
        <f>IF(X18&lt;&gt;"",X18/'DDD Model Calculations'!K$11,"")</f>
        <v/>
      </c>
      <c r="AC18" t="str">
        <f>IF(Y18&lt;&gt;"",Y18/'DDD Model Calculations'!L$11,"")</f>
        <v/>
      </c>
      <c r="AD18" t="str">
        <f>IF(Z18&lt;&gt;"",Z18/'DDD Model Calculations'!M$11,"")</f>
        <v/>
      </c>
      <c r="AE18" t="str">
        <f>IF(AA18&lt;&gt;"",AA18/'DDD Model Calculations'!N$11,"")</f>
        <v/>
      </c>
      <c r="AF18" t="str">
        <f t="shared" si="8"/>
        <v/>
      </c>
      <c r="AG18" t="str">
        <f t="shared" si="9"/>
        <v/>
      </c>
      <c r="AH18" t="str">
        <f t="shared" si="10"/>
        <v/>
      </c>
      <c r="AI18" t="str">
        <f t="shared" si="11"/>
        <v/>
      </c>
    </row>
    <row r="19" spans="1:35" x14ac:dyDescent="0.25">
      <c r="A19" s="2"/>
      <c r="G19" t="str">
        <f t="shared" si="12"/>
        <v/>
      </c>
      <c r="H19" s="2" t="str">
        <f t="shared" si="13"/>
        <v/>
      </c>
      <c r="I19" t="str">
        <f t="shared" si="14"/>
        <v/>
      </c>
      <c r="J19" t="str">
        <f t="shared" si="15"/>
        <v/>
      </c>
      <c r="K19" t="str">
        <f>IF(AND($H20&gt;0,$H20&lt;&gt;""),VLOOKUP($H20,'Weather Data'!$L$2:$P$4170,'DDD Model Calculations'!$D$22,FALSE),"")</f>
        <v/>
      </c>
      <c r="L19" t="str">
        <f>IF(AND($K19&gt;0,$K19&lt;&gt;""),VLOOKUP($H19,'Weather Data'!$L$2:$P$4170,'DDD Model Calculations'!$D$22,FALSE),"")</f>
        <v/>
      </c>
      <c r="M19" t="str">
        <f t="shared" si="16"/>
        <v/>
      </c>
      <c r="N19" t="str">
        <f t="shared" si="0"/>
        <v/>
      </c>
      <c r="O19" t="str">
        <f t="shared" si="1"/>
        <v/>
      </c>
      <c r="P19" t="str">
        <f t="shared" si="17"/>
        <v/>
      </c>
      <c r="Q19" t="str">
        <f t="shared" si="2"/>
        <v/>
      </c>
      <c r="R19" t="str">
        <f t="shared" si="3"/>
        <v/>
      </c>
      <c r="S19" t="str">
        <f>IF('DDD Model Calculations'!$D$23=1,WorkingData!AF19,IF('DDD Model Calculations'!$D$23=2,WorkingData!AG19,IF('DDD Model Calculations'!$D$23=4,WorkingData!AH19,WorkingData!AI19)))</f>
        <v/>
      </c>
      <c r="T19" t="str">
        <f t="shared" si="4"/>
        <v/>
      </c>
      <c r="U19" t="str">
        <f t="shared" si="5"/>
        <v/>
      </c>
      <c r="V19" t="str">
        <f t="shared" si="6"/>
        <v/>
      </c>
      <c r="W19" t="str">
        <f t="shared" si="7"/>
        <v/>
      </c>
      <c r="X19" t="str">
        <f>IF(AND($N19&gt;0,$N19&lt;&gt;"",'DDD Model Calculations'!$K$3&gt;=3),$N19-('DDD Model Calculations'!K$13+'DDD Model Calculations'!K$12*WorkingData!$P19),"")</f>
        <v/>
      </c>
      <c r="Y19" t="str">
        <f>IF(AND($N19&gt;0,$N19&lt;&gt;""),$N19-('DDD Model Calculations'!L$13+'DDD Model Calculations'!L$12*WorkingData!$P19),"")</f>
        <v/>
      </c>
      <c r="Z19" t="str">
        <f>IF(AND($N19&gt;0,$N19&lt;&gt;""),$N19-('DDD Model Calculations'!M$13+'DDD Model Calculations'!M$12*WorkingData!$P19),"")</f>
        <v/>
      </c>
      <c r="AA19" t="str">
        <f>IF(AND($N19&gt;0,$N19&lt;&gt;""),$N19-('DDD Model Calculations'!N$13+'DDD Model Calculations'!N$12*WorkingData!$P19),"")</f>
        <v/>
      </c>
      <c r="AB19" t="str">
        <f>IF(X19&lt;&gt;"",X19/'DDD Model Calculations'!K$11,"")</f>
        <v/>
      </c>
      <c r="AC19" t="str">
        <f>IF(Y19&lt;&gt;"",Y19/'DDD Model Calculations'!L$11,"")</f>
        <v/>
      </c>
      <c r="AD19" t="str">
        <f>IF(Z19&lt;&gt;"",Z19/'DDD Model Calculations'!M$11,"")</f>
        <v/>
      </c>
      <c r="AE19" t="str">
        <f>IF(AA19&lt;&gt;"",AA19/'DDD Model Calculations'!N$11,"")</f>
        <v/>
      </c>
      <c r="AF19" t="str">
        <f t="shared" si="8"/>
        <v/>
      </c>
      <c r="AG19" t="str">
        <f t="shared" si="9"/>
        <v/>
      </c>
      <c r="AH19" t="str">
        <f t="shared" si="10"/>
        <v/>
      </c>
      <c r="AI19" t="str">
        <f t="shared" si="11"/>
        <v/>
      </c>
    </row>
    <row r="20" spans="1:35" x14ac:dyDescent="0.25">
      <c r="A20" s="2"/>
      <c r="G20" t="str">
        <f t="shared" si="12"/>
        <v/>
      </c>
      <c r="H20" s="2" t="str">
        <f t="shared" si="13"/>
        <v/>
      </c>
      <c r="I20" t="str">
        <f t="shared" si="14"/>
        <v/>
      </c>
      <c r="J20" t="str">
        <f t="shared" si="15"/>
        <v/>
      </c>
      <c r="K20" t="str">
        <f>IF(AND($H21&gt;0,$H21&lt;&gt;""),VLOOKUP($H21,'Weather Data'!$L$2:$P$4170,'DDD Model Calculations'!$D$22,FALSE),"")</f>
        <v/>
      </c>
      <c r="L20" t="str">
        <f>IF(AND($K20&gt;0,$K20&lt;&gt;""),VLOOKUP($H20,'Weather Data'!$L$2:$P$4170,'DDD Model Calculations'!$D$22,FALSE),"")</f>
        <v/>
      </c>
      <c r="M20" t="str">
        <f t="shared" si="16"/>
        <v/>
      </c>
      <c r="N20" t="str">
        <f t="shared" si="0"/>
        <v/>
      </c>
      <c r="O20" t="str">
        <f t="shared" si="1"/>
        <v/>
      </c>
      <c r="P20" t="str">
        <f t="shared" si="17"/>
        <v/>
      </c>
      <c r="Q20" t="str">
        <f t="shared" si="2"/>
        <v/>
      </c>
      <c r="R20" t="str">
        <f t="shared" si="3"/>
        <v/>
      </c>
      <c r="S20" t="str">
        <f>IF('DDD Model Calculations'!$D$23=1,WorkingData!AF20,IF('DDD Model Calculations'!$D$23=2,WorkingData!AG20,IF('DDD Model Calculations'!$D$23=4,WorkingData!AH20,WorkingData!AI20)))</f>
        <v/>
      </c>
      <c r="T20" t="str">
        <f t="shared" si="4"/>
        <v/>
      </c>
      <c r="U20" t="str">
        <f t="shared" si="5"/>
        <v/>
      </c>
      <c r="V20" t="str">
        <f t="shared" si="6"/>
        <v/>
      </c>
      <c r="W20" t="str">
        <f t="shared" si="7"/>
        <v/>
      </c>
      <c r="X20" t="str">
        <f>IF(AND($N20&gt;0,$N20&lt;&gt;"",'DDD Model Calculations'!$K$3&gt;=3),$N20-('DDD Model Calculations'!K$13+'DDD Model Calculations'!K$12*WorkingData!$P20),"")</f>
        <v/>
      </c>
      <c r="Y20" t="str">
        <f>IF(AND($N20&gt;0,$N20&lt;&gt;""),$N20-('DDD Model Calculations'!L$13+'DDD Model Calculations'!L$12*WorkingData!$P20),"")</f>
        <v/>
      </c>
      <c r="Z20" t="str">
        <f>IF(AND($N20&gt;0,$N20&lt;&gt;""),$N20-('DDD Model Calculations'!M$13+'DDD Model Calculations'!M$12*WorkingData!$P20),"")</f>
        <v/>
      </c>
      <c r="AA20" t="str">
        <f>IF(AND($N20&gt;0,$N20&lt;&gt;""),$N20-('DDD Model Calculations'!N$13+'DDD Model Calculations'!N$12*WorkingData!$P20),"")</f>
        <v/>
      </c>
      <c r="AB20" t="str">
        <f>IF(X20&lt;&gt;"",X20/'DDD Model Calculations'!K$11,"")</f>
        <v/>
      </c>
      <c r="AC20" t="str">
        <f>IF(Y20&lt;&gt;"",Y20/'DDD Model Calculations'!L$11,"")</f>
        <v/>
      </c>
      <c r="AD20" t="str">
        <f>IF(Z20&lt;&gt;"",Z20/'DDD Model Calculations'!M$11,"")</f>
        <v/>
      </c>
      <c r="AE20" t="str">
        <f>IF(AA20&lt;&gt;"",AA20/'DDD Model Calculations'!N$11,"")</f>
        <v/>
      </c>
      <c r="AF20" t="str">
        <f t="shared" si="8"/>
        <v/>
      </c>
      <c r="AG20" t="str">
        <f t="shared" si="9"/>
        <v/>
      </c>
      <c r="AH20" t="str">
        <f t="shared" si="10"/>
        <v/>
      </c>
      <c r="AI20" t="str">
        <f t="shared" si="11"/>
        <v/>
      </c>
    </row>
    <row r="21" spans="1:35" x14ac:dyDescent="0.25">
      <c r="A21" s="2"/>
      <c r="G21" t="str">
        <f t="shared" si="12"/>
        <v/>
      </c>
      <c r="H21" s="2" t="str">
        <f t="shared" si="13"/>
        <v/>
      </c>
      <c r="I21" t="str">
        <f t="shared" si="14"/>
        <v/>
      </c>
      <c r="J21" t="str">
        <f t="shared" si="15"/>
        <v/>
      </c>
      <c r="K21" t="str">
        <f>IF(AND($H22&gt;0,$H22&lt;&gt;""),VLOOKUP($H22,'Weather Data'!$L$2:$P$4170,'DDD Model Calculations'!$D$22,FALSE),"")</f>
        <v/>
      </c>
      <c r="L21" t="str">
        <f>IF(AND($K21&gt;0,$K21&lt;&gt;""),VLOOKUP($H21,'Weather Data'!$L$2:$P$4170,'DDD Model Calculations'!$D$22,FALSE),"")</f>
        <v/>
      </c>
      <c r="M21" t="str">
        <f t="shared" si="16"/>
        <v/>
      </c>
      <c r="N21" t="str">
        <f t="shared" si="0"/>
        <v/>
      </c>
      <c r="O21" t="str">
        <f t="shared" si="1"/>
        <v/>
      </c>
      <c r="P21" t="str">
        <f t="shared" si="17"/>
        <v/>
      </c>
      <c r="Q21" t="str">
        <f t="shared" si="2"/>
        <v/>
      </c>
      <c r="R21" t="str">
        <f t="shared" si="3"/>
        <v/>
      </c>
      <c r="S21" t="str">
        <f>IF('DDD Model Calculations'!$D$23=1,WorkingData!AF21,IF('DDD Model Calculations'!$D$23=2,WorkingData!AG21,IF('DDD Model Calculations'!$D$23=4,WorkingData!AH21,WorkingData!AI21)))</f>
        <v/>
      </c>
      <c r="T21" t="str">
        <f t="shared" si="4"/>
        <v/>
      </c>
      <c r="U21" t="str">
        <f t="shared" si="5"/>
        <v/>
      </c>
      <c r="V21" t="str">
        <f t="shared" si="6"/>
        <v/>
      </c>
      <c r="W21" t="str">
        <f t="shared" si="7"/>
        <v/>
      </c>
      <c r="X21" t="str">
        <f>IF(AND($N21&gt;0,$N21&lt;&gt;"",'DDD Model Calculations'!$K$3&gt;=3),$N21-('DDD Model Calculations'!K$13+'DDD Model Calculations'!K$12*WorkingData!$P21),"")</f>
        <v/>
      </c>
      <c r="Y21" t="str">
        <f>IF(AND($N21&gt;0,$N21&lt;&gt;""),$N21-('DDD Model Calculations'!L$13+'DDD Model Calculations'!L$12*WorkingData!$P21),"")</f>
        <v/>
      </c>
      <c r="Z21" t="str">
        <f>IF(AND($N21&gt;0,$N21&lt;&gt;""),$N21-('DDD Model Calculations'!M$13+'DDD Model Calculations'!M$12*WorkingData!$P21),"")</f>
        <v/>
      </c>
      <c r="AA21" t="str">
        <f>IF(AND($N21&gt;0,$N21&lt;&gt;""),$N21-('DDD Model Calculations'!N$13+'DDD Model Calculations'!N$12*WorkingData!$P21),"")</f>
        <v/>
      </c>
      <c r="AB21" t="str">
        <f>IF(X21&lt;&gt;"",X21/'DDD Model Calculations'!K$11,"")</f>
        <v/>
      </c>
      <c r="AC21" t="str">
        <f>IF(Y21&lt;&gt;"",Y21/'DDD Model Calculations'!L$11,"")</f>
        <v/>
      </c>
      <c r="AD21" t="str">
        <f>IF(Z21&lt;&gt;"",Z21/'DDD Model Calculations'!M$11,"")</f>
        <v/>
      </c>
      <c r="AE21" t="str">
        <f>IF(AA21&lt;&gt;"",AA21/'DDD Model Calculations'!N$11,"")</f>
        <v/>
      </c>
      <c r="AF21" t="str">
        <f t="shared" si="8"/>
        <v/>
      </c>
      <c r="AG21" t="str">
        <f t="shared" si="9"/>
        <v/>
      </c>
      <c r="AH21" t="str">
        <f t="shared" si="10"/>
        <v/>
      </c>
      <c r="AI21" t="str">
        <f t="shared" si="11"/>
        <v/>
      </c>
    </row>
    <row r="22" spans="1:35" x14ac:dyDescent="0.25">
      <c r="A22" s="2"/>
      <c r="G22" t="str">
        <f t="shared" si="12"/>
        <v/>
      </c>
      <c r="H22" s="2" t="str">
        <f t="shared" si="13"/>
        <v/>
      </c>
      <c r="I22" t="str">
        <f t="shared" si="14"/>
        <v/>
      </c>
      <c r="J22" t="str">
        <f t="shared" si="15"/>
        <v/>
      </c>
      <c r="K22" t="str">
        <f>IF(AND($H23&gt;0,$H23&lt;&gt;""),VLOOKUP($H23,'Weather Data'!$L$2:$P$4170,'DDD Model Calculations'!$D$22,FALSE),"")</f>
        <v/>
      </c>
      <c r="L22" t="str">
        <f>IF(AND($K22&gt;0,$K22&lt;&gt;""),VLOOKUP($H22,'Weather Data'!$L$2:$P$4170,'DDD Model Calculations'!$D$22,FALSE),"")</f>
        <v/>
      </c>
      <c r="M22" t="str">
        <f t="shared" si="16"/>
        <v/>
      </c>
      <c r="N22" t="str">
        <f t="shared" si="0"/>
        <v/>
      </c>
      <c r="O22" t="str">
        <f t="shared" si="1"/>
        <v/>
      </c>
      <c r="P22" t="str">
        <f t="shared" si="17"/>
        <v/>
      </c>
      <c r="Q22" t="str">
        <f t="shared" si="2"/>
        <v/>
      </c>
      <c r="R22" t="str">
        <f t="shared" si="3"/>
        <v/>
      </c>
      <c r="S22" t="str">
        <f>IF('DDD Model Calculations'!$D$23=1,WorkingData!AF22,IF('DDD Model Calculations'!$D$23=2,WorkingData!AG22,IF('DDD Model Calculations'!$D$23=4,WorkingData!AH22,WorkingData!AI22)))</f>
        <v/>
      </c>
      <c r="T22" t="str">
        <f t="shared" si="4"/>
        <v/>
      </c>
      <c r="U22" t="str">
        <f t="shared" si="5"/>
        <v/>
      </c>
      <c r="V22" t="str">
        <f t="shared" si="6"/>
        <v/>
      </c>
      <c r="W22" t="str">
        <f t="shared" si="7"/>
        <v/>
      </c>
      <c r="X22" t="str">
        <f>IF(AND($N22&gt;0,$N22&lt;&gt;"",'DDD Model Calculations'!$K$3&gt;=3),$N22-('DDD Model Calculations'!K$13+'DDD Model Calculations'!K$12*WorkingData!$P22),"")</f>
        <v/>
      </c>
      <c r="Y22" t="str">
        <f>IF(AND($N22&gt;0,$N22&lt;&gt;""),$N22-('DDD Model Calculations'!L$13+'DDD Model Calculations'!L$12*WorkingData!$P22),"")</f>
        <v/>
      </c>
      <c r="Z22" t="str">
        <f>IF(AND($N22&gt;0,$N22&lt;&gt;""),$N22-('DDD Model Calculations'!M$13+'DDD Model Calculations'!M$12*WorkingData!$P22),"")</f>
        <v/>
      </c>
      <c r="AA22" t="str">
        <f>IF(AND($N22&gt;0,$N22&lt;&gt;""),$N22-('DDD Model Calculations'!N$13+'DDD Model Calculations'!N$12*WorkingData!$P22),"")</f>
        <v/>
      </c>
      <c r="AB22" t="str">
        <f>IF(X22&lt;&gt;"",X22/'DDD Model Calculations'!K$11,"")</f>
        <v/>
      </c>
      <c r="AC22" t="str">
        <f>IF(Y22&lt;&gt;"",Y22/'DDD Model Calculations'!L$11,"")</f>
        <v/>
      </c>
      <c r="AD22" t="str">
        <f>IF(Z22&lt;&gt;"",Z22/'DDD Model Calculations'!M$11,"")</f>
        <v/>
      </c>
      <c r="AE22" t="str">
        <f>IF(AA22&lt;&gt;"",AA22/'DDD Model Calculations'!N$11,"")</f>
        <v/>
      </c>
      <c r="AF22" t="str">
        <f t="shared" si="8"/>
        <v/>
      </c>
      <c r="AG22" t="str">
        <f t="shared" si="9"/>
        <v/>
      </c>
      <c r="AH22" t="str">
        <f t="shared" si="10"/>
        <v/>
      </c>
      <c r="AI22" t="str">
        <f t="shared" si="11"/>
        <v/>
      </c>
    </row>
    <row r="23" spans="1:35" x14ac:dyDescent="0.25">
      <c r="A23" s="2"/>
      <c r="G23" t="str">
        <f t="shared" si="12"/>
        <v/>
      </c>
      <c r="H23" s="2" t="str">
        <f t="shared" si="13"/>
        <v/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str">
        <f>IF('DDD Model Calculations'!$D$23=1,WorkingData!AF23,IF('DDD Model Calculations'!$D$23=2,WorkingData!AG23,IF('DDD Model Calculations'!$D$23=4,WorkingData!AH23,WorkingData!AI23)))</f>
        <v/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 x14ac:dyDescent="0.25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 x14ac:dyDescent="0.2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 x14ac:dyDescent="0.2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 x14ac:dyDescent="0.2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 x14ac:dyDescent="0.2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 x14ac:dyDescent="0.2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 x14ac:dyDescent="0.2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 x14ac:dyDescent="0.2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 x14ac:dyDescent="0.2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 x14ac:dyDescent="0.2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 x14ac:dyDescent="0.2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2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2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2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2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2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2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2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2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2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2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2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2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2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2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2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2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2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2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2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2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2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2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2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2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2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2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 x14ac:dyDescent="0.2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 x14ac:dyDescent="0.2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 x14ac:dyDescent="0.2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 x14ac:dyDescent="0.2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 x14ac:dyDescent="0.2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 x14ac:dyDescent="0.2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 x14ac:dyDescent="0.2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 x14ac:dyDescent="0.2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 x14ac:dyDescent="0.2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 x14ac:dyDescent="0.2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 x14ac:dyDescent="0.2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 x14ac:dyDescent="0.2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 x14ac:dyDescent="0.2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 x14ac:dyDescent="0.2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 x14ac:dyDescent="0.2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 x14ac:dyDescent="0.2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 x14ac:dyDescent="0.2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 x14ac:dyDescent="0.2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 x14ac:dyDescent="0.2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 x14ac:dyDescent="0.2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 x14ac:dyDescent="0.2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 x14ac:dyDescent="0.2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 x14ac:dyDescent="0.2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 x14ac:dyDescent="0.2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 x14ac:dyDescent="0.2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 x14ac:dyDescent="0.2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 x14ac:dyDescent="0.2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 x14ac:dyDescent="0.2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 x14ac:dyDescent="0.2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 x14ac:dyDescent="0.2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 x14ac:dyDescent="0.2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 x14ac:dyDescent="0.2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 x14ac:dyDescent="0.2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 x14ac:dyDescent="0.2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 x14ac:dyDescent="0.2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 x14ac:dyDescent="0.2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 x14ac:dyDescent="0.2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 x14ac:dyDescent="0.2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 x14ac:dyDescent="0.2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 x14ac:dyDescent="0.2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 x14ac:dyDescent="0.2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 x14ac:dyDescent="0.2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 x14ac:dyDescent="0.2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 x14ac:dyDescent="0.2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 x14ac:dyDescent="0.2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 x14ac:dyDescent="0.2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 x14ac:dyDescent="0.2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 x14ac:dyDescent="0.2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 x14ac:dyDescent="0.2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 x14ac:dyDescent="0.2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 x14ac:dyDescent="0.2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 x14ac:dyDescent="0.2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 x14ac:dyDescent="0.2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 x14ac:dyDescent="0.2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 x14ac:dyDescent="0.2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 x14ac:dyDescent="0.2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 x14ac:dyDescent="0.2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 x14ac:dyDescent="0.2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 x14ac:dyDescent="0.2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 x14ac:dyDescent="0.2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 x14ac:dyDescent="0.2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 x14ac:dyDescent="0.2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 x14ac:dyDescent="0.2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 x14ac:dyDescent="0.2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 x14ac:dyDescent="0.2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 x14ac:dyDescent="0.2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 x14ac:dyDescent="0.2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topLeftCell="A109" workbookViewId="0">
      <selection activeCell="A32" sqref="A32"/>
    </sheetView>
  </sheetViews>
  <sheetFormatPr defaultColWidth="11" defaultRowHeight="15.75" x14ac:dyDescent="0.25"/>
  <cols>
    <col min="1" max="1" width="10.75" style="20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 x14ac:dyDescent="0.25">
      <c r="A2" s="20" cm="1">
        <f t="array" ref="A2:E133">_xlfn._xlws.SORT('Consumption Data Input'!C3:G134,1,1)</f>
        <v>44404</v>
      </c>
      <c r="B2">
        <v>35</v>
      </c>
      <c r="C2">
        <v>189284</v>
      </c>
      <c r="D2" t="str">
        <v>E</v>
      </c>
      <c r="E2">
        <v>1743</v>
      </c>
      <c r="F2">
        <f>E2</f>
        <v>1743</v>
      </c>
    </row>
    <row r="3" spans="1:6" x14ac:dyDescent="0.25">
      <c r="A3" s="20">
        <v>44435</v>
      </c>
      <c r="B3">
        <v>31</v>
      </c>
      <c r="C3">
        <v>189791</v>
      </c>
      <c r="D3" t="str">
        <v>E</v>
      </c>
      <c r="E3">
        <v>1590</v>
      </c>
      <c r="F3">
        <f>E3+F2</f>
        <v>3333</v>
      </c>
    </row>
    <row r="4" spans="1:6" x14ac:dyDescent="0.25">
      <c r="A4" s="20">
        <v>44466</v>
      </c>
      <c r="B4">
        <v>31</v>
      </c>
      <c r="C4">
        <v>190298</v>
      </c>
      <c r="D4" t="str">
        <v>E</v>
      </c>
      <c r="E4">
        <v>1590</v>
      </c>
      <c r="F4">
        <f t="shared" ref="F4:F67" si="0">E4+F3</f>
        <v>4923</v>
      </c>
    </row>
    <row r="5" spans="1:6" x14ac:dyDescent="0.25">
      <c r="A5" s="20">
        <v>44496</v>
      </c>
      <c r="B5">
        <v>30</v>
      </c>
      <c r="C5">
        <v>192339</v>
      </c>
      <c r="D5" t="str">
        <v>E</v>
      </c>
      <c r="E5">
        <v>6401</v>
      </c>
      <c r="F5">
        <f t="shared" si="0"/>
        <v>11324</v>
      </c>
    </row>
    <row r="6" spans="1:6" x14ac:dyDescent="0.25">
      <c r="A6" s="20">
        <v>44526</v>
      </c>
      <c r="B6">
        <v>30</v>
      </c>
      <c r="C6">
        <v>198749</v>
      </c>
      <c r="D6" t="str">
        <v>E</v>
      </c>
      <c r="E6">
        <v>20102</v>
      </c>
      <c r="F6">
        <f t="shared" si="0"/>
        <v>31426</v>
      </c>
    </row>
    <row r="7" spans="1:6" x14ac:dyDescent="0.25">
      <c r="A7" s="20">
        <v>44559</v>
      </c>
      <c r="B7">
        <v>33</v>
      </c>
      <c r="C7">
        <v>208645</v>
      </c>
      <c r="D7" t="str">
        <v>E</v>
      </c>
      <c r="E7">
        <v>31034</v>
      </c>
      <c r="F7">
        <f t="shared" si="0"/>
        <v>62460</v>
      </c>
    </row>
    <row r="8" spans="1:6" x14ac:dyDescent="0.25">
      <c r="A8" s="20">
        <v>44588</v>
      </c>
      <c r="B8">
        <v>29</v>
      </c>
      <c r="C8">
        <v>221108</v>
      </c>
      <c r="D8" t="str">
        <v>E</v>
      </c>
      <c r="E8">
        <v>39084</v>
      </c>
      <c r="F8">
        <f t="shared" si="0"/>
        <v>101544</v>
      </c>
    </row>
    <row r="9" spans="1:6" x14ac:dyDescent="0.25">
      <c r="A9" s="20">
        <v>44617</v>
      </c>
      <c r="B9">
        <v>29</v>
      </c>
      <c r="C9">
        <v>233163</v>
      </c>
      <c r="D9" t="str">
        <v>E</v>
      </c>
      <c r="E9">
        <v>37804</v>
      </c>
      <c r="F9">
        <f t="shared" si="0"/>
        <v>139348</v>
      </c>
    </row>
    <row r="10" spans="1:6" x14ac:dyDescent="0.25">
      <c r="A10" s="20">
        <v>44648</v>
      </c>
      <c r="B10">
        <v>31</v>
      </c>
      <c r="C10">
        <v>247121</v>
      </c>
      <c r="D10" t="str">
        <v>A</v>
      </c>
      <c r="E10">
        <v>43772</v>
      </c>
      <c r="F10">
        <f t="shared" si="0"/>
        <v>183120</v>
      </c>
    </row>
    <row r="11" spans="1:6" x14ac:dyDescent="0.25">
      <c r="A11" s="20">
        <v>44678</v>
      </c>
      <c r="B11">
        <v>30</v>
      </c>
      <c r="C11">
        <v>254141</v>
      </c>
      <c r="D11" t="str">
        <v>E</v>
      </c>
      <c r="E11">
        <v>22015</v>
      </c>
      <c r="F11">
        <f t="shared" si="0"/>
        <v>205135</v>
      </c>
    </row>
    <row r="12" spans="1:6" x14ac:dyDescent="0.25">
      <c r="A12" s="20">
        <v>44708</v>
      </c>
      <c r="B12">
        <v>30</v>
      </c>
      <c r="C12">
        <v>256837</v>
      </c>
      <c r="D12" t="str">
        <v>E</v>
      </c>
      <c r="E12">
        <v>8455</v>
      </c>
      <c r="F12">
        <f t="shared" si="0"/>
        <v>213590</v>
      </c>
    </row>
    <row r="13" spans="1:6" x14ac:dyDescent="0.25">
      <c r="A13" s="20">
        <v>44739</v>
      </c>
      <c r="B13">
        <v>31</v>
      </c>
      <c r="C13">
        <v>257344</v>
      </c>
      <c r="D13" t="str">
        <v>E</v>
      </c>
      <c r="E13">
        <v>1590</v>
      </c>
      <c r="F13">
        <f t="shared" si="0"/>
        <v>215180</v>
      </c>
    </row>
    <row r="14" spans="1:6" x14ac:dyDescent="0.25">
      <c r="A14" s="20">
        <v>44769</v>
      </c>
      <c r="B14">
        <v>30</v>
      </c>
      <c r="C14">
        <v>257834</v>
      </c>
      <c r="D14" t="str">
        <v>E</v>
      </c>
      <c r="E14">
        <v>1537</v>
      </c>
      <c r="F14">
        <f t="shared" si="0"/>
        <v>216717</v>
      </c>
    </row>
    <row r="15" spans="1:6" x14ac:dyDescent="0.25">
      <c r="A15" s="20">
        <v>44802</v>
      </c>
      <c r="B15">
        <v>33</v>
      </c>
      <c r="C15">
        <v>258373</v>
      </c>
      <c r="D15" t="str">
        <v>E</v>
      </c>
      <c r="E15">
        <v>1690</v>
      </c>
      <c r="F15">
        <f t="shared" si="0"/>
        <v>218407</v>
      </c>
    </row>
    <row r="16" spans="1:6" x14ac:dyDescent="0.25">
      <c r="A16" s="20">
        <v>44832</v>
      </c>
      <c r="B16">
        <v>30</v>
      </c>
      <c r="C16">
        <v>259899</v>
      </c>
      <c r="D16" t="str">
        <v>A</v>
      </c>
      <c r="E16">
        <v>4785</v>
      </c>
      <c r="F16">
        <f t="shared" si="0"/>
        <v>223192</v>
      </c>
    </row>
    <row r="17" spans="1:6" x14ac:dyDescent="0.25">
      <c r="A17" s="20">
        <v>44861</v>
      </c>
      <c r="B17">
        <v>29</v>
      </c>
      <c r="C17">
        <v>263695</v>
      </c>
      <c r="D17" t="str">
        <v>E</v>
      </c>
      <c r="E17">
        <v>11904</v>
      </c>
      <c r="F17">
        <f t="shared" si="0"/>
        <v>235096</v>
      </c>
    </row>
    <row r="18" spans="1:6" x14ac:dyDescent="0.25">
      <c r="A18" s="20">
        <v>44889</v>
      </c>
      <c r="B18">
        <v>28</v>
      </c>
      <c r="C18">
        <v>269634</v>
      </c>
      <c r="D18" t="str">
        <v>A</v>
      </c>
      <c r="E18">
        <v>18625</v>
      </c>
      <c r="F18">
        <f t="shared" si="0"/>
        <v>253721</v>
      </c>
    </row>
    <row r="19" spans="1:6" x14ac:dyDescent="0.25">
      <c r="A19" s="20">
        <v>44923</v>
      </c>
      <c r="B19">
        <v>34</v>
      </c>
      <c r="C19">
        <v>279948</v>
      </c>
      <c r="D19" t="str">
        <v>E</v>
      </c>
      <c r="E19">
        <v>32344</v>
      </c>
      <c r="F19">
        <f t="shared" si="0"/>
        <v>286065</v>
      </c>
    </row>
    <row r="20" spans="1:6" x14ac:dyDescent="0.25">
      <c r="A20" s="20">
        <v>44984</v>
      </c>
      <c r="B20">
        <v>61</v>
      </c>
      <c r="C20">
        <v>290849</v>
      </c>
      <c r="D20" t="str">
        <v>E</v>
      </c>
      <c r="E20">
        <v>69054</v>
      </c>
      <c r="F20">
        <f t="shared" si="0"/>
        <v>355119</v>
      </c>
    </row>
    <row r="21" spans="1:6" x14ac:dyDescent="0.25">
      <c r="A21" s="20">
        <v>45013</v>
      </c>
      <c r="B21">
        <v>29</v>
      </c>
      <c r="C21">
        <v>311263</v>
      </c>
      <c r="D21" t="str">
        <v>A</v>
      </c>
      <c r="E21">
        <v>29149</v>
      </c>
      <c r="F21">
        <f t="shared" si="0"/>
        <v>384268</v>
      </c>
    </row>
    <row r="22" spans="1:6" x14ac:dyDescent="0.25">
      <c r="A22" s="20">
        <v>45043</v>
      </c>
      <c r="B22">
        <v>30</v>
      </c>
      <c r="C22">
        <v>317362</v>
      </c>
      <c r="D22" t="str">
        <v>E</v>
      </c>
      <c r="E22">
        <v>19126</v>
      </c>
      <c r="F22">
        <f t="shared" si="0"/>
        <v>403394</v>
      </c>
    </row>
    <row r="23" spans="1:6" x14ac:dyDescent="0.25">
      <c r="A23" s="20">
        <v>45072</v>
      </c>
      <c r="B23">
        <v>29</v>
      </c>
      <c r="C23">
        <v>320590</v>
      </c>
      <c r="D23" t="str">
        <v>A</v>
      </c>
      <c r="E23">
        <v>10123</v>
      </c>
      <c r="F23">
        <f t="shared" si="0"/>
        <v>413517</v>
      </c>
    </row>
    <row r="24" spans="1:6" x14ac:dyDescent="0.25">
      <c r="A24" s="20">
        <v>45103</v>
      </c>
      <c r="B24">
        <v>31</v>
      </c>
      <c r="C24">
        <v>321097</v>
      </c>
      <c r="D24" t="str">
        <v>E</v>
      </c>
      <c r="E24">
        <v>1590</v>
      </c>
      <c r="F24">
        <f t="shared" si="0"/>
        <v>415107</v>
      </c>
    </row>
    <row r="25" spans="1:6" x14ac:dyDescent="0.25">
      <c r="A25" s="20">
        <v>45133</v>
      </c>
      <c r="B25">
        <v>30</v>
      </c>
      <c r="C25">
        <v>321571</v>
      </c>
      <c r="D25" t="str">
        <v>A</v>
      </c>
      <c r="E25">
        <v>1487</v>
      </c>
      <c r="F25">
        <f t="shared" si="0"/>
        <v>416594</v>
      </c>
    </row>
    <row r="26" spans="1:6" x14ac:dyDescent="0.25">
      <c r="A26" s="20">
        <v>45166</v>
      </c>
      <c r="B26">
        <v>33</v>
      </c>
      <c r="C26">
        <v>322125</v>
      </c>
      <c r="D26" t="str">
        <v>E</v>
      </c>
      <c r="E26">
        <v>1737</v>
      </c>
      <c r="F26">
        <f t="shared" si="0"/>
        <v>418331</v>
      </c>
    </row>
    <row r="27" spans="1:6" x14ac:dyDescent="0.25">
      <c r="A27" s="20">
        <v>45196</v>
      </c>
      <c r="B27">
        <v>30</v>
      </c>
      <c r="C27">
        <v>322629</v>
      </c>
      <c r="D27" t="str">
        <v>E</v>
      </c>
      <c r="E27">
        <v>1581</v>
      </c>
      <c r="F27">
        <f t="shared" si="0"/>
        <v>419912</v>
      </c>
    </row>
    <row r="28" spans="1:6" x14ac:dyDescent="0.25">
      <c r="A28" s="20">
        <v>45229</v>
      </c>
      <c r="B28">
        <v>33</v>
      </c>
      <c r="C28">
        <v>326278</v>
      </c>
      <c r="D28" t="str">
        <v>E</v>
      </c>
      <c r="E28">
        <v>11443</v>
      </c>
      <c r="F28">
        <f t="shared" si="0"/>
        <v>431355</v>
      </c>
    </row>
    <row r="29" spans="1:6" x14ac:dyDescent="0.25">
      <c r="A29" s="20">
        <v>45257</v>
      </c>
      <c r="B29">
        <v>28</v>
      </c>
      <c r="C29">
        <v>333006</v>
      </c>
      <c r="D29" t="str">
        <v>E</v>
      </c>
      <c r="E29">
        <v>21099</v>
      </c>
      <c r="F29">
        <f t="shared" si="0"/>
        <v>452454</v>
      </c>
    </row>
    <row r="30" spans="1:6" x14ac:dyDescent="0.25">
      <c r="A30" s="20">
        <v>45287</v>
      </c>
      <c r="B30">
        <v>30</v>
      </c>
      <c r="C30">
        <v>341102</v>
      </c>
      <c r="D30" t="str">
        <v>E</v>
      </c>
      <c r="E30">
        <v>25389</v>
      </c>
      <c r="F30">
        <f t="shared" si="0"/>
        <v>477843</v>
      </c>
    </row>
    <row r="31" spans="1:6" x14ac:dyDescent="0.25">
      <c r="A31" s="20">
        <v>45317</v>
      </c>
      <c r="B31">
        <v>30</v>
      </c>
      <c r="C31">
        <v>351778</v>
      </c>
      <c r="D31" t="str">
        <v>E</v>
      </c>
      <c r="E31">
        <v>33480</v>
      </c>
      <c r="F31">
        <f t="shared" si="0"/>
        <v>511323</v>
      </c>
    </row>
    <row r="32" spans="1:6" x14ac:dyDescent="0.25">
      <c r="A32" s="20">
        <v>45348</v>
      </c>
      <c r="B32">
        <v>31</v>
      </c>
      <c r="C32">
        <v>360911</v>
      </c>
      <c r="D32" t="str">
        <v>E</v>
      </c>
      <c r="E32">
        <v>28641</v>
      </c>
      <c r="F32">
        <f t="shared" si="0"/>
        <v>539964</v>
      </c>
    </row>
    <row r="33" spans="1:6" x14ac:dyDescent="0.25">
      <c r="A33" s="20">
        <v>45377</v>
      </c>
      <c r="B33">
        <v>29</v>
      </c>
      <c r="C33">
        <v>368723</v>
      </c>
      <c r="D33" t="str">
        <v>E</v>
      </c>
      <c r="E33">
        <v>24498</v>
      </c>
      <c r="F33">
        <f t="shared" si="0"/>
        <v>564462</v>
      </c>
    </row>
    <row r="34" spans="1:6" x14ac:dyDescent="0.25">
      <c r="A34" s="20">
        <v>45407</v>
      </c>
      <c r="B34">
        <v>30</v>
      </c>
      <c r="C34">
        <v>374685</v>
      </c>
      <c r="D34" t="str">
        <v>E</v>
      </c>
      <c r="E34">
        <v>18697</v>
      </c>
      <c r="F34">
        <f t="shared" si="0"/>
        <v>583159</v>
      </c>
    </row>
    <row r="35" spans="1:6" x14ac:dyDescent="0.25">
      <c r="A35" s="20">
        <v>45436</v>
      </c>
      <c r="B35">
        <v>29</v>
      </c>
      <c r="C35">
        <v>377231</v>
      </c>
      <c r="D35" t="str">
        <v>E</v>
      </c>
      <c r="E35">
        <v>7984</v>
      </c>
      <c r="F35">
        <f t="shared" si="0"/>
        <v>591143</v>
      </c>
    </row>
    <row r="36" spans="1:6" x14ac:dyDescent="0.25">
      <c r="A36" s="20">
        <v>45469</v>
      </c>
      <c r="B36">
        <v>240</v>
      </c>
      <c r="C36">
        <v>336558</v>
      </c>
      <c r="D36" t="str">
        <v>E</v>
      </c>
      <c r="E36">
        <v>187794</v>
      </c>
      <c r="F36">
        <f t="shared" si="0"/>
        <v>778937</v>
      </c>
    </row>
    <row r="37" spans="1:6" x14ac:dyDescent="0.25">
      <c r="A37" s="20">
        <v>45499</v>
      </c>
      <c r="B37">
        <v>30</v>
      </c>
      <c r="C37">
        <v>386703</v>
      </c>
      <c r="D37" t="str">
        <v>A</v>
      </c>
      <c r="E37">
        <v>1697</v>
      </c>
      <c r="F37">
        <f t="shared" si="0"/>
        <v>780634</v>
      </c>
    </row>
    <row r="38" spans="1:6" x14ac:dyDescent="0.25">
      <c r="A38" s="20">
        <v>45531</v>
      </c>
      <c r="B38">
        <v>32</v>
      </c>
      <c r="C38">
        <v>387275</v>
      </c>
      <c r="D38" t="str">
        <v>E</v>
      </c>
      <c r="E38">
        <v>1794</v>
      </c>
      <c r="F38">
        <f t="shared" si="0"/>
        <v>782428</v>
      </c>
    </row>
    <row r="39" spans="1:6" x14ac:dyDescent="0.25">
      <c r="A39" s="20">
        <v>45560</v>
      </c>
      <c r="B39">
        <v>29</v>
      </c>
      <c r="C39">
        <v>387794</v>
      </c>
      <c r="D39" t="str">
        <v>E</v>
      </c>
      <c r="E39">
        <v>1628</v>
      </c>
      <c r="F39">
        <f t="shared" si="0"/>
        <v>784056</v>
      </c>
    </row>
    <row r="40" spans="1:6" x14ac:dyDescent="0.25">
      <c r="A40" s="20">
        <v>45593</v>
      </c>
      <c r="B40">
        <v>33</v>
      </c>
      <c r="C40">
        <v>390943</v>
      </c>
      <c r="D40" t="str">
        <v>E</v>
      </c>
      <c r="E40">
        <v>9876</v>
      </c>
      <c r="F40">
        <f t="shared" si="0"/>
        <v>793932</v>
      </c>
    </row>
    <row r="41" spans="1:6" x14ac:dyDescent="0.25">
      <c r="A41" s="20">
        <v>45626</v>
      </c>
      <c r="B41">
        <v>33</v>
      </c>
      <c r="C41">
        <v>395584</v>
      </c>
      <c r="D41" t="str">
        <v>E</v>
      </c>
      <c r="E41">
        <v>19412</v>
      </c>
      <c r="F41">
        <f t="shared" si="0"/>
        <v>813344</v>
      </c>
    </row>
    <row r="42" spans="1:6" x14ac:dyDescent="0.25">
      <c r="A42" s="20">
        <v>45653</v>
      </c>
      <c r="B42">
        <v>27</v>
      </c>
      <c r="C42">
        <v>405968</v>
      </c>
      <c r="D42" t="str">
        <v>E</v>
      </c>
      <c r="E42">
        <v>27706</v>
      </c>
      <c r="F42">
        <f t="shared" si="0"/>
        <v>841050</v>
      </c>
    </row>
    <row r="43" spans="1:6" x14ac:dyDescent="0.25">
      <c r="A43" s="20">
        <v>45715</v>
      </c>
      <c r="B43">
        <v>62</v>
      </c>
      <c r="C43">
        <v>418024</v>
      </c>
      <c r="D43" t="str">
        <v>E</v>
      </c>
      <c r="E43">
        <v>76041</v>
      </c>
      <c r="F43">
        <f t="shared" si="0"/>
        <v>917091</v>
      </c>
    </row>
    <row r="44" spans="1:6" x14ac:dyDescent="0.25">
      <c r="A44" s="20">
        <v>45743</v>
      </c>
      <c r="B44">
        <v>28</v>
      </c>
      <c r="C44">
        <v>441765</v>
      </c>
      <c r="D44" t="str">
        <v>A</v>
      </c>
      <c r="E44">
        <v>36217</v>
      </c>
      <c r="F44">
        <f t="shared" si="0"/>
        <v>953308</v>
      </c>
    </row>
    <row r="45" spans="1:6" x14ac:dyDescent="0.25">
      <c r="A45" s="20">
        <v>45775</v>
      </c>
      <c r="B45">
        <v>32</v>
      </c>
      <c r="C45">
        <v>449470</v>
      </c>
      <c r="D45" t="str">
        <v>E</v>
      </c>
      <c r="E45">
        <v>24162</v>
      </c>
      <c r="F45">
        <f t="shared" si="0"/>
        <v>977470</v>
      </c>
    </row>
    <row r="46" spans="1:6" x14ac:dyDescent="0.25">
      <c r="A46" s="20">
        <v>45804</v>
      </c>
      <c r="B46">
        <v>29</v>
      </c>
      <c r="C46">
        <v>452957</v>
      </c>
      <c r="D46" t="str">
        <v>A</v>
      </c>
      <c r="E46">
        <v>10935</v>
      </c>
      <c r="F46">
        <f t="shared" si="0"/>
        <v>988405</v>
      </c>
    </row>
    <row r="47" spans="1:6" x14ac:dyDescent="0.25">
      <c r="A47" s="20">
        <v>0</v>
      </c>
      <c r="B47">
        <v>0</v>
      </c>
      <c r="C47">
        <v>0</v>
      </c>
      <c r="D47">
        <v>0</v>
      </c>
      <c r="E47">
        <v>0</v>
      </c>
      <c r="F47">
        <f t="shared" si="0"/>
        <v>988405</v>
      </c>
    </row>
    <row r="48" spans="1:6" x14ac:dyDescent="0.25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988405</v>
      </c>
    </row>
    <row r="49" spans="1:6" x14ac:dyDescent="0.25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988405</v>
      </c>
    </row>
    <row r="50" spans="1:6" x14ac:dyDescent="0.25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988405</v>
      </c>
    </row>
    <row r="51" spans="1:6" x14ac:dyDescent="0.25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988405</v>
      </c>
    </row>
    <row r="52" spans="1:6" x14ac:dyDescent="0.25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988405</v>
      </c>
    </row>
    <row r="53" spans="1:6" x14ac:dyDescent="0.25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988405</v>
      </c>
    </row>
    <row r="54" spans="1:6" x14ac:dyDescent="0.25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988405</v>
      </c>
    </row>
    <row r="55" spans="1:6" x14ac:dyDescent="0.25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988405</v>
      </c>
    </row>
    <row r="56" spans="1:6" x14ac:dyDescent="0.25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988405</v>
      </c>
    </row>
    <row r="57" spans="1:6" x14ac:dyDescent="0.25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988405</v>
      </c>
    </row>
    <row r="58" spans="1:6" x14ac:dyDescent="0.25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988405</v>
      </c>
    </row>
    <row r="59" spans="1:6" x14ac:dyDescent="0.25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988405</v>
      </c>
    </row>
    <row r="60" spans="1:6" x14ac:dyDescent="0.25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988405</v>
      </c>
    </row>
    <row r="61" spans="1:6" x14ac:dyDescent="0.25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988405</v>
      </c>
    </row>
    <row r="62" spans="1:6" x14ac:dyDescent="0.25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988405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988405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988405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988405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988405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988405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988405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988405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988405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988405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988405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988405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988405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988405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988405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988405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988405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988405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988405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988405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988405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988405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988405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988405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988405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988405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988405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988405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988405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988405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988405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988405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988405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988405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988405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988405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988405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988405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988405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988405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988405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988405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988405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988405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988405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988405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988405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988405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988405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988405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988405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988405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988405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988405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988405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988405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988405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988405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988405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988405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988405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988405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988405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988405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988405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988405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988405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988405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988405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988405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988405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988405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34" activePane="bottomRight" state="frozen"/>
      <selection pane="topRight" activeCell="A32" sqref="A32"/>
      <selection pane="bottomLeft" activeCell="A32" sqref="A32"/>
      <selection pane="bottomRight" activeCell="G4170" sqref="G4170"/>
    </sheetView>
  </sheetViews>
  <sheetFormatPr defaultColWidth="8.75" defaultRowHeight="15.75" x14ac:dyDescent="0.25"/>
  <cols>
    <col min="1" max="1" width="6.5" bestFit="1" customWidth="1"/>
    <col min="2" max="2" width="8.5" bestFit="1" customWidth="1"/>
    <col min="3" max="3" width="6" bestFit="1" customWidth="1"/>
    <col min="4" max="4" width="24.75" bestFit="1" customWidth="1"/>
    <col min="5" max="5" width="21.5" bestFit="1" customWidth="1"/>
    <col min="6" max="7" width="24.25" bestFit="1" customWidth="1"/>
  </cols>
  <sheetData>
    <row r="1" spans="1:16" x14ac:dyDescent="0.25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-6.3888888359069824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24.388888835906982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38817.73889131844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-2.7777776718139648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20.777777671813965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38838.516668990254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-1.6666666269302368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19.666666626930237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38858.183335617185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-0.83333331346511841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18.833333313465118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38877.01666893065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0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18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38895.01666893065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0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18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38913.01666893065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-4.4444446563720703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22.44444465637207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38935.461113587022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-8.3333330154418945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26.333333015441895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38961.794446602464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-9.4444446563720703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27.44444465637207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38989.238891258836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-5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39012.238891258836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-0.55555558204650879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18.555555582046509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39030.794446840882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-1.9444444179534912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19.944444417953491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39050.738891258836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-0.83333331346511841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18.833333313465118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39069.572224572301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-0.27777779102325439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18.277777791023254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39087.850002363324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0.55555558204650879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17.444444417953491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39105.294446781278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1.1111111640930176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16.888888835906982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39122.183335617185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-2.5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20.5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39142.683335617185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-5.5555553436279297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23.55555534362793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39166.238890960813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-5.8333334922790527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23.833333492279053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39190.072224453092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-9.7222223281860352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27.722222328186035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39217.794446781278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-6.1111111640930176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24.111111164093018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39241.905557945371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-6.1111111640930176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24.111111164093018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39266.016669109464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-12.5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30.5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39296.516669109464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-12.222222328186035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30.222222328186035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39326.73889143765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-5.5555553436279297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23.55555534362793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39350.294446781278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-8.8888893127441406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26.888889312744141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39377.183336094022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-13.611110687255859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31.611110687255859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39408.794446781278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-15.55555534362793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33.55555534362793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39442.350002124906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-10.833333015441895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28.833333015441895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39471.183335140347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-11.111110687255859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29.111110687255859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39500.294445827603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-9.4444446563720703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27.44444465637207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39527.738890483975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-10.833333015441895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28.833333015441895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39556.572223499417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-11.111110687255859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29.111110687255859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39585.683334186673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-11.111110687255859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29.111110687255859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39614.794444873929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-8.8888893127441406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26.888889312744141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39641.683334186673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-0.83333331346511841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18.833333313465118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39660.516667500138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-7.7777776718139648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25.777777671813965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39686.294445171952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-15.55555534362793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33.55555534362793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39719.85000051558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-15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33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39752.85000051558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-20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38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39790.85000051558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-19.722221374511719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37.722221374511719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39828.572221890092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-16.111110687255859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34.111110687255859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39862.683332577348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-13.611110687255859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31.611110687255859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39894.294443264604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-14.722222328186035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32.722222328186035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39927.01666559279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-15.55555534362793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33.55555534362793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39960.572220936418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-13.888889312744141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31.888889312744141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39992.461110249162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-16.666666030883789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34.666666030883789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40027.127776280046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-12.777777671813965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30.777777671813965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40057.905553951859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-12.222222328186035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30.222222328186035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40088.127776280046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-12.5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30.5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40118.627776280046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-9.1666669845581055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27.166666984558105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40145.794443264604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-7.7777776718139648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25.777777671813965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40171.572220936418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-3.6111111640930176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21.611111164093018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40193.183332100511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-1.1111111640930176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19.111111164093018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40212.294443264604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-0.55555558204650879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18.555555582046509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40230.84999884665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-8.0555553436279297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26.05555534362793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40256.905554190278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-10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28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40284.905554190278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-1.9444444179534912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19.944444417953491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40304.849998608232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1.3888888359069824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16.611111164093018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40321.461109772325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-3.3333332538604736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21.333333253860474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40342.794443026185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-11.111110687255859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29.111110687255859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40371.905553713441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-4.7222223281860352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22.722222328186035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40394.627776041627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-6.3888888359069824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24.388888835906982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40419.016664877534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-9.7222223281860352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27.722222328186035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40446.73888720572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-6.6666665077209473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24.666666507720947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40471.405553713441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-14.166666984558105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32.166666984558105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40503.572220697999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-10.55555534362793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28.55555534362793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40532.127776041627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-0.27777779102325439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18.277777791023254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40550.40555383265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1.9444444179534912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16.055555582046509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40566.461109414697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6.1111111640930176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11.888888835906982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40578.349998250604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1.9444444179534912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16.055555582046509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40594.40555383265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-7.5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25.5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40619.90555383265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-1.1111111640930176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19.111111164093018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40639.016664996743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-7.5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25.5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40664.516664996743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-6.6666665077209473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24.666666507720947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40689.183331504464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-2.5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20.5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40709.683331504464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-2.2222223281860352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20.222222328186035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40729.90555383265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-1.3888888359069824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19.388888835906982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40749.294442668557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0.27777779102325439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17.722222208976746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40767.016664877534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2.2222223281860352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15.777777671813965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40782.794442549348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5.5555553436279297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12.44444465637207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40795.23888720572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6.1111111640930176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11.888888835906982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40807.127776041627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8.0555553436279297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9.9444446563720703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40817.072220697999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3.6111111640930176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14.388888835906982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40831.461109533906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-1.6666666269302368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19.666666626930237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40851.127776160836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-1.1111111640930176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19.111111164093018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40870.238887324929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0.27777779102325439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17.722222208976746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40887.961109533906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-2.7777776718139648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20.777777671813965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40908.73888720572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-1.1111111640930176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19.111111164093018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40927.849998369813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6.3888888359069824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11.611111164093018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40939.461109533906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-5.2777776718139648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23.277777671813965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40962.73888720572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-5.8333334922790527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23.833333492279053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40986.572220697999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-1.1111111640930176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19.111111164093018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41005.683331862092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5.5555553436279297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12.44444465637207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41018.127776518464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7.2222223281860352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10.777777671813965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41028.905554190278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9.4444446563720703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8.5555553436279297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41037.461109533906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9.1666669845581055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8.8333330154418945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41046.294442549348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10.833333015441895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7.1666669845581055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41053.461109533906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14.44444465637207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3.5555553436279297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41057.016664877534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11.388889312744141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6.6111106872558594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41063.62777556479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12.5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5.5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41069.12777556479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12.5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5.5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41074.62777556479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10.55555534362793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7.4444446563720703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41082.072220221162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6.9444446563720703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11.05555534362793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41093.12777556479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2.2222223281860352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15.777777671813965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41108.905553236604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2.7777776718139648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15.222222328186035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41124.12777556479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2.7777776718139648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15.222222328186035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41139.349997892976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4.7222223281860352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13.277777671813965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41152.62777556479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6.3888888359069824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11.611111164093018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41164.238886728883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0.27777779102325439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17.722222208976746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41181.96110893786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-4.1666665077209473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22.166666507720947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41204.12777544558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-1.3888888359069824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19.388888835906982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41223.516664281487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2.5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15.5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41239.016664281487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8.6111106872558594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9.3888893127441406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41248.405553594232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7.2222223281860352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10.777777671813965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41259.183331266046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-0.27777779102325439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18.277777791023254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41277.461109057069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1.6666666269302368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16.333333373069763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41293.794442430139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7.2222223281860352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10.777777671813965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41304.572220101953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5.8333334922790527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12.166666507720947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41316.738886609674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8.6111106872558594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9.3888893127441406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41326.127775922418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2.2222223281860352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15.777777671813965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41341.905553594232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8.3333330154418945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9.6666669845581055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41351.57222057879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11.666666984558105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6.3333330154418945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41357.905553594232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8.0555553436279297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9.9444446563720703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41367.849998250604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6.3888888359069824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11.611111164093018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41379.461109414697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3.3333332538604736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14.666666746139526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41394.127776160836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4.4444446563720703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13.55555534362793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41407.683331504464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3.3333332538604736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14.666666746139526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41422.349998250604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4.1666665077209473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13.833333492279053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41436.183331742883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3.8888888359069824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14.111111164093018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41450.294442906976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5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41463.294442906976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5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13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41476.294442906976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7.2222223281860352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10.777777671813965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41487.07222057879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10.833333015441895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7.1666669845581055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41494.238887563348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12.777777671813965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5.2222223281860352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41499.461109891534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13.888889312744141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4.1111106872558594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41503.57222057879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12.5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5.5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41509.07222057879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16.388889312744141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1.6111106872558594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41510.683331266046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19.166666030883789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0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41510.683331266046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17.5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0.5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41511.183331266046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20.55555534362793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41511.183331266046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23.05555534362793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41511.183331266046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18.05555534362793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0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41511.183331266046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13.611110687255859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4.3888893127441406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41515.57222057879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15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3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41518.57222057879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20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0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41518.57222057879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8.3333330154418945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9.6666669845581055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41528.238887563348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5.2777776718139648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12.722222328186035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41540.961109891534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6.3888888359069824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11.611111164093018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41552.572221055627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9.1666669845581055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8.8333330154418945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41561.405554071069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13.333333015441895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4.6666669845581055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41566.072221055627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12.777777671813965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5.2222223281860352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41571.294443383813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15.55555534362793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2.4444446563720703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41573.738888040185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18.05555534362793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41573.738888040185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18.611110687255859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41573.738888040185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21.388889312744141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41573.738888040185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21.388889312744141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41573.738888040185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23.611110687255859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41573.738888040185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24.722221374511719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41573.738888040185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23.05555534362793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41573.738888040185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22.222221374511719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0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41573.738888040185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18.333333969116211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0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41573.738888040185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15.55555534362793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2.4444446563720703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41576.183332696557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18.611110687255859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41576.183332696557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16.94444465637207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1.0555553436279297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41577.238888040185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13.611110687255859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4.3888893127441406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41581.627777352929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12.222222328186035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5.7777776718139648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41587.405555024743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12.777777671813965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5.2222223281860352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41592.627777352929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18.333333969116211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41592.627777352929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18.611110687255859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0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41592.627777352929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11.94444465637207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6.0555553436279297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41598.683332696557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16.666666030883789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1.3333339691162109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41600.016666665673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8.8888893127441406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9.1111106872558594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41609.127777352929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10.55555534362793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7.4444446563720703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41616.572222009301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17.222221374511719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0.77777862548828125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41617.350000634789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17.777778625488281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0.22222137451171875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41617.572222009301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18.333333969116211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41617.572222009301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16.94444465637207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1.0555553436279297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41618.627777352929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17.5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0.5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41619.127777352929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20.55555534362793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41619.127777352929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19.44444465637207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41619.127777352929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15.833333015441895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2.1666669845581055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41621.294444337487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14.166666984558105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3.8333330154418945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41625.127777352929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16.111110687255859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1.8888893127441406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41627.016666665673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18.611110687255859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41627.016666665673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24.44444465637207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41627.016666665673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21.388889312744141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0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41627.016666665673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18.333333969116211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0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41627.016666665673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15.833333015441895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2.1666669845581055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41629.183333650231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13.888889312744141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4.1111106872558594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41633.294444337487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15.277777671813965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2.7222223281860352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41636.016666665673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18.333333969116211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0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41636.016666665673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19.722221374511719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41636.016666665673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21.94444465637207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41636.016666665673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19.722221374511719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41636.016666665673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23.05555534362793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41636.016666665673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18.05555534362793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41636.016666665673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20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41636.016666665673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21.111110687255859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41636.016666665673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20.55555534362793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41636.016666665673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22.222221374511719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0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41636.016666665673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15.833333015441895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2.1666669845581055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41638.183333650231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16.666666030883789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1.3333339691162109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41639.516667619348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16.94444465637207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1.0555553436279297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41640.572222962976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20.277778625488281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41640.572222962976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18.611110687255859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41640.572222962976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19.44444465637207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41640.572222962976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21.111110687255859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41640.572222962976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19.166666030883789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41640.572222962976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21.111110687255859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0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41640.572222962976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17.777778625488281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0.22222137451171875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41640.794444337487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14.722222328186035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3.2777776718139648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41644.072222009301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15.277777671813965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2.7222223281860352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41646.794444337487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17.777778625488281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0.22222137451171875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41647.016665711999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19.44444465637207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41647.016665711999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20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41647.016665711999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21.666666030883789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41647.016665711999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22.222221374511719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41647.016665711999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20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0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41647.016665711999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21.666666030883789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41647.016665711999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20.55555534362793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41647.016665711999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22.777778625488281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41647.016665711999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24.722221374511719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41647.016665711999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20.833333969116211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41647.016665711999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19.166666030883789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0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41647.016665711999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17.777778625488281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0.22222137451171875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41647.238887086511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16.666666030883789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1.3333339691162109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41648.572221055627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19.722221374511719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41648.572221055627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20.833333969116211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41648.572221055627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21.111110687255859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41648.572221055627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21.666666030883789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41648.572221055627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22.222221374511719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41648.572221055627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23.333333969116211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41648.572221055627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24.44444465637207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0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41648.572221055627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17.777778625488281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0.22222137451171875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41648.794442430139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20.55555534362793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0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41648.794442430139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21.94444465637207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41648.794442430139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21.111110687255859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0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41648.794442430139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20.277778625488281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0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41648.794442430139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14.722222328186035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3.2777776718139648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41652.072220101953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22.222221374511719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41652.072220101953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21.388889312744141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41652.072220101953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16.94444465637207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1.0555553436279297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41653.12777544558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15.277777671813965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2.7222223281860352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41655.849997773767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13.888889312744141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4.1111106872558594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41659.961108461022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14.166666984558105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3.8333330154418945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41663.794441476464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16.94444465637207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1.0555553436279297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41664.849996820092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15.277777671813965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2.7222223281860352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41667.572219148278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15.833333015441895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2.1666669845581055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41669.738886132836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14.722222328186035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3.2777776718139648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41673.01666380465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3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41676.01666380465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14.44444465637207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3.5555553436279297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41679.572219148278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13.333333015441895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4.6666669845581055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41684.238886132836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15.833333015441895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2.1666669845581055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41686.405553117394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16.94444465637207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1.0555553436279297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41687.461108461022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12.5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5.5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41692.961108461022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13.05555534362793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4.9444446563720703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41697.905553117394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17.222221374511719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0.77777862548828125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41698.683331742883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14.166666984558105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3.8333330154418945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41702.516664758325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16.111110687255859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1.8888893127441406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41704.405554071069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16.111110687255859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1.8888893127441406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41706.294443383813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13.888889312744141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4.1111106872558594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41710.405554071069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14.722222328186035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3.2777776718139648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41713.683331742883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18.888889312744141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0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41713.683331742883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13.611110687255859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4.3888893127441406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41718.072221055627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11.666666984558105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6.3333330154418945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41724.405554071069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9.1666669845581055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8.8333330154418945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41733.238887086511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14.166666984558105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3.8333330154418945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41737.072220101953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11.94444465637207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6.0555553436279297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41743.12777544558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14.166666984558105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3.8333330154418945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41746.961108461022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10.55555534362793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7.4444446563720703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41754.405553117394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10.55555534362793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7.4444446563720703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41761.849997773767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13.05555534362793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4.9444446563720703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41766.794442430139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12.777777671813965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5.2222223281860352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41772.016664758325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18.333333969116211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0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41772.016664758325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17.222221374511719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0.77777862548828125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41772.794443383813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16.388889312744141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1.6111106872558594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41774.405554071069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15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3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41777.405554071069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14.722222328186035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3.2777776718139648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41780.683331742883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14.722222328186035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3.2777776718139648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41783.961109414697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16.111110687255859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1.8888893127441406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41785.849998727441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16.111110687255859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1.8888893127441406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41787.738888040185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17.222221374511719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0.77777862548828125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41788.516666665673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17.222221374511719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0.77777862548828125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41789.294445291162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20.833333969116211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0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41789.294445291162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17.777778625488281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0.22222137451171875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41789.516666665673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16.388889312744141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1.6111106872558594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41791.127777352929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13.611110687255859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4.3888893127441406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41795.516666665673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11.388889312744141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6.6111106872558594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41802.127777352929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8.8888893127441406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9.1111106872558594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41811.238888040185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7.5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10.5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41821.738888040185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8.0555553436279297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9.9444446563720703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41831.683332696557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13.333333015441895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4.6666669845581055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41836.349999681115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10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41844.349999681115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2.7777776718139648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15.222222328186035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41859.572222009301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3.6111111640930176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14.388888835906982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41873.961110845208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4.4444446563720703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13.55555534362793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41887.516666188836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5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13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41900.516666188836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5.8333334922790527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12.166666507720947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41912.683332696557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6.6666665077209473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11.333333492279053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41924.016666188836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7.2222223281860352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10.777777671813965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41934.79444386065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8.8888893127441406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9.1111106872558594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41943.905554547906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9.4444446563720703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8.5555553436279297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41952.461109891534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8.6111106872558594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9.3888893127441406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41961.849999204278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6.6666665077209473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11.333333492279053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41973.183332696557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2.7777776718139648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15.222222328186035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41988.405555024743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0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42006.405555024743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-1.1111111640930176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19.111111164093018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42025.516666188836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0.55555558204650879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17.444444417953491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42042.96111060679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4.7222223281860352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13.277777671813965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42056.238888278604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8.3333330154418945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9.6666669845581055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42065.905555263162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9.7222223281860352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8.2777776718139648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42074.183332934976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6.6666665077209473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11.333333492279053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42085.516666427255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4.7222223281860352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13.277777671813965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42098.794444099069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4.4444446563720703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13.55555534362793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42112.349999442697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5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13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42125.349999442697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2.5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15.5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42140.849999442697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1.3888888359069824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16.611111164093018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42157.46111060679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0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18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42175.46111060679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1.1111111640930176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16.888888835906982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42192.349999442697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1.6666666269302368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16.333333373069763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42208.683332815766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3.6111111640930176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14.388888835906982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42223.072221651673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-0.27777779102325439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18.277777791023254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42241.349999442697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0.27777779102325439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17.722222208976746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42259.072221651673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1.1111111640930176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16.888888835906982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42275.96111048758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-0.55555558204650879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18.555555582046509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42294.516666069627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-3.3333332538604736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21.333333253860474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42315.849999323487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-2.2222223281860352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20.222222328186035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42336.072221651673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1.3888888359069824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16.611111164093018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42352.683332815766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-3.0555555820465088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21.055555582046509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42373.738888397813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-8.0555553436279297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26.05555534362793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42399.794443741441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-7.5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25.5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42425.294443741441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-2.2222223281860352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20.222222328186035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42445.516666069627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-0.55555558204650879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18.555555582046509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42464.072221651673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-2.5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20.5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42484.572221651673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-0.83333331346511841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18.833333313465118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42503.405554965138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-2.2222223281860352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20.222222328186035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42523.627777293324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-3.8888888359069824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21.888888835906982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42545.516666129231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-3.3333332538604736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21.333333253860474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42566.849999383092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-4.7222223281860352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22.722222328186035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42589.572221711278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-7.5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25.5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42615.072221711278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-11.666666984558105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29.666666984558105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42644.738888695836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-10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28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42672.738888695836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-2.7777776718139648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20.777777671813965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42693.51666636765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0.55555558204650879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17.444444417953491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42710.961110785604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-2.5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20.5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42731.461110785604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0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18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42749.461110785604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0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18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42767.461110785604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-0.27777779102325439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18.277777791023254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42785.738888576627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6.9444446563720703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11.05555534362793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42796.794443920255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1.9444444179534912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16.055555582046509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42812.849999502301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-4.7222223281860352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22.722222328186035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42835.572221830487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-8.0555553436279297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26.05555534362793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42861.627777174115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-5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23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42884.627777174115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-3.3333332538604736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21.333333253860474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42905.961110427976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-5.8333334922790527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23.833333492279053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42929.794443920255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-10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28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42957.794443920255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-4.4444446563720703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22.44444465637207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42980.238888576627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1.1111111640930176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16.888888835906982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42997.127777412534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-1.1111111640930176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19.111111164093018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43016.238888576627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-5.8333334922790527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23.833333492279053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43040.072222068906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-5.8333334922790527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23.833333492279053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43063.905555561185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-2.7777776718139648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20.777777671813965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43084.683333232999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-4.7222223281860352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22.722222328186035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43107.405555561185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-5.8333334922790527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23.833333492279053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43131.238889053464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-4.7222223281860352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22.722222328186035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43153.96111138165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-13.05555534362793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31.05555534362793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43185.016666725278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-14.166666984558105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32.166666984558105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43217.183333709836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-10.277777671813965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28.277777671813965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43245.46111138165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-3.8888888359069824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21.888888835906982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43267.350000217557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-11.666666984558105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29.666666984558105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43297.016667202115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-18.05555534362793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36.05555534362793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43333.072222545743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-15.55555534362793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33.55555534362793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43366.627777889371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-5.8333334922790527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23.833333492279053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43390.46111138165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-11.94444465637207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29.94444465637207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43420.405556038022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-19.722221374511719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37.722221374511719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43458.127777412534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-13.333333015441895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31.333333015441895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43489.461110427976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-8.6111106872558594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26.611110687255859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43516.072221115232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-15.55555534362793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33.55555534362793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43549.627776458859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-23.611110687255859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41.611110687255859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43591.238887146115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-21.666666030883789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39.666666030883789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43630.905553176999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-9.4444446563720703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27.44444465637207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43658.349997833371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-8.6111106872558594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26.611110687255859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43684.961108520627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-7.2222223281860352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25.222222328186035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43710.183330848813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-13.888889312744141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31.888889312744141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43742.072220161557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-17.222221374511719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35.222221374511719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43777.294441536069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-10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28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43805.294441536069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-12.777777671813965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30.777777671813965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43836.072219207883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-14.722222328186035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32.722222328186035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43868.794441536069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-16.94444465637207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34.94444465637207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43903.738886192441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-18.611110687255859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36.611110687255859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43940.349996879697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-13.333333015441895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31.333333015441895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43971.683329895139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-14.44444465637207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32.44444465637207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44004.127774551511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-19.166666030883789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37.166666030883789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44041.294440582395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-15.833333015441895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33.833333015441895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44075.127773597836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-9.7222223281860352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27.722222328186035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44102.849995926023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-6.3888888359069824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24.388888835906982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44127.23888476193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-0.55555558204650879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18.555555582046509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44145.794440343976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-13.05555534362793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31.05555534362793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44176.849995687604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-20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38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44214.849995687604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-20.833333969116211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38.833333969116211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44253.68332965672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-16.111110687255859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34.111110687255859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44287.794440343976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-5.8333334922790527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23.833333492279053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44311.627773836255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-7.5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25.5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44337.127773836255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-8.0555553436279297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26.05555534362793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44363.183329179883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-1.6666666269302368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19.666666626930237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44382.849995806813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-5.5555553436279297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23.55555534362793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44406.405551150441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-12.777777671813965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30.777777671813965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44437.183328822255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-22.5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40.5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44477.683328822255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-21.388889312744141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39.388889312744141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44517.072218134999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-18.333333969116211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36.333333969116211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44553.405552104115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-14.166666984558105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32.166666984558105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44585.572219088674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-0.83333331346511841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18.833333313465118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44604.405552402139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-16.388889312744141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34.388889312744141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44638.794441714883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-17.5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35.5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44674.294441714883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-11.94444465637207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29.94444465637207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44704.238886371255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-7.7777776718139648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25.777777671813965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44730.016664043069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-13.611110687255859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31.611110687255859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44761.627774730325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-16.111110687255859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34.111110687255859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44795.738885417581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-18.611110687255859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36.611110687255859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44832.349996104836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-12.5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30.5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44862.849996104836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33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44895.849996104836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-12.5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30.5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44926.349996104836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-13.611110687255859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31.611110687255859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44957.961106792092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-13.333333015441895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31.333333015441895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44989.294439807534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-5.2777776718139648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23.277777671813965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45012.572217479348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-13.333333015441895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31.333333015441895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45043.90555049479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-15.55555534362793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33.55555534362793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45077.461105838418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-11.388889312744141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29.388889312744141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45106.849995151162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-2.2222223281860352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20.222222328186035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45127.072217479348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-1.1111111640930176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19.111111164093018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45146.183328643441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-5.8333334922790527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23.833333492279053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45170.01666213572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-2.7777776718139648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20.777777671813965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45190.794439807534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-6.3888888359069824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24.388888835906982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45215.183328643441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-13.05555534362793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31.05555534362793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45246.238883987069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-10.833333015441895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28.833333015441895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45275.072217002511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-15.277777671813965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33.277777671813965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45308.349994674325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-9.7222223281860352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27.722222328186035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45336.072217002511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-6.9444446563720703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24.94444465637207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45361.016661658883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-3.3333332538604736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21.333333253860474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45382.349994912744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1.9444444179534912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16.055555582046509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45398.40555049479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2.5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15.5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45413.90555049479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2.5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15.5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45429.40555049479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0.83333331346511841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17.166666686534882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45446.572217181325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2.2222223281860352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15.777777671813965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45462.349994853139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0.27777779102325439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17.722222208976746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45480.072217062116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-0.55555558204650879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18.555555582046509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45498.627772644162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1.1111111640930176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16.888888835906982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45515.516661480069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1.1111111640930176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16.888888835906982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45532.405550315976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3.0555555820465088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14.944444417953491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45547.34999473393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-6.9444446563720703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24.94444465637207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45572.294439390302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-11.666666984558105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29.666666984558105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45601.96110637486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-11.666666984558105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29.666666984558105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45631.627773359418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-6.6666665077209473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24.666666507720947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45656.294439867139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-1.1111111640930176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19.111111164093018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45675.405551031232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-2.2222223281860352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20.222222328186035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45695.627773359418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-5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23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45718.627773359418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-1.9444444179534912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19.944444417953491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45738.572217777371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1.1111111640930176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16.888888835906982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45755.461106613278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2.5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15.5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45770.961106613278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2.7777776718139648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15.222222328186035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45786.183328941464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3.3333332538604736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14.666666746139526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45800.849995687604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2.7777776718139648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15.222222328186035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45816.07221801579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-0.83333331346511841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18.833333313465118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45834.905551329255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-1.1111111640930176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19.111111164093018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45854.016662493348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4.7222223281860352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13.277777671813965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45867.294440165162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4.4444446563720703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13.55555534362793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45880.84999550879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4.4444446563720703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13.55555534362793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45894.405550852418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3.3333332538604736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14.666666746139526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45909.072217598557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2.5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15.5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45924.572217598557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-1.3888888359069824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19.388888835906982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45943.961106434464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-1.6666666269302368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19.666666626930237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45963.627773061395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1.1111111640930176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16.888888835906982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45980.516661897302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0.27777779102325439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17.722222208976746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45998.238884106278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1.3888888359069824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16.611111164093018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46014.849995270371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3.0555555820465088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14.944444417953491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46029.794439688325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1.9444444179534912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16.055555582046509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46045.849995270371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5.8333334922790527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12.166666507720947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46058.016661778092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13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46071.016661778092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8.0555553436279297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9.9444446563720703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46080.961106434464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3.8888888359069824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14.111111164093018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46095.072217598557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-3.3333332538604736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21.333333253860474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46116.405550852418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-1.6666666269302368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19.666666626930237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46136.072217479348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3.8888888359069824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14.111111164093018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46150.183328643441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6.1111111640930176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11.888888835906982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46162.072217479348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6.6666667461395264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11.333333253860474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46173.405550733209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7.2222223281860352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10.777777671813965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46184.183328405023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7.7777779102325439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10.222222089767456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46194.40555049479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8.3333334922790527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9.6666665077209473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46204.072217002511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8.8888890743255615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9.1111109256744385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46213.183327928185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9.4444446563720703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8.5555553436279297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46221.738883271813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10.277777671813965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7.7222223281860352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46229.461105599999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8.8888893127441406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9.1111106872558594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46238.572216287255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8.8888893127441406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9.1111106872558594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46247.683326974511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13.888889312744141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4.1111106872558594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46251.794437661767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16.94444465637207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1.0555553436279297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46252.849993005395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20.833333969116211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0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46252.849993005395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18.611110687255859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0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46252.849993005395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20.277778625488281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0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46252.849993005395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16.94444465637207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1.0555553436279297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46253.905548349023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13.888889312744141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4.1111106872558594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46258.016659036279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9.7222223281860352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8.2777776718139648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46266.294436708093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5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13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46279.294436708093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11.111110687255859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6.8888893127441406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46286.183326020837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13.333333015441895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4.6666669845581055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46290.849993005395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10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8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46298.849993005395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6.9444446563720703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11.05555534362793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46309.905548349023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5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13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46322.905548349023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8.3333330154418945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9.6666669845581055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46332.572215333581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11.111110687255859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6.8888893127441406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46339.461104646325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11.111110687255859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6.8888893127441406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46346.349993959069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10.55555534362793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7.4444446563720703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46353.794438615441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10.833333015441895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7.1666669845581055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46360.961105599999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13.05555534362793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4.9444446563720703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46365.905550256371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16.388889312744141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1.6111106872558594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46367.516660943627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20.277778625488281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0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46367.516660943627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20.277778625488281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0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46367.516660943627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8.8888893127441406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9.1111106872558594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46376.627771630883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14.722222328186035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3.2777776718139648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46379.905549302697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10.833333015441895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7.1666669845581055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46387.072216287255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11.94444465637207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6.0555553436279297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46393.127771630883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15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3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46396.127771630883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11.111110687255859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6.8888893127441406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46403.016660943627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10.277777671813965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7.7222223281860352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46410.738883271813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15.277777671813965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2.7222223281860352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46413.461105599999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11.388889312744141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6.6111106872558594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46420.072216287255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13.611110687255859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4.3888893127441406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46424.461105599999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14.166666984558105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3.8333330154418945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46428.294438615441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10.55555534362793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7.4444446563720703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46435.738883271813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14.166666984558105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3.8333330154418945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46439.572216287255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16.94444465637207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1.0555553436279297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46440.627771630883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21.388889312744141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0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46440.627771630883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18.888889312744141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0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46440.627771630883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11.666666984558105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6.3333330154418945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46446.961104646325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10.833333015441895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7.1666669845581055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46454.127771630883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12.5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5.5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46459.627771630883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15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3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46462.627771630883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22.222221374511719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46462.627771630883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13.888889312744141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4.1111106872558594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46466.738882318139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18.05555534362793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46466.738882318139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22.777778625488281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0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46466.738882318139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22.777778625488281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0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46466.738882318139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14.722222328186035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3.2777776718139648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46470.016659989953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10.277777671813965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7.7222223281860352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46477.738882318139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14.166666984558105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3.8333330154418945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46481.572215333581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13.888889312744141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4.1111106872558594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46485.683326020837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18.888889312744141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0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46485.683326020837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15.55555534362793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2.4444446563720703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46488.127770677209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11.666666984558105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6.3333330154418945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46494.461103692651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15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46497.461103692651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16.111110687255859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1.8888893127441406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46499.349993005395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16.94444465637207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1.0555553436279297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46500.405548349023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15.277777671813965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2.7222223281860352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46503.127770677209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17.5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0.5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46503.627770677209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15.833333015441895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2.1666669845581055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46505.794437661767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17.222221374511719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0.77777862548828125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46506.572216287255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18.888889312744141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46506.572216287255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17.222221374511719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0.77777862548828125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46507.349994912744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15.833333015441895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2.1666669845581055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46509.516661897302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16.388889312744141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1.6111106872558594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46511.127772584558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16.111110687255859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1.8888893127441406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46513.016661897302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16.111110687255859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1.8888893127441406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46514.905551210046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19.44444465637207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46514.905551210046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21.111110687255859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46514.905551210046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23.333333969116211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46514.905551210046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21.666666030883789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46514.905551210046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19.722221374511719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46514.905551210046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17.777778625488281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0.22222137451171875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46515.127772584558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20.277778625488281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46515.127772584558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21.94444465637207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0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46515.127772584558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17.5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0.5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46515.627772584558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13.611110687255859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4.3888893127441406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46520.016661897302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18.888889312744141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46520.016661897302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16.666666030883789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1.3333339691162109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46521.349995866418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15.55555534362793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2.4444446563720703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46523.79444052279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16.388889312744141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1.6111106872558594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46525.405551210046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19.722221374511719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46525.405551210046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21.94444465637207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46525.405551210046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17.222221374511719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0.77777862548828125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46526.183329835534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18.333333969116211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46526.183329835534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20.55555534362793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46526.183329835534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17.777778625488281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0.22222137451171875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46526.405551210046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19.166666030883789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46526.405551210046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22.5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0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46526.405551210046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16.94444465637207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1.0555553436279297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46527.461106553674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15.55555534362793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2.4444446563720703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46529.905551210046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18.05555534362793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46529.905551210046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17.777778625488281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0.22222137451171875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46530.127772584558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14.166666984558105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3.8333330154418945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46533.961105599999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16.666666030883789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1.3333339691162109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46535.294439569116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17.222221374511719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0.77777862548828125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46536.072218194604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17.5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0.5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46536.572218194604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18.888889312744141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0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46536.572218194604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18.888889312744141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46536.572218194604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19.722221374511719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46536.572218194604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19.166666030883789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46536.572218194604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21.111110687255859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46536.572218194604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21.94444465637207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0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46536.572218194604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19.44444465637207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46536.572218194604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19.722221374511719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46536.572218194604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19.44444465637207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0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46536.572218194604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20.277778625488281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46536.572218194604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3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46539.572218194604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16.666666030883789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1.3333339691162109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46540.90555216372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18.888889312744141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46540.90555216372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21.94444465637207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46540.90555216372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20.55555534362793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46540.90555216372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15.277777671813965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2.7222223281860352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46543.627774491906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11.666666984558105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6.3333330154418945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46549.961107507348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15.55555534362793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2.4444446563720703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46552.40555216372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20.833333969116211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0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46552.40555216372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15.277777671813965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2.7222223281860352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46555.127774491906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13.05555534362793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4.9444446563720703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46560.072219148278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14.722222328186035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3.2777776718139648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46563.349996820092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15.277777671813965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2.7222223281860352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46566.072219148278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16.111110687255859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1.8888893127441406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46567.961108461022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18.05555534362793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0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46567.961108461022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20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0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46567.961108461022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16.94444465637207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1.0555553436279297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46569.01666380465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17.222221374511719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0.77777862548828125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46569.794442430139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16.666666030883789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1.3333339691162109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46571.127776399255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11.94444465637207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6.0555553436279297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46577.183331742883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14.166666984558105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3.8333330154418945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46581.016664758325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12.222222328186035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5.7777776718139648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46586.794442430139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12.5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5.5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46592.294442430139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21.94444465637207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0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46592.294442430139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20.277778625488281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0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46592.294442430139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>
        <v>14.722222328186035</v>
      </c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3.2777776718139648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46595.572220101953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18.333333969116211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0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46595.572220101953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>
        <v>13.611110687255859</v>
      </c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4.3888893127441406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46599.961109414697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6.6666665077209473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11.333333492279053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46611.294442906976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9.4444446563720703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8.5555553436279297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46619.849998250604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11.388889312744141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6.6111106872558594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46626.46110893786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11.111110687255859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6.8888893127441406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46633.349998250604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12.222222328186035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5.7777776718139648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46639.127775922418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8.8888893127441406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9.1111106872558594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46648.238886609674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5.5555553436279297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12.44444465637207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46660.683331266046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9.1666669845581055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8.8333330154418945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46669.516664281487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10.55555534362793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7.4444446563720703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46676.96110893786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10.277777671813965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7.7222223281860352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46684.683331266046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6.6666665077209473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11.333333492279053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46696.016664758325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8.3333330154418945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9.6666669845581055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46705.683331742883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13.05555534362793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4.9444446563720703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46710.627776399255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15.833333015441895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2.1666669845581055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46712.794443383813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7.7777776718139648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10.222222328186035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46723.016665711999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3.3333332538604736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14.666666746139526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46737.683332458138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6.1111111640930176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11.888888835906982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46749.572221294045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4.7222223281860352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13.277777671813965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46762.849998965859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4.7222223281860352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13.277777671813965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46776.127776637673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11.111110687255859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6.8888893127441406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46783.016665950418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9.1666669845581055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8.8333330154418945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46791.849998965859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6.3888888359069824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11.611111164093018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46803.461110129952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5.2777776718139648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12.722222328186035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46816.183332458138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4.4444446563720703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13.55555534362793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46829.738887801766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3.8888888359069824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14.111111164093018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46843.849998965859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5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13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46856.849998965859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4.1666665077209473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13.833333492279053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46870.683332458138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0.27777779102325439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17.722222208976746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46888.405554667115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2.2222223281860352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15.777777671813965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46904.183332338929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8.0555553436279297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9.9444446563720703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46914.127776995301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8.0555553436279297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9.9444446563720703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46924.072221651673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12.222222328186035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5.7777776718139648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46929.849999323487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14.722222328186035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3.2777776718139648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46933.127776995301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11.94444465637207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6.0555553436279297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46939.183332338929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4.4444446563720703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13.55555534362793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46952.738887682557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5.2777776718139648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12.722222328186035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46965.461110010743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5.8333334922790527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12.166666507720947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46977.627776518464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8.0555553436279297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9.9444446563720703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46987.572221174836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9.7222223281860352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8.2777776718139648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46995.84999884665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8.0555553436279297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9.9444446563720703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47005.794443503022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8.8888893127441406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9.1111106872558594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47014.905554190278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7.7777776718139648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10.222222328186035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47025.127776518464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11.666666984558105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6.3333330154418945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47031.461109533906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12.777777671813965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5.2222223281860352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47036.683331862092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9.4444446563720703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8.5555553436279297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47045.23888720572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7.5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10.5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47055.73888720572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2.7777776718139648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15.222222328186035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47070.961109533906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3.3333332538604736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14.666666746139526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47085.627776280046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7.5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10.5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47096.127776280046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14.722222328186035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3.2777776718139648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47099.405553951859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5.2777776718139648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12.722222328186035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47112.127776280046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-1.9444444179534912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19.944444417953491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47132.072220697999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-3.3333332538604736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21.333333253860474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47153.405553951859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-2.5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20.5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47173.905553951859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-2.5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20.5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47194.405553951859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-4.4444446563720703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22.44444465637207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47216.849998608232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-5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23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47239.849998608232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-3.8888888359069824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21.888888835906982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47261.738887444139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-8.0555553436279297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26.05555534362793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47287.794442787766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-6.3888888359069824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24.388888835906982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47312.183331623673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-0.83333331346511841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18.833333313465118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47331.016664937139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-0.83333331346511841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18.833333313465118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47349.849998250604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-0.55555558204650879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18.555555582046509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47368.40555383265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2.7777776718139648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15.222222328186035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47383.627776160836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0.27777779102325439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17.722222208976746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47401.349998369813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4.4444446563720703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13.55555534362793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47414.905553713441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0.27777779102325439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17.722222208976746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47432.627775922418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-0.27777779102325439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18.277777791023254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47450.905553713441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3.8888888359069824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14.111111164093018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47465.016664877534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-2.2222223281860352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20.222222328186035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47485.23888720572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-1.1111111640930176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19.111111164093018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47504.349998369813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1.3888888359069824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16.611111164093018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47520.961109533906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-3.8888888359069824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21.888888835906982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47542.849998369813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-3.3333332538604736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21.333333253860474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47564.183331623673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-1.1111111640930176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19.111111164093018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47583.294442787766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-2.2222223281860352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20.222222328186035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47603.516665115952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-4.7222223281860352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22.722222328186035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47626.238887444139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-8.3333330154418945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26.333333015441895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47652.57222045958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-6.6666665077209473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24.666666507720947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47677.238886967301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-7.2222223281860352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25.222222328186035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47702.461109295487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-5.5555553436279297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23.55555534362793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47726.016664639115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-9.1666669845581055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27.166666984558105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47753.183331623673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-6.1111111640930176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24.111111164093018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47777.294442787766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-2.7777776718139648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20.777777671813965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47798.07222045958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0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47816.07222045958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-0.27777779102325439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18.277777791023254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47834.349998250604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-5.8333334922790527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23.833333492279053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47858.183331742883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-5.2777776718139648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23.277777671813965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47881.461109414697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-4.7222223281860352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22.722222328186035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47904.183331742883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-8.0555553436279297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26.05555534362793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47930.238887086511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-9.1666669845581055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27.166666984558105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47957.405554071069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-2.5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20.5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47977.905554071069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-4.7222223281860352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22.722222328186035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48000.627776399255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-8.3333330154418945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26.333333015441895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48026.961109414697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-7.5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25.5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48052.461109414697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-8.3333330154418945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26.333333015441895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48078.794442430139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-6.3888888359069824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24.388888835906982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48103.183331266046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-1.1111111640930176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19.111111164093018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48122.294442430139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3.6111111640930176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14.388888835906982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48136.683331266046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3.0555555820465088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14.944444417953491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48151.627775683999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0.27777779102325439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17.722222208976746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48169.349997892976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0.27777779102325439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17.722222208976746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48187.072220101953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0.55555558204650879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17.444444417953491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48204.516664519906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0.27777779102325439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17.722222208976746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48222.238886728883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-3.0555555820465088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21.055555582046509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48243.294442310929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23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48266.294442310929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-6.3888888359069824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24.388888835906982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48290.683331146836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-7.5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25.5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48316.183331146836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-2.7777776718139648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20.777777671813965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48336.96110881865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-5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23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48359.96110881865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-7.7777776718139648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25.777777671813965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48385.738886490464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-3.6111111640930176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21.611111164093018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48407.349997654557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-4.4444446563720703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22.44444465637207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48429.794442310929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-13.888889312744141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31.888889312744141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48461.683331623673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-11.94444465637207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29.94444465637207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48491.627776280046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-0.55555558204650879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18.555555582046509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48510.183331862092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1.1111111640930176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16.888888835906982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48527.072220697999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0.55555558204650879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17.444444417953491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48544.516665115952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-1.3888888359069824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19.388888835906982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48563.905553951859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-5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23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48586.905553951859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-9.1666669845581055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27.166666984558105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48614.072220936418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-4.4444446563720703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22.44444465637207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48636.51666559279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-4.4444446563720703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22.44444465637207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48658.961110249162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-2.5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20.5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48679.461110249162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-3.0555555820465088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21.055555582046509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48700.516665831208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-3.3333332538604736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21.333333253860474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48721.849999085069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-11.94444465637207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29.94444465637207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48751.794443741441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-7.7777776718139648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25.777777671813965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48777.572221413255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-10.833333015441895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28.833333015441895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48806.405554428697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-10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28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48834.405554428697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-16.111110687255859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34.111110687255859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48868.516665115952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-15.277777671813965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33.277777671813965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48901.794442787766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-13.333333015441895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31.333333015441895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48933.127775803208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-16.666666030883789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34.666666030883789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48967.794441834092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-19.44444465637207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37.44444465637207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49005.238886490464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-10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28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49033.238886490464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-7.5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25.5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49058.738886490464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-7.2222223281860352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25.222222328186035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49083.96110881865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-2.5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20.5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49104.46110881865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-0.55555558204650879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18.555555582046509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49123.016664400697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-2.2222223281860352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20.222222328186035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49143.238886728883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-6.6666665077209473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24.666666507720947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49167.905553236604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-2.5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20.5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49188.405553236604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-2.2222223281860352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20.222222328186035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49208.62777556479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-3.6111111640930176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21.611111164093018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49230.238886728883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-1.9444444179534912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19.944444417953491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49250.183331146836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-2.7777776718139648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20.777777671813965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49270.96110881865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-10.833333015441895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28.833333015441895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49299.794441834092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-10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28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49327.794441834092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-4.1666665077209473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22.166666507720947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49349.961108341813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-2.2222223281860352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20.222222328186035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49370.183330669999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-8.6111106872558594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26.611110687255859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49396.794441357255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-6.1111111640930176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24.111111164093018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49420.905552521348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-8.6111106872558594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26.611110687255859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49447.516663208604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-16.666666030883789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34.666666030883789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49482.183329239488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-16.94444465637207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34.94444465637207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49517.12777389586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-7.2222223281860352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25.222222328186035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49542.349996224046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-11.388889312744141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29.388889312744141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49571.73888553679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-7.5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25.5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49597.23888553679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-5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23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49620.23888553679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-1.1111111640930176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19.111111164093018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49639.349996700883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-7.2222223281860352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25.222222328186035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49664.572219029069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-4.7222223281860352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22.722222328186035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49687.294441357255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-2.5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20.5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49707.794441357255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0.55555558204650879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17.444444417953491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49725.238885775208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-1.6666666269302368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19.666666626930237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49744.905552402139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-3.0555555820465088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21.055555582046509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49765.961107984185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-4.1666665077209473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22.166666507720947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49788.127774491906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-2.5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20.5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49808.627774491906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-4.7222223281860352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22.722222328186035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49831.349996820092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-5.5555553436279297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23.55555534362793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49854.90555216372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-5.5555553436279297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23.55555534362793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49878.461107507348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-7.2222223281860352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25.222222328186035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49903.683329835534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-9.1666669845581055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27.166666984558105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49930.849996820092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23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49953.849996820092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3.0555555820465088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14.944444417953491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49968.794441238046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-5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23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49991.794441238046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-8.6111106872558594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26.611110687255859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50018.405551925302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-2.7777776718139648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20.777777671813965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50039.183329597116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-2.7777776718139648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20.777777671813965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50059.961107268929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-3.6111111640930176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21.611111164093018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50081.572218433022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0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18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50099.572218433022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50122.572218433022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-3.0555555820465088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21.055555582046509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50143.627774015069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-0.83333331346511841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18.833333313465118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50162.461107328534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0.27777779102325439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17.722222208976746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50180.183329537511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-1.1111111640930176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19.111111164093018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50199.294440701604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-1.9444444179534912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19.944444417953491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50219.238885119557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-8.3333330154418945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26.333333015441895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50245.572218134999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-5.2777776718139648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23.277777671813965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50268.849995806813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-0.27777779102325439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18.277777791023254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50287.127773597836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-4.4444446563720703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22.44444465637207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50309.572218254209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-3.3333332538604736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21.333333253860474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50330.905551508069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2.5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15.5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50346.405551508069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1.3888888359069824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16.611111164093018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50363.016662672162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1.3888888359069824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16.611111164093018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50379.627773836255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-1.1111111640930176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19.111111164093018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50398.738885000348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-3.3333332538604736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21.333333253860474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50420.072218254209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-0.27777779102325439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18.277777791023254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50438.349996045232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1.9444444179534912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16.055555582046509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50454.405551627278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7.7777776718139648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10.222222328186035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50464.627773955464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5.8333334922790527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12.166666507720947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50476.794440463185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10.833333015441895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7.1666669845581055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50483.961107447743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12.777777671813965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5.2222223281860352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50489.183329775929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10.833333015441895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7.1666669845581055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50496.349996760488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13.888889312744141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4.1111106872558594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50500.461107447743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11.666666984558105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6.3333330154418945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50506.794440463185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1.3888888359069824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16.611111164093018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50523.405551627278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-0.55555558204650879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18.555555582046509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50541.961107209325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1.1111111640930176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16.888888835906982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50558.849996045232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2.7777776718139648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15.222222328186035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50574.072218373418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7.7777776718139648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10.222222328186035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50584.294440701604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3.8888888359069824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14.111111164093018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50598.405551865697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0.55555558204650879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17.444444417953491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50615.84999628365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2.7777776718139648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15.222222328186035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50631.072218611836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3.0555555820465088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14.944444417953491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50646.01666302979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1.6666666269302368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16.333333373069763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50662.34999640286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3.3333332538604736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14.666666746139526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50677.016663148999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10.55555534362793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7.4444446563720703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50684.461107805371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7.7777776718139648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10.222222328186035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50694.683330133557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7.5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10.5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50705.183330133557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3.3333332538604736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14.666666746139526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50719.849996879697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5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13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50732.849996879697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4.1666665077209473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13.833333492279053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50746.683330371976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8.3333330154418945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9.6666669845581055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50756.349997356534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8.0555553436279297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9.9444446563720703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50766.294442012906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10.55555534362793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7.4444446563720703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50773.738886669278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9.7222223281860352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8.2777776718139648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50782.016664341092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10.277777671813965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7.7222223281860352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50789.738886669278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10.55555534362793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7.4444446563720703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50797.18333132565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14.166666984558105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3.8333330154418945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50801.016664341092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17.5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0.5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50801.516664341092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16.94444465637207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1.0555553436279297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50802.57221968472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14.44444465637207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3.5555553436279297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50806.127775028348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9.4444446563720703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8.5555553436279297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50814.683330371976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11.94444465637207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6.0555553436279297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50820.738885715604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7.7777776718139648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10.222222328186035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50830.96110804379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5.8333334922790527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12.166666507720947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50843.127774551511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8.6111106872558594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9.3888893127441406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50852.516663864255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9.4444446563720703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8.5555553436279297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50861.072219207883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10.277777671813965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7.7222223281860352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50868.794441536069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12.777777671813965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5.2222223281860352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50874.016663864255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13.05555534362793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4.9444446563720703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50878.961108520627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15.55555534362793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2.4444446563720703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50881.405553176999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8.3333330154418945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9.6666669845581055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50891.072220161557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9.7222223281860352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8.2777776718139648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50899.349997833371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13.05555534362793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4.9444446563720703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50904.294442489743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14.722222328186035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3.2777776718139648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50907.572220161557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17.5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0.5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50908.072220161557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18.333333969116211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0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50908.072220161557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19.722221374511719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0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50908.072220161557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21.666666030883789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50908.072220161557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21.111110687255859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50908.072220161557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22.5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50908.072220161557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18.611110687255859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50908.072220161557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19.44444465637207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0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50908.072220161557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19.166666030883789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0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50908.072220161557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14.44444465637207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3.5555553436279297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50911.627775505185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12.222222328186035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5.7777776718139648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50917.405553176999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13.888889312744141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4.1111106872558594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50921.516663864255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15.833333015441895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2.1666669845581055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50923.683330848813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14.166666984558105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3.8333330154418945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50927.516663864255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11.94444465637207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6.0555553436279297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50933.572219207883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10.833333015441895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7.1666669845581055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50940.738886192441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11.111110687255859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6.8888893127441406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50947.627775505185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12.777777671813965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5.2222223281860352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50952.849997833371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12.5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5.5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50958.349997833371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12.5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5.5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50963.849997833371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15.277777671813965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2.7222223281860352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50966.572220161557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18.333333969116211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0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50966.572220161557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18.05555534362793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50966.572220161557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19.722221374511719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50966.572220161557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19.722221374511719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50966.572220161557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21.111110687255859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50966.572220161557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21.111110687255859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50966.572220161557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22.5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0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50966.572220161557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20.277778625488281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50966.572220161557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18.611110687255859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0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50966.572220161557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14.722222328186035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3.2777776718139648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50969.849997833371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17.222221374511719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0.77777862548828125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50970.627776458859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19.166666030883789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50970.627776458859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16.111110687255859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1.8888893127441406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50972.516665771604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19.166666030883789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50972.516665771604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18.888889312744141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50972.516665771604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20.55555534362793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50972.516665771604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22.5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50972.516665771604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20.277778625488281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0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50972.516665771604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15.833333015441895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2.1666669845581055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50974.683332756162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17.777778625488281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0.22222137451171875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50974.905554130673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17.222221374511719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0.77777862548828125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50975.683332756162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18.333333969116211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0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50975.683332756162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19.44444465637207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0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50975.683332756162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14.166666984558105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3.8333330154418945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50979.516665771604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16.666666030883789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1.3333339691162109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50980.84999974072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17.5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0.5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50981.34999974072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18.611110687255859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0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50981.34999974072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19.722221374511719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0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50981.34999974072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18.888889312744141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0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50981.34999974072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15.277777671813965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2.7222223281860352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50984.072222068906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16.666666030883789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1.3333339691162109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50985.405556038022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18.05555534362793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50985.405556038022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16.388889312744141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1.6111106872558594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50987.016666725278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16.94444465637207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1.0555553436279297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50988.072222068906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18.888889312744141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50988.072222068906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18.333333969116211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50988.072222068906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18.333333969116211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50988.072222068906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50988.072222068906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18.888889312744141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50988.072222068906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21.94444465637207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50988.072222068906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20.833333969116211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50988.072222068906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17.777778625488281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0.22222137451171875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50988.294443443418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17.222221374511719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0.77777862548828125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50989.072222068906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16.388889312744141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1.6111106872558594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50990.683332756162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17.777778625488281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0.22222137451171875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50990.905554130673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21.111110687255859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50990.905554130673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20.55555534362793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50990.905554130673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18.05555534362793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50990.905554130673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18.05555534362793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50990.905554130673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18.333333969116211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50990.905554130673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19.166666030883789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50990.905554130673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19.44444465637207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50990.905554130673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17.777778625488281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0.22222137451171875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50991.127775505185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16.94444465637207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1.0555553436279297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50992.183330848813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16.94444465637207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1.0555553436279297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50993.238886192441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16.94444465637207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1.0555553436279297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50994.294441536069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16.666666030883789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1.3333339691162109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50995.627775505185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17.222221374511719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0.77777862548828125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50996.405554130673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17.222221374511719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0.77777862548828125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50997.183332756162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20.833333969116211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0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50997.183332756162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16.388889312744141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1.6111106872558594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50998.794443443418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13.888889312744141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4.1111106872558594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51002.905554130673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17.222221374511719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0.77777862548828125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51003.683332756162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19.166666030883789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51003.683332756162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16.388889312744141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1.6111106872558594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51005.294443443418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18.05555534362793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0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51005.294443443418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15.277777671813965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2.7222223281860352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51008.016665771604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17.777778625488281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0.22222137451171875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51008.238887146115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19.44444465637207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0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51008.238887146115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13.333333015441895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4.6666669845581055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51012.905554130673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13.888889312744141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4.1111106872558594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51017.016664817929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15.277777671813965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2.7222223281860352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51019.738887146115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12.777777671813965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5.2222223281860352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51024.961109474301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11.388889312744141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6.6111106872558594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51031.572220161557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16.111110687255859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1.8888893127441406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51033.461109474301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16.666666030883789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1.3333339691162109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51034.794443443418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20.55555534362793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51034.794443443418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21.388889312744141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51034.794443443418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22.5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51034.794443443418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22.5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0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51034.794443443418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16.666666030883789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1.3333339691162109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51036.127777412534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11.388889312744141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6.6111106872558594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51042.73888809979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11.94444465637207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6.0555553436279297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51048.794443443418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13.888889312744141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4.1111106872558594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51052.905554130673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12.777777671813965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5.2222223281860352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51058.127776458859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13.888889312744141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4.1111106872558594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51062.238887146115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11.94444465637207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6.0555553436279297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51068.294442489743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10.277777671813965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7.7222223281860352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51076.016664817929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11.94444465637207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6.0555553436279297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51082.072220161557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13.888889312744141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4.1111106872558594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51086.183330848813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15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3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51089.183330848813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11.94444465637207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6.0555553436279297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51095.238886192441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10.277777671813965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7.7222223281860352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51102.961108520627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11.111110687255859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6.8888893127441406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51109.849997833371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16.111110687255859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1.8888893127441406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51111.738887146115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17.5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0.5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51112.238887146115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18.05555534362793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51112.238887146115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16.111110687255859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1.8888893127441406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51114.127776458859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15.833333015441895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2.1666669845581055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51116.294443443418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16.388889312744141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1.6111106872558594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51117.905554130673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15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3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51120.905554130673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3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51123.905554130673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13.333333015441895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4.6666669845581055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51128.572221115232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12.777777671813965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5.2222223281860352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51133.794443443418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15.277777671813965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2.7222223281860352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51136.516665771604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17.777778625488281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0.22222137451171875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51136.738887146115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18.888889312744141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51136.738887146115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19.166666030883789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51136.738887146115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18.611110687255859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0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51136.738887146115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14.166666984558105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3.8333330154418945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51140.572220161557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9.7222223281860352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8.2777776718139648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51148.849997833371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7.5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10.5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51159.349997833371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6.1111111640930176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11.888888835906982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51171.238886669278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6.1111111640930176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11.888888835906982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51183.127775505185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6.3888888359069824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11.611111164093018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51194.738886669278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5.5555553436279297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12.44444465637207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51207.18333132565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6.1111111640930176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11.888888835906982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51219.072220161557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8.8888893127441406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9.1111106872558594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51228.183330848813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8.8888893127441406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9.1111106872558594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51237.294441536069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8.6111106872558594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9.3888893127441406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51246.683330848813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5.2777776718139648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12.722222328186035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51259.405553176999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5.2777776718139648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12.722222328186035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51272.127775505185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9.1666669845581055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8.8333330154418945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51280.961108520627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11.111110687255859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6.8888893127441406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51287.849997833371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7.2222223281860352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10.777777671813965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51298.627775505185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5.2777776718139648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12.722222328186035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51311.349997833371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3.0555555820465088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14.944444417953491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51326.294442251325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4.7222223281860352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13.277777671813965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51339.572219923139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11.94444465637207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6.0555553436279297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51345.627775266767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11.388889312744141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6.6111106872558594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51352.238885954022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11.94444465637207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6.0555553436279297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51358.29444129765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9.4444446563720703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8.5555553436279297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51366.849996641278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3.3333332538604736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14.666666746139526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51381.516663387418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1.9444444179534912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16.055555582046509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51397.572218969464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-1.9444444179534912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19.944444417953491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51417.516663387418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-2.2222223281860352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20.222222328186035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51437.738885715604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-0.27777779102325439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18.277777791023254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51456.016663506627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3.3333332538604736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14.666666746139526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51470.683330252767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3.3333332538604736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14.666666746139526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51485.349996998906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2.7777776718139648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15.222222328186035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51500.572219327092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4.1666665077209473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13.833333492279053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51514.405552819371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4.1666665077209473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13.833333492279053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51528.23888631165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-1.1111111640930176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19.111111164093018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51547.349997475743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-1.1111111640930176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19.111111164093018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51566.461108639836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2.5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15.5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51581.961108639836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-0.55555558204650879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18.555555582046509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51600.516664221883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-0.55555558204650879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18.555555582046509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51619.072219803929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4.7222223281860352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13.277777671813965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51632.349997475743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3.3333332538604736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14.666666746139526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51647.016664221883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5.2777776718139648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12.722222328186035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51659.738886550069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3.8888888359069824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14.111111164093018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51673.849997714162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6.6666665077209473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11.333333492279053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51685.183331206441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-0.55555558204650879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18.555555582046509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51703.738886788487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2.5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15.5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51719.238886788487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-1.9444444179534912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19.944444417953491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51739.183331206441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-1.1111111640930176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19.111111164093018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51758.294442370534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0.55555558204650879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17.444444417953491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51775.738886788487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0.83333331346511841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17.166666686534882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51792.905553475022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-2.5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20.5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51813.405553475022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-3.8888888359069824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21.888888835906982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51835.294442310929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-2.5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20.5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51855.794442310929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-2.5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20.5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51876.294442310929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-7.5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25.5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51901.794442310929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-7.2222223281860352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25.222222328186035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51927.016664639115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-3.0555555820465088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21.055555582046509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51948.072220221162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-1.1111111640930176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19.111111164093018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51967.183331385255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-2.5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20.5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51987.683331385255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-3.3333332538604736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21.333333253860474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52009.016664639115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-4.7222223281860352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22.722222328186035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52031.738886967301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-5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23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52054.738886967301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-5.2777776718139648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23.277777671813965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52078.016664639115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-3.6111111640930176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21.611111164093018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52099.627775803208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1.3888888359069824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16.611111164093018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52116.238886967301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4.1666665077209473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13.833333492279053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52130.07222045958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4.4444446563720703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13.55555534362793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52143.627775803208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-2.2222223281860352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20.222222328186035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52163.849998131394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-3.0555555820465088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21.055555582046509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52184.905553713441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-3.8888888359069824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21.888888835906982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52206.794442549348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-5.5555553436279297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23.55555534362793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52230.349997892976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-0.27777779102325439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18.277777791023254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52248.627775683999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3.6111111640930176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14.388888835906982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52263.016664519906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3.0555555820465088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14.944444417953491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52277.96110893786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3.0555555820465088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14.944444417953491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52292.905553355813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-5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52315.905553355813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-5.5555553436279297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23.55555534362793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52339.461108699441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-2.7777776718139648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20.777777671813965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52360.238886371255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-4.4444446563720703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22.44444465637207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52382.683331027627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-0.55555558204650879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18.555555582046509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52401.238886609674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1.1111111640930176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16.888888835906982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52418.12777544558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2.5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15.5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52433.62777544558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4.7222223281860352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13.277777671813965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52446.905553117394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5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13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52459.905553117394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4.4444446563720703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13.55555534362793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52473.461108461022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1.6666666269302368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16.333333373069763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52489.794441834092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0.55555558204650879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17.444444417953491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52507.238886252046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-3.0555555820465088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21.055555582046509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52528.294441834092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-5.2777776718139648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23.277777671813965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52551.572219505906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-3.8888888359069824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21.888888835906982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52573.461108341813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-1.3888888359069824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19.388888835906982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52592.84999717772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-5.8333334922790527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23.833333492279053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52616.683330669999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-6.9444446563720703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24.94444465637207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52641.627775326371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-5.2777776718139648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23.277777671813965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52664.905552998185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-5.2777776718139648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23.277777671813965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52688.183330669999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-2.7777776718139648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20.777777671813965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52708.961108341813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-2.7777776718139648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20.777777671813965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52729.738886013627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-3.6111111640930176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21.611111164093018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52751.34999717772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-6.6666665077209473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24.666666507720947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52776.016663685441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-6.6666665077209473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24.666666507720947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52800.683330193162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-8.6111106872558594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26.611110687255859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52827.294440880418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-13.333333015441895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31.333333015441895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52858.62777389586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-9.7222223281860352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27.722222328186035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52886.349996224046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-14.44444465637207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32.44444465637207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52918.794440880418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-17.222221374511719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35.222221374511719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52954.01666225493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-12.777777671813965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30.777777671813965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52984.794439926744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-15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53017.794439926744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-16.666666030883789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34.666666030883789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53052.461105957627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-11.666666984558105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29.666666984558105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53082.127772942185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-8.3333330154418945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26.333333015441895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53108.461105957627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-2.2222223281860352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20.222222328186035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53128.683328285813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-3.6111111640930176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21.611111164093018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53150.294439449906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-2.7777776718139648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20.777777671813965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53171.07221712172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0.27777779102325439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17.722222208976746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53188.794439330697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1.9444444179534912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16.055555582046509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53204.849994912744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1.1111111640930176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16.888888835906982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53221.738883748651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0.55555558204650879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17.444444417953491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53239.183328166604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0.27777779102325439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17.722222208976746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53256.905550375581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0.55555558204650879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17.444444417953491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53274.349994793534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0.55555558204650879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17.444444417953491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53291.794439211488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-1.3888888359069824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19.388888835906982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53311.183328047395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-3.6111111640930176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21.611111164093018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53332.794439211488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-2.7777776718139648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20.777777671813965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53353.572216883302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-2.7777776718139648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20.777777671813965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53374.349994555116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0.55555558204650879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17.444444417953491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53391.794438973069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0.27777779102325439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17.722222208976746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53409.516661182046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2.2222223281860352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15.777777671813965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53425.29443885386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4.1666665077209473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13.833333492279053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53439.127772346139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2.7777776718139648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15.222222328186035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53454.349994674325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-1.6666666269302368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19.666666626930237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53474.016661301255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-3.3333332538604736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21.333333253860474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53495.349994555116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-3.8888888359069824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21.888888835906982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53517.238883391023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-7.2222223281860352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25.222222328186035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53542.461105719209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-5.8333334922790527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23.833333492279053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53566.294439211488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-3.6111111640930176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21.611111164093018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53587.905550375581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-13.888889312744141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31.888889312744141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53619.794439688325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-12.5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30.5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53650.294439688325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-6.9444446563720703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24.94444465637207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53675.238884344697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-9.4444446563720703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27.44444465637207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53702.683329001069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-6.1111111640930176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24.111111164093018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53726.794440165162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0.83333331346511841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17.166666686534882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53743.961106851697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-0.55555558204650879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18.555555582046509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53762.516662433743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-12.777777671813965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30.777777671813965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53793.294440105557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-8.0555553436279297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26.05555534362793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53819.349995449185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-2.2222223281860352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20.222222328186035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53839.572217777371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-2.5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20.5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53860.072217777371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0.83333331346511841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17.166666686534882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53877.238884463906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-13.05555534362793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31.05555534362793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53908.294439807534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-11.94444465637207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29.94444465637207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53938.238884463906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0.55555558204650879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17.444444417953491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53955.68332888186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2.5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15.5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53971.18332888186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3.3333332538604736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14.666666746139526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53985.849995627999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7.5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10.5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53996.349995627999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1.3888888359069824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16.611111164093018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54012.961106792092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2.2222223281860352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15.777777671813965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54028.738884463906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1.1111111640930176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16.888888835906982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54045.627773299813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3.3333332538604736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14.666666746139526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54060.294440045953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-1.6666666269302368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19.666666626930237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54079.961106672883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-2.2222223281860352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20.222222328186035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54100.183329001069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3.3333332538604736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14.666666746139526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54114.849995747209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3.3333332538604736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14.666666746139526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54129.516662493348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4.4444446563720703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13.55555534362793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54143.072217836976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3.3333332538604736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14.666666746139526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54157.738884583116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2.7777776718139648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15.222222328186035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54172.961106911302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2.7777776718139648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15.222222328186035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54188.183329239488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-2.7777776718139648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20.777777671813965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54208.961106911302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-4.1666665077209473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22.166666507720947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54231.127773419023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-3.3333332538604736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21.333333253860474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54252.461106672883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-8.6111106872558594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26.611110687255859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54279.072217360139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-8.8888893127441406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26.888889312744141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54305.961106672883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-6.6666665077209473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24.666666507720947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54330.627773180604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-6.9444446563720703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24.94444465637207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54355.572217836976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-4.4444446563720703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22.44444465637207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54378.016662493348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1.6666666269302368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16.333333373069763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54394.349995866418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3.8888888359069824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14.111111164093018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54408.461107030511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-1.9444444179534912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19.944444417953491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54428.405551448464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-1.6666666269302368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19.666666626930237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54448.072218075395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-1.9444444179534912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19.944444417953491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54468.016662493348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-0.55555558204650879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18.555555582046509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54486.572218075395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1.3888888359069824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16.611111164093018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54503.183329239488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1.9444444179534912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16.055555582046509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54519.238884821534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5.2777776718139648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12.722222328186035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54531.96110714972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3.0555555820465088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14.944444417953491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54546.905551567674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2.5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15.5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54562.405551567674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4.4444446563720703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13.55555534362793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54575.961106911302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3.3333332538604736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14.666666746139526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54590.627773657441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4.4444446563720703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13.55555534362793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54604.183329001069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6.6666665077209473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11.333333492279053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54615.516662493348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8.3333330154418945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9.6666669845581055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54625.183329477906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10.277777671813965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7.7222223281860352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54632.905551806092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8.3333330154418945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9.6666669845581055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54642.57221879065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13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54655.57221879065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5.8333334922790527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12.166666507720947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54667.738885298371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5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13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54680.738885298371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4.7222223281860352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13.277777671813965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54694.016662970185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6.6666665077209473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11.333333492279053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54705.349996462464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4.7222223281860352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13.277777671813965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54718.627774134278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7.5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10.5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54729.127774134278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3.6111111640930176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14.388888835906982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54743.516662970185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0.27777779102325439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17.722222208976746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54761.238885179162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1.6666666269302368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16.333333373069763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54777.572218552232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7.2222223281860352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10.777777671813965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54788.349996224046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1.9444444179534912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16.055555582046509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54804.405551806092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-0.55555558204650879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18.555555582046509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54822.961107388139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3.0555555820465088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14.944444417953491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54837.905551806092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7.2222223281860352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10.777777671813965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54848.683329477906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12.5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54854.183329477906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7.5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10.5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54864.683329477906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4.4444446563720703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13.55555534362793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54878.238884821534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6.1111111640930176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11.888888835906982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54890.127773657441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7.5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10.5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54900.627773657441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10.277777671813965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7.7222223281860352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54908.349995985627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11.388889312744141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6.6111106872558594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54914.961106672883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11.94444465637207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6.0555553436279297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54921.016662016511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6.9444446563720703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11.05555534362793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54932.072217360139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11.111110687255859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6.8888893127441406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54938.961106672883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12.222222328186035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5.7777776718139648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54944.738884344697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12.5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5.5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54950.238884344697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11.666666984558105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6.3333330154418945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54956.572217360139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11.94444465637207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6.0555553436279297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54962.627772703767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8.3333330154418945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9.6666669845581055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54972.294439688325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8.0555553436279297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9.9444446563720703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54982.238884344697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8.8888893127441406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9.1111106872558594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54991.349995031953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8.6111106872558594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9.3888893127441406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55000.738884344697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10.55555534362793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7.4444446563720703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55008.183329001069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12.222222328186035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5.7777776718139648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55013.961106672883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16.111110687255859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1.8888893127441406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55015.849995985627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17.5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0.5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55016.349995985627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15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3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55019.349995985627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13.333333015441895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4.6666669845581055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55024.016662970185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18.05555534362793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0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55024.016662970185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13.333333015441895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4.6666669845581055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55028.683329954743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8.6111106872558594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9.3888893127441406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55038.072219267488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12.777777671813965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5.2222223281860352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55043.294441595674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13.05555534362793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4.9444446563720703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55048.238886252046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15.833333015441895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2.1666669845581055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55050.405553236604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14.44444465637207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3.5555553436279297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55053.961108580232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12.222222328186035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5.7777776718139648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55059.738886252046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8.8888893127441406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9.1111106872558594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55068.849996939301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11.666666984558105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6.3333330154418945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55075.183329954743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14.44444465637207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3.5555553436279297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55078.738885298371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17.222221374511719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0.77777862548828125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55079.51666392386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16.666666030883789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1.3333339691162109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55080.849997892976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16.94444465637207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1.0555553436279297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55081.905553236604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19.44444465637207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0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55081.905553236604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17.222221374511719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0.77777862548828125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55082.683331862092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15.55555534362793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2.4444446563720703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55085.127776518464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9.1666669845581055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8.8333330154418945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55093.961109533906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13.333333015441895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4.6666669845581055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55098.627776518464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10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8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55106.627776518464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8.8888893127441406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9.1111106872558594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55115.73888720572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13.888889312744141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4.1111106872558594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55119.849997892976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20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0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55119.849997892976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16.388889312744141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1.6111106872558594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55121.461108580232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12.5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5.5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55126.961108580232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13.333333015441895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4.6666669845581055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55131.62777556479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14.44444465637207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3.5555553436279297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55135.183330908418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19.722221374511719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0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55135.183330908418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25.833333969116211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0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55135.183330908418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20.833333969116211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0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55135.183330908418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18.611110687255859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0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55135.183330908418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17.222221374511719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0.77777862548828125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55135.961109533906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15.55555534362793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2.4444446563720703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55138.405554190278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17.5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0.5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55138.905554190278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19.722221374511719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55138.905554190278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19.166666030883789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0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55138.905554190278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13.611110687255859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4.3888893127441406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55143.294443503022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14.44444465637207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3.5555553436279297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55146.84999884665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13.888889312744141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4.1111106872558594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55150.961109533906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17.5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0.5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55151.461109533906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11.111110687255859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6.8888893127441406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55158.34999884665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18.05555534362793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0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55158.34999884665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17.777778625488281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0.22222137451171875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55158.572220221162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19.166666030883789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55158.572220221162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18.888889312744141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55158.572220221162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16.666666030883789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1.3333339691162109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55159.905554190278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17.5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0.5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55160.405554190278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20.277778625488281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55160.405554190278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22.222221374511719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55160.405554190278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20.833333969116211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55160.405554190278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20.277778625488281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55160.405554190278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20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55160.405554190278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21.388889312744141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55160.405554190278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23.05555534362793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55160.405554190278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22.777778625488281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0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55160.405554190278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22.777778625488281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55160.405554190278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17.777778625488281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0.22222137451171875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55160.62777556479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15.833333015441895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2.1666669845581055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55162.794442549348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15.277777671813965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2.7222223281860352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55165.516664877534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18.333333969116211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55165.516664877534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17.777778625488281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0.22222137451171875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55165.738886252046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16.388889312744141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1.6111106872558594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55167.349996939301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18.333333969116211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0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55167.349996939301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16.666666030883789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1.3333339691162109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55168.683330908418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16.94444465637207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1.0555553436279297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55169.738886252046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16.388889312744141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1.6111106872558594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55171.349996939301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18.611110687255859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55171.349996939301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19.722221374511719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55171.349996939301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21.666666030883789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55171.349996939301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24.166666030883789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55171.349996939301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22.777778625488281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55171.349996939301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21.94444465637207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55171.349996939301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22.5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55171.349996939301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23.333333969116211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55171.349996939301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22.5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55171.349996939301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19.722221374511719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0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55171.349996939301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18.611110687255859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55171.349996939301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18.333333969116211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55171.349996939301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18.611110687255859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55171.349996939301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18.05555534362793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0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55171.349996939301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16.111110687255859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1.8888893127441406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55173.238886252046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15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3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55176.238886252046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15.277777671813965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2.7222223281860352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55178.961108580232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18.333333969116211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55178.961108580232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19.44444465637207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55178.961108580232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20.833333969116211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55178.961108580232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20.833333969116211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55178.961108580232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18.888889312744141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55178.961108580232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21.388889312744141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55178.961108580232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18.05555534362793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0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55178.961108580232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13.05555534362793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4.9444446563720703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55183.905553236604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13.888889312744141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4.1111106872558594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55188.01666392386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15.277777671813965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2.7222223281860352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55190.738886252046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16.111110687255859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1.8888893127441406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55192.62777556479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18.888889312744141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55192.62777556479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20.55555534362793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55192.62777556479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21.388889312744141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55192.62777556479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23.333333969116211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55192.62777556479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19.722221374511719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0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55192.62777556479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15.55555534362793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2.4444446563720703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55195.072220221162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16.94444465637207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1.0555553436279297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55196.12777556479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16.94444465637207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1.0555553436279297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55197.183330908418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18.05555534362793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0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55197.183330908418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11.94444465637207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6.0555553436279297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55203.238886252046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12.777777671813965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5.2222223281860352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55208.461108580232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16.388889312744141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1.6111106872558594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55210.072219267488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18.05555534362793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0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55210.072219267488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16.94444465637207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1.0555553436279297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55211.127774611115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9.1666669845581055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8.8333330154418945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55219.961107626557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9.1666669845581055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8.8333330154418945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55228.794440641999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3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55231.794440641999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14.44444465637207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3.5555553436279297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55235.349995985627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16.111110687255859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1.8888893127441406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55237.238885298371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0.5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55237.738885298371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19.166666030883789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55237.738885298371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19.44444465637207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55237.738885298371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18.611110687255859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55237.738885298371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19.722221374511719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55237.738885298371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20.277778625488281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55237.738885298371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19.166666030883789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55237.738885298371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18.333333969116211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55237.738885298371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19.722221374511719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55237.738885298371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19.44444465637207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0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55237.738885298371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19.44444465637207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0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55237.738885298371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13.611110687255859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4.3888893127441406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55242.127774611115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13.05555534362793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4.9444446563720703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55247.072219267488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12.5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5.5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55252.572219267488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14.166666984558105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3.8333330154418945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55256.405552282929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16.111110687255859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1.8888893127441406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55258.294441595674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16.666666030883789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1.3333339691162109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55259.62777556479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17.222221374511719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0.77777862548828125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55260.405554190278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16.666666030883789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1.3333339691162109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55261.738888159394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15.277777671813965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2.7222223281860352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55264.46111048758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10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8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55272.46111048758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10.833333015441895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7.1666669845581055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55279.627777472138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12.222222328186035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5.7777776718139648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55285.405555143952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10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8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55293.405555143952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11.94444465637207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6.0555553436279297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55299.46111048758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12.222222328186035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5.7777776718139648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55305.238888159394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8.3333330154418945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9.6666669845581055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55314.905555143952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7.5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10.5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55325.405555143952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5.8333334922790527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12.166666507720947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55337.572221651673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7.5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10.5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55348.072221651673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11.94444465637207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6.0555553436279297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55354.127776995301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6.6666665077209473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11.333333492279053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55365.46111048758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8.0555553436279297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9.9444446563720703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55375.405555143952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5.2777776718139648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12.722222328186035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55388.127777472138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5.8333334922790527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12.166666507720947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55400.294443979859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4.7222223281860352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13.277777671813965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55413.572221651673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8.3333330154418945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9.6666669845581055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55423.238888636231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9.7222223281860352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8.2777776718139648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55431.516666308045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10.55555534362793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7.4444446563720703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55438.961110964417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13.333333015441895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4.6666669845581055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55443.627777948976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13.888889312744141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4.1111106872558594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55447.738888636231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15.833333015441895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2.1666669845581055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55449.90555562079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5.5555553436279297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12.44444465637207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55462.350000277162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7.2222223281860352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10.777777671813965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55473.127777948976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7.5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10.5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55483.627777948976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3.6111111640930176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14.388888835906982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55498.016666784883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5.2777776718139648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12.722222328186035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55510.738889113069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7.2222223281860352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10.777777671813965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55521.516666784883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15.277777671813965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2.7222223281860352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55524.238889113069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15.277777671813965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2.7222223281860352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55526.961111441255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5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13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55539.961111441255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1.1111111640930176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16.888888835906982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55556.850000277162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2.2222223281860352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15.777777671813965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55572.627777948976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6.1111111640930176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11.888888835906982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55584.516666784883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12.777777671813965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5.2222223281860352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55589.738889113069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10.277777671813965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7.7222223281860352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55597.461111441255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4.7222223281860352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13.277777671813965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55610.738889113069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5.8333334922790527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12.166666507720947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55622.90555562079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3.0555555820465088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14.944444417953491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55637.850000038743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3.0555555820465088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14.944444417953491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55652.794444456697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7.2222223281860352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10.777777671813965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55663.57222212851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2.2222223281860352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15.777777671813965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55679.349999800324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1.3888888359069824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16.611111164093018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55695.961110964417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5.8333334922790527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12.166666507720947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55708.127777472138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3.8888888359069824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14.111111164093018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55722.238888636231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3.6111111640930176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14.388888835906982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55736.627777472138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5.8333334922790527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12.166666507720947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55748.794443979859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6.3888888359069824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11.611111164093018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55760.405555143952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5.5555553436279297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12.44444465637207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55772.849999800324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6.6666665077209473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11.333333492279053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55784.183333292603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4.7222223281860352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13.277777671813965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55797.461110964417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4.1666665077209473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13.833333492279053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55811.294444456697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5.2777776718139648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12.722222328186035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55824.016666784883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2.2222223281860352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15.777777671813965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55839.794444456697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-1.3888888359069824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19.388888835906982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55859.183333292603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-1.1111111640930176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19.111111164093018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55878.294444456697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-0.83333331346511841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18.833333313465118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55897.127777770162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-1.1111111640930176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19.111111164093018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55916.238888934255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-1.9444444179534912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19.944444417953491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55936.183333352208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-2.5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20.5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55956.683333352208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-5.5555553436279297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23.55555534362793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55980.238888695836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-8.3333330154418945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26.333333015441895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56006.572221711278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-6.9444446563720703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24.94444465637207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56031.51666636765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-5.2777776718139648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23.277777671813965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56054.794444039464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-4.7222223281860352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22.722222328186035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56077.51666636765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-8.8888893127441406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26.888889312744141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56104.405555680394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-4.4444446563720703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22.44444465637207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56126.850000336766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-1.6666666269302368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19.666666626930237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56146.516666963696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-1.9444444179534912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19.944444417953491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56166.46111138165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-1.1111111640930176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19.111111164093018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56185.572222545743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-3.0555555820465088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21.055555582046509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56206.627778127789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-6.6666665077209473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24.666666507720947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56231.29444463551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-10.833333015441895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28.833333015441895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56260.127777650952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-10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28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56288.127777650952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-6.6666665077209473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24.666666507720947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56312.794444158673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1.3888888359069824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16.611111164093018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56329.405555322766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2.7777776718139648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15.222222328186035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56344.627777650952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-0.27777779102325439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18.277777791023254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56362.905555441976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-7.2222223281860352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25.222222328186035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56388.127777770162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-10.55555534362793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28.55555534362793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56416.68333311379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-12.222222328186035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30.222222328186035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56446.905555441976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-17.5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35.5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56482.405555441976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-10.833333015441895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28.833333015441895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56511.238888457417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-3.6111111640930176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21.611111164093018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56532.849999621511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-5.8333334922790527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23.833333492279053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56556.68333311379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-1.9444444179534912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19.944444417953491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56576.627777531743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-0.83333331346511841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18.833333313465118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56595.461110845208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2.2222223281860352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15.777777671813965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56611.238888517022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3.0555555820465088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14.944444417953491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56626.183332934976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1.9444444179534912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16.055555582046509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56642.238888517022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1.3888888359069824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16.611111164093018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56658.849999681115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0.55555558204650879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17.444444417953491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56676.294444099069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-1.6666666269302368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19.666666626930237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56695.961110725999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-5.2777776718139648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23.277777671813965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56719.238888397813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-8.0555553436279297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26.05555534362793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56745.294443741441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-7.5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25.5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56770.794443741441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-10.277777671813965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28.277777671813965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56799.072221413255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-10.55555534362793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28.55555534362793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56827.627776756883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-15.833333015441895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33.833333015441895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56861.461109772325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-19.722221374511719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37.722221374511719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56899.183331146836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-15.277777671813965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33.277777671813965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56932.46110881865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-4.1666665077209473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22.166666507720947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56954.627775326371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-3.6111111640930176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21.611111164093018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56976.238886490464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-3.3333332538604736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21.333333253860474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56997.572219744325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-8.8888893127441406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26.888889312744141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57024.461109057069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-10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28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57052.461109057069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-7.2222223281860352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25.222222328186035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57077.683331385255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-3.8888888359069824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21.888888835906982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57099.572220221162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-2.5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20.5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57120.072220221162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-16.111110687255859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34.111110687255859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57154.183330908418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-20.833333969116211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38.833333969116211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57193.016664877534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-20.55555534362793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38.55555534362793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57231.572220221162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-20.55555534362793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38.55555534362793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57270.12777556479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-12.222222328186035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30.222222328186035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57300.349997892976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-14.166666984558105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32.166666984558105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57332.516664877534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-11.666666984558105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29.666666984558105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57362.183331862092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-4.4444446563720703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22.44444465637207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57384.627776518464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-4.7222223281860352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22.722222328186035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57407.34999884665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-10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28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57435.34999884665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-11.388889312744141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29.388889312744141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57464.738888159394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-10.833333015441895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28.833333015441895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57493.572221174836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-6.3888888359069824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24.388888835906982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57517.961110010743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-10.833333015441895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28.833333015441895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57546.794443026185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-16.666666030883789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34.666666030883789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57581.461109057069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-5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23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57604.461109057069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-7.5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25.5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57629.961109057069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-10.55555534362793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28.55555534362793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57658.516664400697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-8.8888893127441406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26.888889312744141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57685.405553713441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-7.7777776718139648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25.777777671813965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57711.183331385255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-9.7222223281860352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27.722222328186035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57738.905553713441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-9.1666669845581055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27.166666984558105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57766.072220697999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-9.7222223281860352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27.722222328186035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57793.794443026185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-13.888889312744141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31.888889312744141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57825.683332338929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-16.94444465637207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34.94444465637207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57860.627776995301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-13.611110687255859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31.611110687255859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57892.238887682557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-11.666666984558105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29.666666984558105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57921.905554667115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-12.222222328186035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30.222222328186035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57952.127776995301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-6.9444446563720703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24.94444465637207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57977.072221651673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-15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33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58010.072221651673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-18.05555534362793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36.05555534362793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58046.127776995301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-14.166666984558105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32.166666984558105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58078.294443979859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-13.333333015441895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31.333333015441895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58109.627776995301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-13.888889312744141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31.888889312744141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58141.516666308045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-11.666666984558105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29.666666984558105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58171.183333292603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-4.4444446563720703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22.44444465637207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58193.627777948976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-2.5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20.5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58214.127777948976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3.0555555820465088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14.944444417953491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58229.072222366929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-2.2222223281860352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20.222222328186035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58249.294444695115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-1.9444444179534912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19.944444417953491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58269.238889113069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-3.6111111640930176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21.611111164093018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58290.850000277162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-12.777777671813965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30.777777671813965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58321.627777948976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-15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33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58354.627777948976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-11.388889312744141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29.388889312744141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58384.01666726172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-2.5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20.5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58404.51666726172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0.27777779102325439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17.722222208976746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58422.238889470696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23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58445.238889470696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-7.5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25.5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58470.738889470696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-8.0555553436279297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26.05555534362793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58496.794444814324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-7.2222223281860352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25.222222328186035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58522.01666714251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0.27777779102325439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17.722222208976746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58539.738889351487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0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18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58557.738889351487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-6.1111111640930176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24.111111164093018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58581.85000051558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-3.3333332538604736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21.333333253860474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58603.183333769441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0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18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58621.183333769441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3.3333332538604736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14.666666746139526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58635.85000051558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5.2777776718139648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12.722222328186035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58648.572222843766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-6.1111111640930176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24.111111164093018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58672.683334007859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-5.5555553436279297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23.55555534362793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58696.238889351487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3.3333332538604736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14.666666746139526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58710.905556097627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1.1111111640930176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16.888888835906982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58727.794444933534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-4.7222223281860352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22.722222328186035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58750.51666726172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-1.9444444179534912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19.944444417953491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58770.461111679673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-11.111110687255859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29.111110687255859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58799.572222366929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-6.9444446563720703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24.94444465637207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58824.516667023301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-1.3888888359069824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19.388888835906982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58843.905555859208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-8.0555553436279297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26.05555534362793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58869.961111202836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-2.7777776718139648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20.777777671813965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58890.73888887465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0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18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58908.73888887465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-3.0555555820465088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21.055555582046509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58929.794444456697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0.27777779102325439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17.722222208976746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58947.516666665673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-3.0555555820465088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21.055555582046509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58968.57222224772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-7.2222223281860352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25.222222328186035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58993.794444575906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-5.8333334922790527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23.833333492279053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59017.627778068185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-0.83333331346511841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18.833333313465118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59036.46111138165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2.7777776718139648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15.222222328186035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59051.683333709836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3.8888888359069824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14.111111164093018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59065.794444873929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0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18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59083.794444873929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-0.55555558204650879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18.555555582046509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59102.350000455976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-5.8333334922790527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23.833333492279053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59126.183333948255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-7.5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25.5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59151.683333948255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-4.1666665077209473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22.166666507720947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59173.850000455976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0.83333331346511841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17.166666686534882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59191.01666714251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1.6666666269302368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16.333333373069763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59207.35000051558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4.7222223281860352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13.277777671813965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59220.627778187394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6.9444446563720703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11.05555534362793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59231.683333531022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4.4444446563720703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13.55555534362793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59245.23888887465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-0.55555558204650879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18.555555582046509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59263.794444456697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-1.3888888359069824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19.388888835906982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59283.183333292603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1.6666666269302368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16.333333373069763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59299.516666665673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6.3888888359069824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11.611111164093018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59311.127777829766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0.27777779102325439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17.722222208976746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59328.850000038743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3.0555555820465088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14.944444417953491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59343.794444456697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4.1666665077209473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13.833333492279053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59357.627777948976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4.1666665077209473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13.833333492279053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59371.461111441255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6.6666665077209473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11.333333492279053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59382.794444933534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4.7222223281860352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13.277777671813965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59396.072222605348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6.1111111640930176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11.888888835906982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59407.961111441255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13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59420.961111441255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8.3333330154418945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9.6666669845581055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59430.627778425813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14.722222328186035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3.2777776718139648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59433.905556097627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7.5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10.5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59444.405556097627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2.7777776718139648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15.222222328186035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59459.627778425813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4.4444446563720703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13.55555534362793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59473.183333769441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3.6111111640930176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14.388888835906982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59487.572222605348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5.5555553436279297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12.44444465637207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59500.01666726172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10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8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59508.01666726172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14.166666984558105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3.8333330154418945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59511.850000277162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14.722222328186035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3.2777776718139648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59515.127777948976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7.7777776718139648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10.222222328186035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59525.350000277162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5.8333334922790527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12.166666507720947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59537.516666784883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10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8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59545.516666784883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7.2222223281860352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10.777777671813965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59556.294444456697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13.611110687255859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4.3888893127441406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59560.683333769441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16.388889312744141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1.6111106872558594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59562.294444456697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20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0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59562.294444456697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16.111110687255859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1.8888893127441406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59564.183333769441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18.888889312744141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0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59564.183333769441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19.44444465637207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0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59564.183333769441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13.611110687255859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4.3888893127441406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59568.572223082185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6.9444446563720703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11.05555534362793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59579.627778425813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7.5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10.5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59590.127778425813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9.7222223281860352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8.2777776718139648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59598.405556097627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11.666666984558105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6.3333330154418945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59604.738889113069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9.7222223281860352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8.2777776718139648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59613.016666784883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8.0555553436279297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9.9444446563720703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59622.961111441255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8.6111106872558594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9.3888893127441406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59632.350000753999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9.4444446563720703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8.5555553436279297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59640.905556097627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13.333333015441895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4.6666669845581055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59645.572223082185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14.166666984558105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3.8333330154418945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59649.405556097627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15.833333015441895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2.1666669845581055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59651.572223082185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13.333333015441895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4.6666669845581055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59656.238890066743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9.7222223281860352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8.2777776718139648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59664.516667738557</v>
      </c>
    </row>
  </sheetData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Undertaking xmlns="f2f4215f-2a30-4ada-8344-25359f31a5ac" xsi:nil="true"/>
    <_dlc_DocId xmlns="bc9be6ef-036f-4d38-ab45-2a4da0c93cb0">C6U45NHNYSXQ-1603545759-311</_dlc_DocId>
    <_dlc_DocIdUrl xmlns="bc9be6ef-036f-4d38-ab45-2a4da0c93cb0">
      <Url>https://enbridge.sharepoint.com/teams/EB-2022-02002024Rebasing/_layouts/15/DocIdRedir.aspx?ID=C6U45NHNYSXQ-1603545759-311</Url>
      <Description>C6U45NHNYSXQ-1603545759-311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30B9FE-1508-4E63-AB54-8BF3DE9A35F3}">
  <ds:schemaRefs>
    <ds:schemaRef ds:uri="http://schemas.microsoft.com/sharepoint/v3"/>
    <ds:schemaRef ds:uri="f2f4215f-2a30-4ada-8344-25359f31a5a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c9be6ef-036f-4d38-ab45-2a4da0c93cb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18EF5E-78C3-48FA-9434-A59E49FFF1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928286-AA6D-4D34-8D0F-2859FBC6488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DDA1A38-48A3-41EB-8D25-7283B75D0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9be6ef-036f-4d38-ab45-2a4da0c93cb0"/>
    <ds:schemaRef ds:uri="f2f4215f-2a30-4ada-8344-25359f31a5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Renaud</dc:creator>
  <cp:keywords/>
  <dc:description/>
  <cp:lastModifiedBy>Monica Renaud</cp:lastModifiedBy>
  <cp:revision/>
  <dcterms:created xsi:type="dcterms:W3CDTF">2025-04-16T14:14:55Z</dcterms:created>
  <dcterms:modified xsi:type="dcterms:W3CDTF">2025-08-01T13:57:11Z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0x010100B6953C2E73E7484291599BAF42EEC68E</vt:lpwstr>
  </property>
  <property fmtid="{D5CDD505-2E9C-101B-9397-08002B2CF9AE}" pid="3" name="_dlc_DocIdItemGuid">
    <vt:lpwstr>7956c31a-9f10-4b8a-8554-b34ac97c04ab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2025-06-20T15:24:39Z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4701d1e9-a58e-42d9-9e4e-0e17d3bc8c67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