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mrenaud_spectraenergy_com/Documents/20250801 Live Excel/"/>
    </mc:Choice>
  </mc:AlternateContent>
  <xr:revisionPtr revIDLastSave="2" documentId="6_{AA83E9B0-C9AA-44B4-A1B5-CD3305D2DACC}" xr6:coauthVersionLast="47" xr6:coauthVersionMax="47" xr10:uidLastSave="{200FF5AC-EC2A-477A-9AAE-F22FCAB78033}"/>
  <bookViews>
    <workbookView xWindow="57480" yWindow="-105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O52" i="4" s="1"/>
  <c r="I51" i="4"/>
  <c r="O51" i="4" s="1"/>
  <c r="I50" i="4"/>
  <c r="J50" i="4" s="1"/>
  <c r="R50" i="4" s="1"/>
  <c r="I49" i="4"/>
  <c r="I48" i="4"/>
  <c r="I47" i="4"/>
  <c r="I46" i="4"/>
  <c r="I45" i="4"/>
  <c r="I44" i="4"/>
  <c r="I43" i="4"/>
  <c r="I42" i="4"/>
  <c r="I41" i="4"/>
  <c r="I40" i="4"/>
  <c r="J40" i="4" s="1"/>
  <c r="R40" i="4" s="1"/>
  <c r="I39" i="4"/>
  <c r="N39" i="4" s="1"/>
  <c r="AA39" i="4" s="1"/>
  <c r="AE39" i="4" s="1"/>
  <c r="AI39" i="4" s="1"/>
  <c r="I38" i="4"/>
  <c r="J38" i="4" s="1"/>
  <c r="R38" i="4" s="1"/>
  <c r="I37" i="4"/>
  <c r="P37" i="4" s="1"/>
  <c r="Q37" i="4" s="1"/>
  <c r="I36" i="4"/>
  <c r="P36" i="4" s="1"/>
  <c r="Q36" i="4" s="1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M38" i="4" s="1"/>
  <c r="H38" i="4"/>
  <c r="H37" i="4"/>
  <c r="M36" i="4" s="1"/>
  <c r="H36" i="4"/>
  <c r="H35" i="4"/>
  <c r="H34" i="4"/>
  <c r="H33" i="4"/>
  <c r="H3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AA59" i="4" s="1"/>
  <c r="AE59" i="4" s="1"/>
  <c r="AI59" i="4" s="1"/>
  <c r="M59" i="4"/>
  <c r="J59" i="4"/>
  <c r="R59" i="4" s="1"/>
  <c r="T59" i="4" s="1"/>
  <c r="N58" i="4"/>
  <c r="AA58" i="4" s="1"/>
  <c r="AE58" i="4" s="1"/>
  <c r="AI58" i="4" s="1"/>
  <c r="N56" i="4"/>
  <c r="N55" i="4"/>
  <c r="AA55" i="4" s="1"/>
  <c r="AE55" i="4" s="1"/>
  <c r="AI55" i="4" s="1"/>
  <c r="N54" i="4"/>
  <c r="J54" i="4"/>
  <c r="R54" i="4" s="1"/>
  <c r="U54" i="4" s="1"/>
  <c r="P54" i="4"/>
  <c r="Q54" i="4" s="1"/>
  <c r="O53" i="4"/>
  <c r="J49" i="4"/>
  <c r="R49" i="4" s="1"/>
  <c r="P48" i="4"/>
  <c r="Q48" i="4" s="1"/>
  <c r="P47" i="4"/>
  <c r="Q47" i="4" s="1"/>
  <c r="M44" i="4"/>
  <c r="O44" i="4"/>
  <c r="P43" i="4"/>
  <c r="Q43" i="4" s="1"/>
  <c r="O43" i="4"/>
  <c r="J43" i="4"/>
  <c r="R43" i="4" s="1"/>
  <c r="M42" i="4"/>
  <c r="N42" i="4"/>
  <c r="AA42" i="4" s="1"/>
  <c r="AE42" i="4" s="1"/>
  <c r="AI42" i="4" s="1"/>
  <c r="N41" i="4"/>
  <c r="AA41" i="4" s="1"/>
  <c r="AE41" i="4" s="1"/>
  <c r="AI41" i="4" s="1"/>
  <c r="M40" i="4"/>
  <c r="N40" i="4"/>
  <c r="Z40" i="4" s="1"/>
  <c r="AD40" i="4" s="1"/>
  <c r="AH40" i="4" s="1"/>
  <c r="P35" i="4"/>
  <c r="Q35" i="4" s="1"/>
  <c r="O35" i="4"/>
  <c r="P34" i="4"/>
  <c r="Q34" i="4" s="1"/>
  <c r="M33" i="4"/>
  <c r="O33" i="4"/>
  <c r="J33" i="4"/>
  <c r="R33" i="4" s="1"/>
  <c r="P33" i="4"/>
  <c r="Q33" i="4" s="1"/>
  <c r="P32" i="4"/>
  <c r="Q32" i="4" s="1"/>
  <c r="O32" i="4"/>
  <c r="N32" i="4"/>
  <c r="Y32" i="4" s="1"/>
  <c r="AC32" i="4" s="1"/>
  <c r="AG32" i="4" s="1"/>
  <c r="M32" i="4"/>
  <c r="J32" i="4"/>
  <c r="R32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4" i="3"/>
  <c r="C17" i="6" s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J37" i="4"/>
  <c r="R37" i="4" s="1"/>
  <c r="W37" i="4" s="1"/>
  <c r="P67" i="4"/>
  <c r="Q67" i="4" s="1"/>
  <c r="P81" i="4"/>
  <c r="Q81" i="4" s="1"/>
  <c r="J92" i="4"/>
  <c r="R92" i="4" s="1"/>
  <c r="T92" i="4" s="1"/>
  <c r="N37" i="4"/>
  <c r="Y37" i="4" s="1"/>
  <c r="AC37" i="4" s="1"/>
  <c r="AG37" i="4" s="1"/>
  <c r="O50" i="4"/>
  <c r="O37" i="4"/>
  <c r="O40" i="4"/>
  <c r="J51" i="4"/>
  <c r="R51" i="4" s="1"/>
  <c r="V51" i="4" s="1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Y51" i="4" s="1"/>
  <c r="AC51" i="4" s="1"/>
  <c r="AG51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AA32" i="4"/>
  <c r="AE32" i="4" s="1"/>
  <c r="AI32" i="4" s="1"/>
  <c r="Y58" i="4"/>
  <c r="AC58" i="4" s="1"/>
  <c r="AG58" i="4" s="1"/>
  <c r="Z42" i="4"/>
  <c r="AD42" i="4" s="1"/>
  <c r="AH42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V49" i="4"/>
  <c r="W49" i="4"/>
  <c r="AA83" i="4"/>
  <c r="AE83" i="4" s="1"/>
  <c r="AI83" i="4" s="1"/>
  <c r="Z83" i="4"/>
  <c r="AD83" i="4" s="1"/>
  <c r="AH83" i="4" s="1"/>
  <c r="M128" i="4"/>
  <c r="M58" i="4"/>
  <c r="M106" i="4"/>
  <c r="M54" i="4"/>
  <c r="V40" i="4"/>
  <c r="W40" i="4"/>
  <c r="U40" i="4"/>
  <c r="T40" i="4"/>
  <c r="Y63" i="4"/>
  <c r="AC63" i="4" s="1"/>
  <c r="AG63" i="4" s="1"/>
  <c r="AA63" i="4"/>
  <c r="AE63" i="4" s="1"/>
  <c r="AI63" i="4" s="1"/>
  <c r="Z63" i="4"/>
  <c r="AD63" i="4" s="1"/>
  <c r="AH63" i="4" s="1"/>
  <c r="T124" i="4"/>
  <c r="Z37" i="4"/>
  <c r="AD37" i="4" s="1"/>
  <c r="AH37" i="4" s="1"/>
  <c r="P41" i="4"/>
  <c r="Q41" i="4" s="1"/>
  <c r="N53" i="4"/>
  <c r="AA53" i="4" s="1"/>
  <c r="AE53" i="4" s="1"/>
  <c r="AI53" i="4" s="1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Z41" i="4"/>
  <c r="AD41" i="4" s="1"/>
  <c r="AH41" i="4" s="1"/>
  <c r="P53" i="4"/>
  <c r="Q53" i="4" s="1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J44" i="4"/>
  <c r="R44" i="4" s="1"/>
  <c r="T44" i="4" s="1"/>
  <c r="J48" i="4"/>
  <c r="R48" i="4" s="1"/>
  <c r="W48" i="4" s="1"/>
  <c r="N50" i="4"/>
  <c r="Z50" i="4" s="1"/>
  <c r="AD50" i="4" s="1"/>
  <c r="AH50" i="4" s="1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Z32" i="4"/>
  <c r="AD32" i="4" s="1"/>
  <c r="AH32" i="4" s="1"/>
  <c r="M48" i="4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Z38" i="4" s="1"/>
  <c r="AD38" i="4" s="1"/>
  <c r="AH38" i="4" s="1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38" i="4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38" i="4"/>
  <c r="Q38" i="4" s="1"/>
  <c r="Y42" i="4"/>
  <c r="AC42" i="4" s="1"/>
  <c r="AG42" i="4" s="1"/>
  <c r="P52" i="4"/>
  <c r="Q52" i="4" s="1"/>
  <c r="P62" i="4"/>
  <c r="Q62" i="4" s="1"/>
  <c r="N128" i="4"/>
  <c r="AA128" i="4" s="1"/>
  <c r="AE128" i="4" s="1"/>
  <c r="AI128" i="4" s="1"/>
  <c r="J53" i="4"/>
  <c r="R53" i="4" s="1"/>
  <c r="U53" i="4" s="1"/>
  <c r="P98" i="4"/>
  <c r="Q98" i="4" s="1"/>
  <c r="O54" i="4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AA33" i="4" s="1"/>
  <c r="AE33" i="4" s="1"/>
  <c r="AI33" i="4" s="1"/>
  <c r="P49" i="4"/>
  <c r="Q49" i="4" s="1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J41" i="4"/>
  <c r="R41" i="4" s="1"/>
  <c r="V41" i="4" s="1"/>
  <c r="N43" i="4"/>
  <c r="Z43" i="4" s="1"/>
  <c r="AD43" i="4" s="1"/>
  <c r="AH43" i="4" s="1"/>
  <c r="U49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T43" i="4"/>
  <c r="W43" i="4"/>
  <c r="V43" i="4"/>
  <c r="U43" i="4"/>
  <c r="M49" i="4"/>
  <c r="V91" i="4"/>
  <c r="T91" i="4"/>
  <c r="W91" i="4"/>
  <c r="U91" i="4"/>
  <c r="W32" i="4"/>
  <c r="V32" i="4"/>
  <c r="U32" i="4"/>
  <c r="T32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U38" i="4"/>
  <c r="W38" i="4"/>
  <c r="V38" i="4"/>
  <c r="T38" i="4"/>
  <c r="M45" i="4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M53" i="4"/>
  <c r="W60" i="4"/>
  <c r="V60" i="4"/>
  <c r="T60" i="4"/>
  <c r="U60" i="4"/>
  <c r="M43" i="4"/>
  <c r="O69" i="4"/>
  <c r="P69" i="4"/>
  <c r="Q69" i="4" s="1"/>
  <c r="N69" i="4"/>
  <c r="AA43" i="4"/>
  <c r="AE43" i="4" s="1"/>
  <c r="AI43" i="4" s="1"/>
  <c r="Y43" i="4"/>
  <c r="AC43" i="4" s="1"/>
  <c r="AG43" i="4" s="1"/>
  <c r="M56" i="4"/>
  <c r="W69" i="4"/>
  <c r="V69" i="4"/>
  <c r="T69" i="4"/>
  <c r="U69" i="4"/>
  <c r="M93" i="4"/>
  <c r="V50" i="4"/>
  <c r="W50" i="4"/>
  <c r="U50" i="4"/>
  <c r="T50" i="4"/>
  <c r="M109" i="4"/>
  <c r="M50" i="4"/>
  <c r="AA56" i="4"/>
  <c r="AE56" i="4" s="1"/>
  <c r="AI56" i="4" s="1"/>
  <c r="Z56" i="4"/>
  <c r="AD56" i="4" s="1"/>
  <c r="AH56" i="4" s="1"/>
  <c r="Y56" i="4"/>
  <c r="AC56" i="4" s="1"/>
  <c r="AG56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J46" i="4"/>
  <c r="R46" i="4" s="1"/>
  <c r="P46" i="4"/>
  <c r="Q46" i="4" s="1"/>
  <c r="O46" i="4"/>
  <c r="N46" i="4"/>
  <c r="V37" i="4"/>
  <c r="U37" i="4"/>
  <c r="T37" i="4"/>
  <c r="M69" i="4"/>
  <c r="M76" i="4"/>
  <c r="W92" i="4"/>
  <c r="V92" i="4"/>
  <c r="U92" i="4"/>
  <c r="P31" i="4"/>
  <c r="Q31" i="4" s="1"/>
  <c r="O31" i="4"/>
  <c r="N31" i="4"/>
  <c r="J31" i="4"/>
  <c r="R31" i="4" s="1"/>
  <c r="M37" i="4"/>
  <c r="M62" i="4"/>
  <c r="M34" i="4"/>
  <c r="N57" i="4"/>
  <c r="J57" i="4"/>
  <c r="R57" i="4" s="1"/>
  <c r="P57" i="4"/>
  <c r="Q57" i="4" s="1"/>
  <c r="O57" i="4"/>
  <c r="W100" i="4"/>
  <c r="V100" i="4"/>
  <c r="U100" i="4"/>
  <c r="T100" i="4"/>
  <c r="W33" i="4"/>
  <c r="V33" i="4"/>
  <c r="U33" i="4"/>
  <c r="T33" i="4"/>
  <c r="M47" i="4"/>
  <c r="V63" i="4"/>
  <c r="U63" i="4"/>
  <c r="T63" i="4"/>
  <c r="W63" i="4"/>
  <c r="V75" i="4"/>
  <c r="T75" i="4"/>
  <c r="W75" i="4"/>
  <c r="U75" i="4"/>
  <c r="M131" i="4"/>
  <c r="J36" i="4"/>
  <c r="R36" i="4" s="1"/>
  <c r="J39" i="4"/>
  <c r="R39" i="4" s="1"/>
  <c r="O41" i="4"/>
  <c r="M51" i="4"/>
  <c r="Y55" i="4"/>
  <c r="AC55" i="4" s="1"/>
  <c r="AG55" i="4" s="1"/>
  <c r="U59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Z55" i="4"/>
  <c r="AD55" i="4" s="1"/>
  <c r="AH55" i="4" s="1"/>
  <c r="V59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Y40" i="4"/>
  <c r="AC40" i="4" s="1"/>
  <c r="AG40" i="4" s="1"/>
  <c r="W59" i="4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J35" i="4"/>
  <c r="R35" i="4" s="1"/>
  <c r="O39" i="4"/>
  <c r="J42" i="4"/>
  <c r="R42" i="4" s="1"/>
  <c r="N44" i="4"/>
  <c r="J47" i="4"/>
  <c r="R47" i="4" s="1"/>
  <c r="N49" i="4"/>
  <c r="AA54" i="4"/>
  <c r="AE54" i="4" s="1"/>
  <c r="AI54" i="4" s="1"/>
  <c r="Z54" i="4"/>
  <c r="AD54" i="4" s="1"/>
  <c r="AH54" i="4" s="1"/>
  <c r="Y54" i="4"/>
  <c r="AC54" i="4" s="1"/>
  <c r="AG54" i="4" s="1"/>
  <c r="J58" i="4"/>
  <c r="R58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O49" i="4"/>
  <c r="J52" i="4"/>
  <c r="R52" i="4" s="1"/>
  <c r="P63" i="4"/>
  <c r="Q63" i="4" s="1"/>
  <c r="O63" i="4"/>
  <c r="O71" i="4"/>
  <c r="N72" i="4"/>
  <c r="O73" i="4"/>
  <c r="O74" i="4"/>
  <c r="W85" i="4"/>
  <c r="V85" i="4"/>
  <c r="T85" i="4"/>
  <c r="O105" i="4"/>
  <c r="V107" i="4"/>
  <c r="W112" i="4"/>
  <c r="V112" i="4"/>
  <c r="U112" i="4"/>
  <c r="O36" i="4"/>
  <c r="M81" i="4"/>
  <c r="W90" i="4"/>
  <c r="V90" i="4"/>
  <c r="U90" i="4"/>
  <c r="M92" i="4"/>
  <c r="V115" i="4"/>
  <c r="U115" i="4"/>
  <c r="T115" i="4"/>
  <c r="M126" i="4"/>
  <c r="J34" i="4"/>
  <c r="R34" i="4" s="1"/>
  <c r="N47" i="4"/>
  <c r="M52" i="4"/>
  <c r="J55" i="4"/>
  <c r="R55" i="4" s="1"/>
  <c r="P89" i="4"/>
  <c r="Q89" i="4" s="1"/>
  <c r="N89" i="4"/>
  <c r="T90" i="4"/>
  <c r="M110" i="4"/>
  <c r="W130" i="4"/>
  <c r="V130" i="4"/>
  <c r="T130" i="4"/>
  <c r="N35" i="4"/>
  <c r="O42" i="4"/>
  <c r="P45" i="4"/>
  <c r="Q45" i="4" s="1"/>
  <c r="N45" i="4"/>
  <c r="J45" i="4"/>
  <c r="R45" i="4" s="1"/>
  <c r="O47" i="4"/>
  <c r="M55" i="4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Y41" i="4"/>
  <c r="AC41" i="4" s="1"/>
  <c r="AG41" i="4" s="1"/>
  <c r="P42" i="4"/>
  <c r="Q42" i="4" s="1"/>
  <c r="T49" i="4"/>
  <c r="T54" i="4"/>
  <c r="O55" i="4"/>
  <c r="P58" i="4"/>
  <c r="Q58" i="4" s="1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W96" i="4"/>
  <c r="M105" i="4"/>
  <c r="N34" i="4"/>
  <c r="AA40" i="4"/>
  <c r="AE40" i="4" s="1"/>
  <c r="AI40" i="4" s="1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39" i="4"/>
  <c r="AC39" i="4" s="1"/>
  <c r="AG39" i="4" s="1"/>
  <c r="P40" i="4"/>
  <c r="Q40" i="4" s="1"/>
  <c r="O45" i="4"/>
  <c r="Z51" i="4"/>
  <c r="AD51" i="4" s="1"/>
  <c r="AH51" i="4" s="1"/>
  <c r="J56" i="4"/>
  <c r="R56" i="4" s="1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T125" i="4"/>
  <c r="Z39" i="4"/>
  <c r="AD39" i="4" s="1"/>
  <c r="AH39" i="4" s="1"/>
  <c r="AA51" i="4"/>
  <c r="AE51" i="4" s="1"/>
  <c r="AI51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T123" i="4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U64" i="4" l="1"/>
  <c r="V120" i="4"/>
  <c r="T53" i="4"/>
  <c r="T107" i="4"/>
  <c r="W64" i="4"/>
  <c r="W107" i="4"/>
  <c r="G27" i="4"/>
  <c r="H25" i="4"/>
  <c r="K24" i="4" s="1"/>
  <c r="G26" i="4"/>
  <c r="H24" i="4"/>
  <c r="K23" i="4" s="1"/>
  <c r="G25" i="4"/>
  <c r="I30" i="4"/>
  <c r="N30" i="4" s="1"/>
  <c r="H23" i="4"/>
  <c r="K22" i="4" s="1"/>
  <c r="G24" i="4"/>
  <c r="I29" i="4"/>
  <c r="N29" i="4" s="1"/>
  <c r="H22" i="4"/>
  <c r="K21" i="4" s="1"/>
  <c r="G23" i="4"/>
  <c r="I28" i="4"/>
  <c r="G22" i="4"/>
  <c r="I27" i="4"/>
  <c r="N27" i="4" s="1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H28" i="4"/>
  <c r="K27" i="4" s="1"/>
  <c r="G29" i="4"/>
  <c r="I22" i="4"/>
  <c r="N22" i="4" s="1"/>
  <c r="H27" i="4"/>
  <c r="K26" i="4" s="1"/>
  <c r="G28" i="4"/>
  <c r="I21" i="4"/>
  <c r="H26" i="4"/>
  <c r="K25" i="4" s="1"/>
  <c r="V64" i="4"/>
  <c r="U123" i="4"/>
  <c r="B9" i="1"/>
  <c r="B10" i="1" s="1"/>
  <c r="C18" i="6"/>
  <c r="O30" i="4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L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L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51" i="4"/>
  <c r="U48" i="4"/>
  <c r="W51" i="4"/>
  <c r="U125" i="4"/>
  <c r="T51" i="4"/>
  <c r="W44" i="4"/>
  <c r="AA37" i="4"/>
  <c r="AE37" i="4" s="1"/>
  <c r="AI37" i="4" s="1"/>
  <c r="W80" i="4"/>
  <c r="V118" i="4"/>
  <c r="U118" i="4"/>
  <c r="T118" i="4"/>
  <c r="V48" i="4"/>
  <c r="T133" i="4"/>
  <c r="U44" i="4"/>
  <c r="T67" i="4"/>
  <c r="T48" i="4"/>
  <c r="V44" i="4"/>
  <c r="Y129" i="4"/>
  <c r="AC129" i="4" s="1"/>
  <c r="AG129" i="4" s="1"/>
  <c r="Y104" i="4"/>
  <c r="AC104" i="4" s="1"/>
  <c r="AG104" i="4" s="1"/>
  <c r="AA38" i="4"/>
  <c r="AE38" i="4" s="1"/>
  <c r="AI38" i="4" s="1"/>
  <c r="Y117" i="4"/>
  <c r="AC117" i="4" s="1"/>
  <c r="AG117" i="4" s="1"/>
  <c r="Y38" i="4"/>
  <c r="AC38" i="4" s="1"/>
  <c r="AG38" i="4" s="1"/>
  <c r="Y128" i="4"/>
  <c r="AC128" i="4" s="1"/>
  <c r="AG128" i="4" s="1"/>
  <c r="Z33" i="4"/>
  <c r="AD33" i="4" s="1"/>
  <c r="AH33" i="4" s="1"/>
  <c r="Z91" i="4"/>
  <c r="AD91" i="4" s="1"/>
  <c r="AH91" i="4" s="1"/>
  <c r="Y33" i="4"/>
  <c r="AC33" i="4" s="1"/>
  <c r="AG33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U41" i="4"/>
  <c r="T122" i="4"/>
  <c r="U122" i="4"/>
  <c r="V122" i="4"/>
  <c r="T102" i="4"/>
  <c r="W41" i="4"/>
  <c r="T41" i="4"/>
  <c r="U76" i="4"/>
  <c r="T76" i="4"/>
  <c r="V76" i="4"/>
  <c r="V82" i="4"/>
  <c r="W125" i="4"/>
  <c r="V53" i="4"/>
  <c r="W53" i="4"/>
  <c r="Z80" i="4"/>
  <c r="AD80" i="4" s="1"/>
  <c r="AH80" i="4" s="1"/>
  <c r="W102" i="4"/>
  <c r="T96" i="4"/>
  <c r="Y53" i="4"/>
  <c r="AC53" i="4" s="1"/>
  <c r="AG53" i="4" s="1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Z53" i="4"/>
  <c r="AD53" i="4" s="1"/>
  <c r="AH53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Y50" i="4"/>
  <c r="AC50" i="4" s="1"/>
  <c r="AG50" i="4" s="1"/>
  <c r="AA50" i="4"/>
  <c r="AE50" i="4" s="1"/>
  <c r="AI50" i="4" s="1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AA52" i="4"/>
  <c r="AE52" i="4" s="1"/>
  <c r="AI52" i="4" s="1"/>
  <c r="Z52" i="4"/>
  <c r="AD52" i="4" s="1"/>
  <c r="AH52" i="4" s="1"/>
  <c r="Y52" i="4"/>
  <c r="AC52" i="4" s="1"/>
  <c r="AG52" i="4" s="1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Z49" i="4"/>
  <c r="AD49" i="4" s="1"/>
  <c r="AH49" i="4" s="1"/>
  <c r="Y49" i="4"/>
  <c r="AC49" i="4" s="1"/>
  <c r="AG49" i="4" s="1"/>
  <c r="AA49" i="4"/>
  <c r="AE49" i="4" s="1"/>
  <c r="AI49" i="4" s="1"/>
  <c r="W110" i="4"/>
  <c r="V110" i="4"/>
  <c r="U110" i="4"/>
  <c r="T110" i="4"/>
  <c r="AA57" i="4"/>
  <c r="AE57" i="4" s="1"/>
  <c r="AI57" i="4" s="1"/>
  <c r="Z57" i="4"/>
  <c r="AD57" i="4" s="1"/>
  <c r="AH57" i="4" s="1"/>
  <c r="Y57" i="4"/>
  <c r="AC57" i="4" s="1"/>
  <c r="AG57" i="4" s="1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4" i="4"/>
  <c r="V34" i="4"/>
  <c r="U34" i="4"/>
  <c r="T34" i="4"/>
  <c r="Y36" i="4"/>
  <c r="AC36" i="4" s="1"/>
  <c r="AG36" i="4" s="1"/>
  <c r="AA36" i="4"/>
  <c r="AE36" i="4" s="1"/>
  <c r="AI36" i="4" s="1"/>
  <c r="Z36" i="4"/>
  <c r="AD36" i="4" s="1"/>
  <c r="AH36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W45" i="4"/>
  <c r="T45" i="4"/>
  <c r="V45" i="4"/>
  <c r="U45" i="4"/>
  <c r="T126" i="4"/>
  <c r="W126" i="4"/>
  <c r="V126" i="4"/>
  <c r="U126" i="4"/>
  <c r="U39" i="4"/>
  <c r="W39" i="4"/>
  <c r="V39" i="4"/>
  <c r="T39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Z45" i="4"/>
  <c r="AD45" i="4" s="1"/>
  <c r="AH45" i="4" s="1"/>
  <c r="AA45" i="4"/>
  <c r="AE45" i="4" s="1"/>
  <c r="AI45" i="4" s="1"/>
  <c r="Y45" i="4"/>
  <c r="AC45" i="4" s="1"/>
  <c r="AG45" i="4" s="1"/>
  <c r="V35" i="4"/>
  <c r="W35" i="4"/>
  <c r="U35" i="4"/>
  <c r="T35" i="4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V36" i="4"/>
  <c r="U36" i="4"/>
  <c r="T36" i="4"/>
  <c r="W36" i="4"/>
  <c r="U55" i="4"/>
  <c r="W55" i="4"/>
  <c r="T55" i="4"/>
  <c r="V55" i="4"/>
  <c r="AA44" i="4"/>
  <c r="AE44" i="4" s="1"/>
  <c r="AI44" i="4" s="1"/>
  <c r="Y44" i="4"/>
  <c r="AC44" i="4" s="1"/>
  <c r="AG44" i="4" s="1"/>
  <c r="Z44" i="4"/>
  <c r="AD44" i="4" s="1"/>
  <c r="AH44" i="4" s="1"/>
  <c r="Z31" i="4"/>
  <c r="AD31" i="4" s="1"/>
  <c r="AH31" i="4" s="1"/>
  <c r="AA31" i="4"/>
  <c r="AE31" i="4" s="1"/>
  <c r="AI31" i="4" s="1"/>
  <c r="Y31" i="4"/>
  <c r="AC31" i="4" s="1"/>
  <c r="AG31" i="4" s="1"/>
  <c r="W42" i="4"/>
  <c r="U42" i="4"/>
  <c r="V42" i="4"/>
  <c r="T42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46" i="4"/>
  <c r="V46" i="4"/>
  <c r="U46" i="4"/>
  <c r="T46" i="4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W56" i="4"/>
  <c r="V56" i="4"/>
  <c r="U56" i="4"/>
  <c r="T56" i="4"/>
  <c r="V47" i="4"/>
  <c r="T47" i="4"/>
  <c r="W47" i="4"/>
  <c r="U47" i="4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W58" i="4"/>
  <c r="V58" i="4"/>
  <c r="U58" i="4"/>
  <c r="T58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U52" i="4"/>
  <c r="T52" i="4"/>
  <c r="W52" i="4"/>
  <c r="V52" i="4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T57" i="4"/>
  <c r="W57" i="4"/>
  <c r="V57" i="4"/>
  <c r="U57" i="4"/>
  <c r="N23" i="4" l="1"/>
  <c r="L21" i="4"/>
  <c r="M21" i="4" s="1"/>
  <c r="L28" i="4"/>
  <c r="M28" i="4" s="1"/>
  <c r="O28" i="4" s="1"/>
  <c r="L29" i="4"/>
  <c r="M29" i="4" s="1"/>
  <c r="P29" i="4" s="1"/>
  <c r="Q29" i="4" s="1"/>
  <c r="L22" i="4"/>
  <c r="M22" i="4" s="1"/>
  <c r="L25" i="4"/>
  <c r="M25" i="4" s="1"/>
  <c r="P25" i="4" s="1"/>
  <c r="Q25" i="4" s="1"/>
  <c r="P30" i="4"/>
  <c r="Q30" i="4" s="1"/>
  <c r="N21" i="4"/>
  <c r="L30" i="4"/>
  <c r="M30" i="4"/>
  <c r="N28" i="4"/>
  <c r="L23" i="4"/>
  <c r="M23" i="4" s="1"/>
  <c r="O23" i="4" s="1"/>
  <c r="L26" i="4"/>
  <c r="M26" i="4" s="1"/>
  <c r="K2" i="4"/>
  <c r="L2" i="4" s="1"/>
  <c r="M2" i="4" s="1"/>
  <c r="L24" i="4"/>
  <c r="M24" i="4" s="1"/>
  <c r="L27" i="4"/>
  <c r="M27" i="4" s="1"/>
  <c r="N13" i="4"/>
  <c r="N17" i="4"/>
  <c r="N5" i="4"/>
  <c r="I2" i="4"/>
  <c r="J2" i="4" s="1"/>
  <c r="R2" i="4" s="1"/>
  <c r="B6" i="6"/>
  <c r="M17" i="4"/>
  <c r="M4" i="4"/>
  <c r="M9" i="4"/>
  <c r="M12" i="4"/>
  <c r="M13" i="4"/>
  <c r="N4" i="4"/>
  <c r="M6" i="4"/>
  <c r="M7" i="4"/>
  <c r="M18" i="4"/>
  <c r="N6" i="4"/>
  <c r="N7" i="4"/>
  <c r="N12" i="4"/>
  <c r="M16" i="4"/>
  <c r="M11" i="4"/>
  <c r="N18" i="4"/>
  <c r="N15" i="4"/>
  <c r="N16" i="4"/>
  <c r="N11" i="4"/>
  <c r="M15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O27" i="4" l="1"/>
  <c r="P27" i="4"/>
  <c r="Q27" i="4" s="1"/>
  <c r="O25" i="4"/>
  <c r="O29" i="4"/>
  <c r="O22" i="4"/>
  <c r="P22" i="4"/>
  <c r="Q22" i="4" s="1"/>
  <c r="P21" i="4"/>
  <c r="Q21" i="4" s="1"/>
  <c r="O21" i="4"/>
  <c r="P26" i="4"/>
  <c r="Q26" i="4" s="1"/>
  <c r="O26" i="4"/>
  <c r="P28" i="4"/>
  <c r="Q28" i="4" s="1"/>
  <c r="P23" i="4"/>
  <c r="Q23" i="4" s="1"/>
  <c r="O24" i="4"/>
  <c r="P24" i="4"/>
  <c r="Q24" i="4" s="1"/>
  <c r="O2" i="4"/>
  <c r="P2" i="4"/>
  <c r="Q2" i="4" s="1"/>
  <c r="N2" i="4"/>
  <c r="S4" i="3" s="1" a="1"/>
  <c r="S4" i="3" s="1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T3" i="4"/>
  <c r="V3" i="4"/>
  <c r="U3" i="4"/>
  <c r="R4" i="3" a="1"/>
  <c r="R4" i="3" s="1"/>
  <c r="B10" i="6"/>
  <c r="B9" i="6"/>
  <c r="B11" i="6"/>
  <c r="B7" i="6"/>
  <c r="B8" i="6"/>
  <c r="Q4" i="3" a="1"/>
  <c r="Q4" i="3" s="1"/>
  <c r="R4" i="4"/>
  <c r="J5" i="4"/>
  <c r="R5" i="4" l="1"/>
  <c r="J6" i="4"/>
  <c r="V4" i="4"/>
  <c r="U4" i="4"/>
  <c r="T4" i="4"/>
  <c r="W4" i="4"/>
  <c r="W5" i="4" l="1"/>
  <c r="V5" i="4"/>
  <c r="U5" i="4"/>
  <c r="T5" i="4"/>
  <c r="R6" i="4"/>
  <c r="J7" i="4"/>
  <c r="R7" i="4" l="1"/>
  <c r="J8" i="4"/>
  <c r="W6" i="4"/>
  <c r="V6" i="4"/>
  <c r="U6" i="4"/>
  <c r="T6" i="4"/>
  <c r="W7" i="4" l="1"/>
  <c r="V7" i="4"/>
  <c r="U7" i="4"/>
  <c r="T7" i="4"/>
  <c r="R8" i="4"/>
  <c r="J9" i="4"/>
  <c r="J30" i="4" l="1"/>
  <c r="R30" i="4" s="1"/>
  <c r="R9" i="4"/>
  <c r="J10" i="4"/>
  <c r="U8" i="4"/>
  <c r="W8" i="4"/>
  <c r="V8" i="4"/>
  <c r="T8" i="4"/>
  <c r="W30" i="4" l="1"/>
  <c r="U30" i="4"/>
  <c r="T30" i="4"/>
  <c r="V30" i="4"/>
  <c r="R10" i="4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J21" i="4"/>
  <c r="V20" i="4"/>
  <c r="U20" i="4"/>
  <c r="T20" i="4"/>
  <c r="W20" i="4"/>
  <c r="V19" i="4"/>
  <c r="W19" i="4"/>
  <c r="U19" i="4"/>
  <c r="T19" i="4"/>
  <c r="R21" i="4" l="1"/>
  <c r="J22" i="4"/>
  <c r="N8" i="3"/>
  <c r="N6" i="3"/>
  <c r="N7" i="3"/>
  <c r="N3" i="3"/>
  <c r="K7" i="3"/>
  <c r="K6" i="3"/>
  <c r="K3" i="3"/>
  <c r="K8" i="3"/>
  <c r="L6" i="3"/>
  <c r="L8" i="3"/>
  <c r="L3" i="3"/>
  <c r="L7" i="3"/>
  <c r="M3" i="3"/>
  <c r="M7" i="3"/>
  <c r="M6" i="3"/>
  <c r="M8" i="3"/>
  <c r="J23" i="4" l="1"/>
  <c r="R22" i="4"/>
  <c r="T21" i="4"/>
  <c r="V21" i="4"/>
  <c r="W21" i="4"/>
  <c r="U21" i="4"/>
  <c r="X120" i="4"/>
  <c r="AB120" i="4" s="1"/>
  <c r="AF120" i="4" s="1"/>
  <c r="X111" i="4"/>
  <c r="AB111" i="4" s="1"/>
  <c r="AF111" i="4" s="1"/>
  <c r="X95" i="4"/>
  <c r="AB95" i="4" s="1"/>
  <c r="AF95" i="4" s="1"/>
  <c r="X123" i="4"/>
  <c r="AB123" i="4" s="1"/>
  <c r="AF123" i="4" s="1"/>
  <c r="X118" i="4"/>
  <c r="AB118" i="4" s="1"/>
  <c r="AF118" i="4" s="1"/>
  <c r="X102" i="4"/>
  <c r="AB102" i="4" s="1"/>
  <c r="AF102" i="4" s="1"/>
  <c r="X114" i="4"/>
  <c r="AB114" i="4" s="1"/>
  <c r="AF114" i="4" s="1"/>
  <c r="X98" i="4"/>
  <c r="AB98" i="4" s="1"/>
  <c r="AF98" i="4" s="1"/>
  <c r="X82" i="4"/>
  <c r="AB82" i="4" s="1"/>
  <c r="AF82" i="4" s="1"/>
  <c r="X66" i="4"/>
  <c r="AB66" i="4" s="1"/>
  <c r="AF66" i="4" s="1"/>
  <c r="X115" i="4"/>
  <c r="AB115" i="4" s="1"/>
  <c r="AF115" i="4" s="1"/>
  <c r="X86" i="4"/>
  <c r="AB86" i="4" s="1"/>
  <c r="AF86" i="4" s="1"/>
  <c r="X99" i="4"/>
  <c r="AB99" i="4" s="1"/>
  <c r="AF99" i="4" s="1"/>
  <c r="X32" i="4"/>
  <c r="AB32" i="4" s="1"/>
  <c r="AF32" i="4" s="1"/>
  <c r="X70" i="4"/>
  <c r="AB70" i="4" s="1"/>
  <c r="AF70" i="4" s="1"/>
  <c r="X79" i="4"/>
  <c r="AB79" i="4" s="1"/>
  <c r="AF79" i="4" s="1"/>
  <c r="X76" i="4"/>
  <c r="AB76" i="4" s="1"/>
  <c r="AF76" i="4" s="1"/>
  <c r="X67" i="4"/>
  <c r="AB67" i="4" s="1"/>
  <c r="AF67" i="4" s="1"/>
  <c r="K5" i="3"/>
  <c r="K10" i="3" s="1"/>
  <c r="X92" i="4"/>
  <c r="AB92" i="4" s="1"/>
  <c r="AF92" i="4" s="1"/>
  <c r="X108" i="4"/>
  <c r="AB108" i="4" s="1"/>
  <c r="AF108" i="4" s="1"/>
  <c r="X83" i="4"/>
  <c r="AB83" i="4" s="1"/>
  <c r="AF83" i="4" s="1"/>
  <c r="K4" i="3"/>
  <c r="K9" i="3" s="1"/>
  <c r="X52" i="4"/>
  <c r="AB52" i="4" s="1"/>
  <c r="AF52" i="4" s="1"/>
  <c r="X42" i="4"/>
  <c r="AB42" i="4" s="1"/>
  <c r="AF42" i="4" s="1"/>
  <c r="X63" i="4"/>
  <c r="AB63" i="4" s="1"/>
  <c r="AF63" i="4" s="1"/>
  <c r="X117" i="4"/>
  <c r="AB117" i="4" s="1"/>
  <c r="AF117" i="4" s="1"/>
  <c r="X88" i="4"/>
  <c r="AB88" i="4" s="1"/>
  <c r="AF88" i="4" s="1"/>
  <c r="X50" i="4"/>
  <c r="AB50" i="4" s="1"/>
  <c r="AF50" i="4" s="1"/>
  <c r="X58" i="4"/>
  <c r="AB58" i="4" s="1"/>
  <c r="AF58" i="4" s="1"/>
  <c r="X38" i="4"/>
  <c r="AB38" i="4" s="1"/>
  <c r="AF38" i="4" s="1"/>
  <c r="X48" i="4"/>
  <c r="AB48" i="4" s="1"/>
  <c r="AF48" i="4" s="1"/>
  <c r="X112" i="4"/>
  <c r="AB112" i="4" s="1"/>
  <c r="AF112" i="4" s="1"/>
  <c r="X81" i="4"/>
  <c r="AB81" i="4" s="1"/>
  <c r="AF81" i="4" s="1"/>
  <c r="X125" i="4"/>
  <c r="AB125" i="4" s="1"/>
  <c r="AF125" i="4" s="1"/>
  <c r="X59" i="4"/>
  <c r="AB59" i="4" s="1"/>
  <c r="AF59" i="4" s="1"/>
  <c r="X53" i="4"/>
  <c r="AB53" i="4" s="1"/>
  <c r="AF53" i="4" s="1"/>
  <c r="X110" i="4"/>
  <c r="AB110" i="4" s="1"/>
  <c r="AF110" i="4" s="1"/>
  <c r="X65" i="4"/>
  <c r="AB65" i="4" s="1"/>
  <c r="AF65" i="4" s="1"/>
  <c r="X62" i="4"/>
  <c r="AB62" i="4" s="1"/>
  <c r="AF62" i="4" s="1"/>
  <c r="X133" i="4"/>
  <c r="AB133" i="4" s="1"/>
  <c r="AF133" i="4" s="1"/>
  <c r="X41" i="4"/>
  <c r="AB41" i="4" s="1"/>
  <c r="AF41" i="4" s="1"/>
  <c r="X85" i="4"/>
  <c r="AB85" i="4" s="1"/>
  <c r="AF85" i="4" s="1"/>
  <c r="X124" i="4"/>
  <c r="AB124" i="4" s="1"/>
  <c r="AF124" i="4" s="1"/>
  <c r="X56" i="4"/>
  <c r="AB56" i="4" s="1"/>
  <c r="AF56" i="4" s="1"/>
  <c r="X55" i="4"/>
  <c r="AB55" i="4" s="1"/>
  <c r="AF55" i="4" s="1"/>
  <c r="X37" i="4"/>
  <c r="AB37" i="4" s="1"/>
  <c r="AF37" i="4" s="1"/>
  <c r="X78" i="4"/>
  <c r="AB78" i="4" s="1"/>
  <c r="AF78" i="4" s="1"/>
  <c r="X51" i="4"/>
  <c r="AB51" i="4" s="1"/>
  <c r="AF51" i="4" s="1"/>
  <c r="X104" i="4"/>
  <c r="AB104" i="4" s="1"/>
  <c r="AF104" i="4" s="1"/>
  <c r="X43" i="4"/>
  <c r="AB43" i="4" s="1"/>
  <c r="AF43" i="4" s="1"/>
  <c r="X64" i="4"/>
  <c r="AB64" i="4" s="1"/>
  <c r="AF64" i="4" s="1"/>
  <c r="X122" i="4"/>
  <c r="AB122" i="4" s="1"/>
  <c r="AF122" i="4" s="1"/>
  <c r="X60" i="4"/>
  <c r="AB60" i="4" s="1"/>
  <c r="AF60" i="4" s="1"/>
  <c r="X107" i="4"/>
  <c r="AB107" i="4" s="1"/>
  <c r="AF107" i="4" s="1"/>
  <c r="X39" i="4"/>
  <c r="AB39" i="4" s="1"/>
  <c r="AF39" i="4" s="1"/>
  <c r="X132" i="4"/>
  <c r="AB132" i="4" s="1"/>
  <c r="AF132" i="4" s="1"/>
  <c r="X94" i="4"/>
  <c r="AB94" i="4" s="1"/>
  <c r="AF94" i="4" s="1"/>
  <c r="X128" i="4"/>
  <c r="AB128" i="4" s="1"/>
  <c r="AF128" i="4" s="1"/>
  <c r="X33" i="4"/>
  <c r="AB33" i="4" s="1"/>
  <c r="AF33" i="4" s="1"/>
  <c r="X91" i="4"/>
  <c r="AB91" i="4" s="1"/>
  <c r="AF91" i="4" s="1"/>
  <c r="X80" i="4"/>
  <c r="AB80" i="4" s="1"/>
  <c r="AF80" i="4" s="1"/>
  <c r="X129" i="4"/>
  <c r="AB129" i="4" s="1"/>
  <c r="AF129" i="4" s="1"/>
  <c r="X40" i="4"/>
  <c r="AB40" i="4" s="1"/>
  <c r="AF40" i="4" s="1"/>
  <c r="X54" i="4"/>
  <c r="AB54" i="4" s="1"/>
  <c r="AF54" i="4" s="1"/>
  <c r="X75" i="4"/>
  <c r="AB75" i="4" s="1"/>
  <c r="AF75" i="4" s="1"/>
  <c r="X101" i="4"/>
  <c r="AB101" i="4" s="1"/>
  <c r="AF101" i="4" s="1"/>
  <c r="X96" i="4"/>
  <c r="AB96" i="4" s="1"/>
  <c r="AF96" i="4" s="1"/>
  <c r="X126" i="4"/>
  <c r="AB126" i="4" s="1"/>
  <c r="AF126" i="4" s="1"/>
  <c r="X131" i="4"/>
  <c r="AB131" i="4" s="1"/>
  <c r="AF131" i="4" s="1"/>
  <c r="X89" i="4"/>
  <c r="AB89" i="4" s="1"/>
  <c r="AF89" i="4" s="1"/>
  <c r="X46" i="4"/>
  <c r="AB46" i="4" s="1"/>
  <c r="AF46" i="4" s="1"/>
  <c r="X73" i="4"/>
  <c r="AB73" i="4" s="1"/>
  <c r="AF73" i="4" s="1"/>
  <c r="X90" i="4"/>
  <c r="AB90" i="4" s="1"/>
  <c r="AF90" i="4" s="1"/>
  <c r="X44" i="4"/>
  <c r="AB44" i="4" s="1"/>
  <c r="AF44" i="4" s="1"/>
  <c r="X93" i="4"/>
  <c r="AB93" i="4" s="1"/>
  <c r="AF93" i="4" s="1"/>
  <c r="X34" i="4"/>
  <c r="AB34" i="4" s="1"/>
  <c r="AF34" i="4" s="1"/>
  <c r="X127" i="4"/>
  <c r="AB127" i="4" s="1"/>
  <c r="AF127" i="4" s="1"/>
  <c r="X49" i="4"/>
  <c r="AB49" i="4" s="1"/>
  <c r="AF49" i="4" s="1"/>
  <c r="X100" i="4"/>
  <c r="AB100" i="4" s="1"/>
  <c r="AF100" i="4" s="1"/>
  <c r="X72" i="4"/>
  <c r="AB72" i="4" s="1"/>
  <c r="AF72" i="4" s="1"/>
  <c r="X74" i="4"/>
  <c r="AB74" i="4" s="1"/>
  <c r="AF74" i="4" s="1"/>
  <c r="X116" i="4"/>
  <c r="AB116" i="4" s="1"/>
  <c r="AF116" i="4" s="1"/>
  <c r="X77" i="4"/>
  <c r="AB77" i="4" s="1"/>
  <c r="AF77" i="4" s="1"/>
  <c r="X47" i="4"/>
  <c r="AB47" i="4" s="1"/>
  <c r="AF47" i="4" s="1"/>
  <c r="X113" i="4"/>
  <c r="AB113" i="4" s="1"/>
  <c r="AF113" i="4" s="1"/>
  <c r="X97" i="4"/>
  <c r="AB97" i="4" s="1"/>
  <c r="AF97" i="4" s="1"/>
  <c r="X35" i="4"/>
  <c r="AB35" i="4" s="1"/>
  <c r="AF35" i="4" s="1"/>
  <c r="X71" i="4"/>
  <c r="AB71" i="4" s="1"/>
  <c r="AF71" i="4" s="1"/>
  <c r="X87" i="4"/>
  <c r="AB87" i="4" s="1"/>
  <c r="AF87" i="4" s="1"/>
  <c r="X45" i="4"/>
  <c r="AB45" i="4" s="1"/>
  <c r="AF45" i="4" s="1"/>
  <c r="X31" i="4"/>
  <c r="AB31" i="4" s="1"/>
  <c r="AF31" i="4" s="1"/>
  <c r="X68" i="4"/>
  <c r="AB68" i="4" s="1"/>
  <c r="AF68" i="4" s="1"/>
  <c r="X130" i="4"/>
  <c r="AB130" i="4" s="1"/>
  <c r="AF130" i="4" s="1"/>
  <c r="X106" i="4"/>
  <c r="AB106" i="4" s="1"/>
  <c r="AF106" i="4" s="1"/>
  <c r="X84" i="4"/>
  <c r="AB84" i="4" s="1"/>
  <c r="AF84" i="4" s="1"/>
  <c r="X69" i="4"/>
  <c r="AB69" i="4" s="1"/>
  <c r="AF69" i="4" s="1"/>
  <c r="X119" i="4"/>
  <c r="AB119" i="4" s="1"/>
  <c r="AF119" i="4" s="1"/>
  <c r="X103" i="4"/>
  <c r="AB103" i="4" s="1"/>
  <c r="AF103" i="4" s="1"/>
  <c r="X61" i="4"/>
  <c r="AB61" i="4" s="1"/>
  <c r="AF61" i="4" s="1"/>
  <c r="X57" i="4"/>
  <c r="AB57" i="4" s="1"/>
  <c r="AF57" i="4" s="1"/>
  <c r="X36" i="4"/>
  <c r="AB36" i="4" s="1"/>
  <c r="AF36" i="4" s="1"/>
  <c r="X105" i="4"/>
  <c r="AB105" i="4" s="1"/>
  <c r="AF105" i="4" s="1"/>
  <c r="X109" i="4"/>
  <c r="AB109" i="4" s="1"/>
  <c r="AF109" i="4" s="1"/>
  <c r="X30" i="4"/>
  <c r="AB30" i="4" s="1"/>
  <c r="AF30" i="4" s="1"/>
  <c r="X121" i="4"/>
  <c r="AB121" i="4" s="1"/>
  <c r="AF121" i="4" s="1"/>
  <c r="M5" i="3"/>
  <c r="M10" i="3" s="1"/>
  <c r="M4" i="3"/>
  <c r="M9" i="3" s="1"/>
  <c r="N5" i="3"/>
  <c r="N10" i="3" s="1"/>
  <c r="N4" i="3"/>
  <c r="N9" i="3" s="1"/>
  <c r="L5" i="3"/>
  <c r="L10" i="3" s="1"/>
  <c r="L4" i="3"/>
  <c r="L9" i="3" s="1"/>
  <c r="K12" i="3" l="1"/>
  <c r="K14" i="3"/>
  <c r="K13" i="3"/>
  <c r="U22" i="4"/>
  <c r="T22" i="4"/>
  <c r="V22" i="4"/>
  <c r="W22" i="4"/>
  <c r="J24" i="4"/>
  <c r="R23" i="4"/>
  <c r="N12" i="3"/>
  <c r="N13" i="3" s="1"/>
  <c r="M12" i="3"/>
  <c r="M13" i="3" s="1"/>
  <c r="L12" i="3"/>
  <c r="L13" i="3" s="1"/>
  <c r="M14" i="3"/>
  <c r="L14" i="3"/>
  <c r="N14" i="3"/>
  <c r="X14" i="4" l="1"/>
  <c r="X18" i="4"/>
  <c r="X23" i="4"/>
  <c r="X10" i="4"/>
  <c r="X24" i="4"/>
  <c r="X12" i="4"/>
  <c r="X27" i="4"/>
  <c r="X29" i="4"/>
  <c r="X7" i="4"/>
  <c r="X21" i="4"/>
  <c r="X20" i="4"/>
  <c r="X16" i="4"/>
  <c r="X9" i="4"/>
  <c r="X8" i="4"/>
  <c r="X19" i="4"/>
  <c r="K15" i="3"/>
  <c r="X17" i="4"/>
  <c r="X6" i="4"/>
  <c r="X13" i="4"/>
  <c r="X2" i="4"/>
  <c r="X22" i="4"/>
  <c r="X5" i="4"/>
  <c r="X26" i="4"/>
  <c r="X11" i="4"/>
  <c r="X15" i="4"/>
  <c r="X25" i="4"/>
  <c r="X28" i="4"/>
  <c r="X4" i="4"/>
  <c r="X3" i="4"/>
  <c r="R24" i="4"/>
  <c r="J25" i="4"/>
  <c r="W23" i="4"/>
  <c r="V23" i="4"/>
  <c r="T23" i="4"/>
  <c r="U23" i="4"/>
  <c r="Z23" i="4"/>
  <c r="Z27" i="4"/>
  <c r="Z28" i="4"/>
  <c r="Z22" i="4"/>
  <c r="Z26" i="4"/>
  <c r="Z21" i="4"/>
  <c r="Z24" i="4"/>
  <c r="Z29" i="4"/>
  <c r="Z25" i="4"/>
  <c r="Z30" i="4"/>
  <c r="AA22" i="4"/>
  <c r="AA28" i="4"/>
  <c r="AA23" i="4"/>
  <c r="AA27" i="4"/>
  <c r="AA26" i="4"/>
  <c r="AA25" i="4"/>
  <c r="AA21" i="4"/>
  <c r="AA30" i="4"/>
  <c r="AA29" i="4"/>
  <c r="AA24" i="4"/>
  <c r="Y29" i="4"/>
  <c r="Y23" i="4"/>
  <c r="Y28" i="4"/>
  <c r="Y22" i="4"/>
  <c r="Y27" i="4"/>
  <c r="Y26" i="4"/>
  <c r="Y21" i="4"/>
  <c r="Y25" i="4"/>
  <c r="Y24" i="4"/>
  <c r="Y30" i="4"/>
  <c r="Y13" i="4"/>
  <c r="Y5" i="4"/>
  <c r="Y17" i="4"/>
  <c r="Y20" i="4"/>
  <c r="Y8" i="4"/>
  <c r="Y14" i="4"/>
  <c r="Y11" i="4"/>
  <c r="Y12" i="4"/>
  <c r="Y18" i="4"/>
  <c r="Y3" i="4"/>
  <c r="Y4" i="4"/>
  <c r="Y9" i="4"/>
  <c r="Y15" i="4"/>
  <c r="Y10" i="4"/>
  <c r="Y19" i="4"/>
  <c r="Y7" i="4"/>
  <c r="Y6" i="4"/>
  <c r="Y16" i="4"/>
  <c r="Y2" i="4"/>
  <c r="L15" i="3"/>
  <c r="AA5" i="4"/>
  <c r="AA13" i="4"/>
  <c r="AA17" i="4"/>
  <c r="AA20" i="4"/>
  <c r="AA16" i="4"/>
  <c r="AA12" i="4"/>
  <c r="AA8" i="4"/>
  <c r="AA4" i="4"/>
  <c r="AA9" i="4"/>
  <c r="AA15" i="4"/>
  <c r="AA10" i="4"/>
  <c r="AA19" i="4"/>
  <c r="AA3" i="4"/>
  <c r="AA7" i="4"/>
  <c r="AA6" i="4"/>
  <c r="AA2" i="4"/>
  <c r="AA14" i="4"/>
  <c r="AA11" i="4"/>
  <c r="AA18" i="4"/>
  <c r="N15" i="3"/>
  <c r="Z13" i="4"/>
  <c r="Z5" i="4"/>
  <c r="Z17" i="4"/>
  <c r="Z20" i="4"/>
  <c r="Z11" i="4"/>
  <c r="Z12" i="4"/>
  <c r="Z8" i="4"/>
  <c r="Z18" i="4"/>
  <c r="Z3" i="4"/>
  <c r="Z4" i="4"/>
  <c r="Z9" i="4"/>
  <c r="Z15" i="4"/>
  <c r="Z10" i="4"/>
  <c r="Z19" i="4"/>
  <c r="Z16" i="4"/>
  <c r="Z7" i="4"/>
  <c r="Z6" i="4"/>
  <c r="Z2" i="4"/>
  <c r="Z14" i="4"/>
  <c r="M15" i="3"/>
  <c r="K11" i="3" l="1"/>
  <c r="AB3" i="4" s="1"/>
  <c r="AF3" i="4" s="1"/>
  <c r="R25" i="4"/>
  <c r="J26" i="4"/>
  <c r="V24" i="4"/>
  <c r="U24" i="4"/>
  <c r="T24" i="4"/>
  <c r="W24" i="4"/>
  <c r="M11" i="3"/>
  <c r="AD18" i="4" s="1"/>
  <c r="AH18" i="4" s="1"/>
  <c r="N11" i="3"/>
  <c r="AE12" i="4" s="1"/>
  <c r="AI12" i="4" s="1"/>
  <c r="L11" i="3"/>
  <c r="AC17" i="4" s="1"/>
  <c r="AG17" i="4" s="1"/>
  <c r="AB18" i="4" l="1"/>
  <c r="AF18" i="4" s="1"/>
  <c r="AB23" i="4"/>
  <c r="AF23" i="4" s="1"/>
  <c r="AB10" i="4"/>
  <c r="AF10" i="4" s="1"/>
  <c r="AB7" i="4"/>
  <c r="AF7" i="4" s="1"/>
  <c r="AB12" i="4"/>
  <c r="AF12" i="4" s="1"/>
  <c r="AB17" i="4"/>
  <c r="AF17" i="4" s="1"/>
  <c r="AB2" i="4"/>
  <c r="AF2" i="4" s="1"/>
  <c r="AB5" i="4"/>
  <c r="AF5" i="4" s="1"/>
  <c r="AB26" i="4"/>
  <c r="AF26" i="4" s="1"/>
  <c r="AB21" i="4"/>
  <c r="AF21" i="4" s="1"/>
  <c r="AB11" i="4"/>
  <c r="AF11" i="4" s="1"/>
  <c r="AB15" i="4"/>
  <c r="AF15" i="4" s="1"/>
  <c r="AB16" i="4"/>
  <c r="AF16" i="4" s="1"/>
  <c r="AB27" i="4"/>
  <c r="AF27" i="4" s="1"/>
  <c r="AB25" i="4"/>
  <c r="AF25" i="4" s="1"/>
  <c r="AB8" i="4"/>
  <c r="AF8" i="4" s="1"/>
  <c r="AB9" i="4"/>
  <c r="AF9" i="4" s="1"/>
  <c r="AB28" i="4"/>
  <c r="AF28" i="4" s="1"/>
  <c r="AB19" i="4"/>
  <c r="AF19" i="4" s="1"/>
  <c r="AB6" i="4"/>
  <c r="AF6" i="4" s="1"/>
  <c r="AB20" i="4"/>
  <c r="AF20" i="4" s="1"/>
  <c r="AB4" i="4"/>
  <c r="AF4" i="4" s="1"/>
  <c r="AB29" i="4"/>
  <c r="AF29" i="4" s="1"/>
  <c r="AB24" i="4"/>
  <c r="AF24" i="4" s="1"/>
  <c r="AB13" i="4"/>
  <c r="AF13" i="4" s="1"/>
  <c r="AB14" i="4"/>
  <c r="AF14" i="4" s="1"/>
  <c r="AB22" i="4"/>
  <c r="AF22" i="4" s="1"/>
  <c r="R26" i="4"/>
  <c r="J27" i="4"/>
  <c r="U25" i="4"/>
  <c r="T25" i="4"/>
  <c r="W25" i="4"/>
  <c r="V25" i="4"/>
  <c r="AE28" i="4"/>
  <c r="AI28" i="4" s="1"/>
  <c r="AC24" i="4"/>
  <c r="AG24" i="4" s="1"/>
  <c r="AD29" i="4"/>
  <c r="AH29" i="4" s="1"/>
  <c r="AD24" i="4"/>
  <c r="AH24" i="4" s="1"/>
  <c r="AD25" i="4"/>
  <c r="AH25" i="4" s="1"/>
  <c r="AC28" i="4"/>
  <c r="AG28" i="4" s="1"/>
  <c r="AC26" i="4"/>
  <c r="AG26" i="4" s="1"/>
  <c r="AD22" i="4"/>
  <c r="AH22" i="4" s="1"/>
  <c r="AE27" i="4"/>
  <c r="AI27" i="4" s="1"/>
  <c r="AE30" i="4"/>
  <c r="AI30" i="4" s="1"/>
  <c r="AD27" i="4"/>
  <c r="AH27" i="4" s="1"/>
  <c r="AE24" i="4"/>
  <c r="AI24" i="4" s="1"/>
  <c r="AE25" i="4"/>
  <c r="AI25" i="4" s="1"/>
  <c r="AC23" i="4"/>
  <c r="AG23" i="4" s="1"/>
  <c r="AC30" i="4"/>
  <c r="AG30" i="4" s="1"/>
  <c r="AD30" i="4"/>
  <c r="AH30" i="4" s="1"/>
  <c r="AC29" i="4"/>
  <c r="AG29" i="4" s="1"/>
  <c r="AC27" i="4"/>
  <c r="AG27" i="4" s="1"/>
  <c r="AD26" i="4"/>
  <c r="AH26" i="4" s="1"/>
  <c r="AE22" i="4"/>
  <c r="AI22" i="4" s="1"/>
  <c r="AE23" i="4"/>
  <c r="AI23" i="4" s="1"/>
  <c r="AC22" i="4"/>
  <c r="AG22" i="4" s="1"/>
  <c r="AC21" i="4"/>
  <c r="AG21" i="4" s="1"/>
  <c r="AD23" i="4"/>
  <c r="AH23" i="4" s="1"/>
  <c r="AD21" i="4"/>
  <c r="AH21" i="4" s="1"/>
  <c r="AD28" i="4"/>
  <c r="AH28" i="4" s="1"/>
  <c r="AE21" i="4"/>
  <c r="AI21" i="4" s="1"/>
  <c r="AE26" i="4"/>
  <c r="AI26" i="4" s="1"/>
  <c r="AE29" i="4"/>
  <c r="AI29" i="4" s="1"/>
  <c r="AC25" i="4"/>
  <c r="AG25" i="4" s="1"/>
  <c r="AE6" i="4"/>
  <c r="AI6" i="4" s="1"/>
  <c r="AC2" i="4"/>
  <c r="AG2" i="4" s="1"/>
  <c r="AC11" i="4"/>
  <c r="AG11" i="4" s="1"/>
  <c r="AC20" i="4"/>
  <c r="AG20" i="4" s="1"/>
  <c r="AE2" i="4"/>
  <c r="AI2" i="4" s="1"/>
  <c r="AE11" i="4"/>
  <c r="AI11" i="4" s="1"/>
  <c r="AC6" i="4"/>
  <c r="AG6" i="4" s="1"/>
  <c r="AE3" i="4"/>
  <c r="AI3" i="4" s="1"/>
  <c r="AD3" i="4"/>
  <c r="AH3" i="4" s="1"/>
  <c r="AD19" i="4"/>
  <c r="AH19" i="4" s="1"/>
  <c r="AE7" i="4"/>
  <c r="AI7" i="4" s="1"/>
  <c r="AC15" i="4"/>
  <c r="AG15" i="4" s="1"/>
  <c r="AC4" i="4"/>
  <c r="AG4" i="4" s="1"/>
  <c r="AC12" i="4"/>
  <c r="AG12" i="4" s="1"/>
  <c r="AE9" i="4"/>
  <c r="AI9" i="4" s="1"/>
  <c r="AC3" i="4"/>
  <c r="AG3" i="4" s="1"/>
  <c r="AE20" i="4"/>
  <c r="AI20" i="4" s="1"/>
  <c r="AD4" i="4"/>
  <c r="AH4" i="4" s="1"/>
  <c r="AE5" i="4"/>
  <c r="AI5" i="4" s="1"/>
  <c r="AC18" i="4"/>
  <c r="AG18" i="4" s="1"/>
  <c r="AC13" i="4"/>
  <c r="AG13" i="4" s="1"/>
  <c r="AE4" i="4"/>
  <c r="AI4" i="4" s="1"/>
  <c r="AD11" i="4"/>
  <c r="AH11" i="4" s="1"/>
  <c r="AC5" i="4"/>
  <c r="AG5" i="4" s="1"/>
  <c r="AD15" i="4"/>
  <c r="AH15" i="4" s="1"/>
  <c r="AE14" i="4"/>
  <c r="AI14" i="4" s="1"/>
  <c r="AD10" i="4"/>
  <c r="AH10" i="4" s="1"/>
  <c r="AD17" i="4"/>
  <c r="AH17" i="4" s="1"/>
  <c r="AE18" i="4"/>
  <c r="AI18" i="4" s="1"/>
  <c r="AD12" i="4"/>
  <c r="AH12" i="4" s="1"/>
  <c r="AD5" i="4"/>
  <c r="AH5" i="4" s="1"/>
  <c r="AC9" i="4"/>
  <c r="AG9" i="4" s="1"/>
  <c r="AC10" i="4"/>
  <c r="AG10" i="4" s="1"/>
  <c r="AC19" i="4"/>
  <c r="AG19" i="4" s="1"/>
  <c r="AD8" i="4"/>
  <c r="AH8" i="4" s="1"/>
  <c r="AE8" i="4"/>
  <c r="AI8" i="4" s="1"/>
  <c r="AC8" i="4"/>
  <c r="AG8" i="4" s="1"/>
  <c r="AE10" i="4"/>
  <c r="AI10" i="4" s="1"/>
  <c r="AE13" i="4"/>
  <c r="AI13" i="4" s="1"/>
  <c r="AD2" i="4"/>
  <c r="AH2" i="4" s="1"/>
  <c r="AD14" i="4"/>
  <c r="AH14" i="4" s="1"/>
  <c r="AD9" i="4"/>
  <c r="AH9" i="4" s="1"/>
  <c r="AC16" i="4"/>
  <c r="AG16" i="4" s="1"/>
  <c r="AC14" i="4"/>
  <c r="AG14" i="4" s="1"/>
  <c r="AD13" i="4"/>
  <c r="AH13" i="4" s="1"/>
  <c r="AE16" i="4"/>
  <c r="AI16" i="4" s="1"/>
  <c r="AD20" i="4"/>
  <c r="AH20" i="4" s="1"/>
  <c r="AD16" i="4"/>
  <c r="AH16" i="4" s="1"/>
  <c r="AD7" i="4"/>
  <c r="AH7" i="4" s="1"/>
  <c r="AC7" i="4"/>
  <c r="AG7" i="4" s="1"/>
  <c r="AD6" i="4"/>
  <c r="AH6" i="4" s="1"/>
  <c r="AE17" i="4"/>
  <c r="AI17" i="4" s="1"/>
  <c r="AE15" i="4"/>
  <c r="AI15" i="4" s="1"/>
  <c r="AE19" i="4"/>
  <c r="AI19" i="4" s="1"/>
  <c r="D7" i="3" l="1"/>
  <c r="D3" i="3"/>
  <c r="D8" i="3"/>
  <c r="D6" i="3"/>
  <c r="R27" i="4"/>
  <c r="J28" i="4"/>
  <c r="V26" i="4"/>
  <c r="T26" i="4"/>
  <c r="W26" i="4"/>
  <c r="U26" i="4"/>
  <c r="G8" i="3"/>
  <c r="G6" i="3"/>
  <c r="G3" i="3"/>
  <c r="G7" i="3"/>
  <c r="F7" i="3"/>
  <c r="F8" i="3"/>
  <c r="F3" i="3"/>
  <c r="F6" i="3"/>
  <c r="E3" i="3"/>
  <c r="E8" i="3"/>
  <c r="E6" i="3"/>
  <c r="E7" i="3"/>
  <c r="D5" i="3" l="1"/>
  <c r="D10" i="3" s="1"/>
  <c r="D4" i="3"/>
  <c r="D9" i="3" s="1"/>
  <c r="D12" i="3" s="1"/>
  <c r="R28" i="4"/>
  <c r="J29" i="4"/>
  <c r="R29" i="4" s="1"/>
  <c r="W27" i="4"/>
  <c r="V27" i="4"/>
  <c r="U27" i="4"/>
  <c r="T27" i="4"/>
  <c r="E4" i="3"/>
  <c r="E9" i="3" s="1"/>
  <c r="E5" i="3"/>
  <c r="E10" i="3" s="1"/>
  <c r="F5" i="3"/>
  <c r="F10" i="3" s="1"/>
  <c r="F4" i="3"/>
  <c r="F9" i="3" s="1"/>
  <c r="G5" i="3"/>
  <c r="G10" i="3" s="1"/>
  <c r="G4" i="3"/>
  <c r="G9" i="3" s="1"/>
  <c r="G12" i="3" s="1"/>
  <c r="D14" i="3" l="1"/>
  <c r="D13" i="3"/>
  <c r="D15" i="3" s="1"/>
  <c r="T29" i="4"/>
  <c r="V29" i="4"/>
  <c r="W29" i="4"/>
  <c r="U29" i="4"/>
  <c r="W28" i="4"/>
  <c r="V28" i="4"/>
  <c r="T28" i="4"/>
  <c r="U28" i="4"/>
  <c r="E12" i="3"/>
  <c r="E13" i="3" s="1"/>
  <c r="E15" i="3" s="1"/>
  <c r="F12" i="3"/>
  <c r="F13" i="3" s="1"/>
  <c r="F15" i="3" s="1"/>
  <c r="G13" i="3"/>
  <c r="G15" i="3" s="1"/>
  <c r="G14" i="3"/>
  <c r="F14" i="3"/>
  <c r="E14" i="3"/>
  <c r="B4" i="1" l="1"/>
  <c r="B7" i="1"/>
  <c r="D23" i="3"/>
  <c r="B6" i="1"/>
  <c r="B5" i="1"/>
  <c r="B8" i="1" l="1"/>
  <c r="B18" i="6"/>
  <c r="B17" i="6"/>
  <c r="B16" i="6"/>
  <c r="B15" i="6"/>
  <c r="S123" i="4"/>
  <c r="S131" i="4"/>
  <c r="S126" i="4"/>
  <c r="S121" i="4"/>
  <c r="S122" i="4"/>
  <c r="S114" i="4"/>
  <c r="S133" i="4"/>
  <c r="S124" i="4"/>
  <c r="S109" i="4"/>
  <c r="S93" i="4"/>
  <c r="S77" i="4"/>
  <c r="S128" i="4"/>
  <c r="S104" i="4"/>
  <c r="S88" i="4"/>
  <c r="S115" i="4"/>
  <c r="S99" i="4"/>
  <c r="S83" i="4"/>
  <c r="S110" i="4"/>
  <c r="S94" i="4"/>
  <c r="S78" i="4"/>
  <c r="S62" i="4"/>
  <c r="S46" i="4"/>
  <c r="S120" i="4"/>
  <c r="S105" i="4"/>
  <c r="S89" i="4"/>
  <c r="S73" i="4"/>
  <c r="S57" i="4"/>
  <c r="S132" i="4"/>
  <c r="S127" i="4"/>
  <c r="S116" i="4"/>
  <c r="S100" i="4"/>
  <c r="S84" i="4"/>
  <c r="S68" i="4"/>
  <c r="S52" i="4"/>
  <c r="S111" i="4"/>
  <c r="S106" i="4"/>
  <c r="S90" i="4"/>
  <c r="S74" i="4"/>
  <c r="S112" i="4"/>
  <c r="S96" i="4"/>
  <c r="S80" i="4"/>
  <c r="S64" i="4"/>
  <c r="S48" i="4"/>
  <c r="S130" i="4"/>
  <c r="S107" i="4"/>
  <c r="S91" i="4"/>
  <c r="S75" i="4"/>
  <c r="S59" i="4"/>
  <c r="S125" i="4"/>
  <c r="S118" i="4"/>
  <c r="S102" i="4"/>
  <c r="S86" i="4"/>
  <c r="S113" i="4"/>
  <c r="S97" i="4"/>
  <c r="S81" i="4"/>
  <c r="S65" i="4"/>
  <c r="S49" i="4"/>
  <c r="S55" i="4"/>
  <c r="S35" i="4"/>
  <c r="S19" i="4"/>
  <c r="S3" i="4"/>
  <c r="S63" i="4"/>
  <c r="S30" i="4"/>
  <c r="S14" i="4"/>
  <c r="S58" i="4"/>
  <c r="S47" i="4"/>
  <c r="S42" i="4"/>
  <c r="S25" i="4"/>
  <c r="S9" i="4"/>
  <c r="S85" i="4"/>
  <c r="S36" i="4"/>
  <c r="S20" i="4"/>
  <c r="S4" i="4"/>
  <c r="S98" i="4"/>
  <c r="S44" i="4"/>
  <c r="S31" i="4"/>
  <c r="S15" i="4"/>
  <c r="S34" i="4"/>
  <c r="S71" i="4"/>
  <c r="S70" i="4"/>
  <c r="S54" i="4"/>
  <c r="S39" i="4"/>
  <c r="S26" i="4"/>
  <c r="S10" i="4"/>
  <c r="S72" i="4"/>
  <c r="S61" i="4"/>
  <c r="S37" i="4"/>
  <c r="S21" i="4"/>
  <c r="S5" i="4"/>
  <c r="S51" i="4"/>
  <c r="S32" i="4"/>
  <c r="S16" i="4"/>
  <c r="S103" i="4"/>
  <c r="S87" i="4"/>
  <c r="S76" i="4"/>
  <c r="S27" i="4"/>
  <c r="S11" i="4"/>
  <c r="S18" i="4"/>
  <c r="S69" i="4"/>
  <c r="S60" i="4"/>
  <c r="S41" i="4"/>
  <c r="S22" i="4"/>
  <c r="S6" i="4"/>
  <c r="S117" i="4"/>
  <c r="S50" i="4"/>
  <c r="S2" i="4"/>
  <c r="S119" i="4"/>
  <c r="S108" i="4"/>
  <c r="S67" i="4"/>
  <c r="S33" i="4"/>
  <c r="S17" i="4"/>
  <c r="S66" i="4"/>
  <c r="S129" i="4"/>
  <c r="S101" i="4"/>
  <c r="S43" i="4"/>
  <c r="S28" i="4"/>
  <c r="S12" i="4"/>
  <c r="S95" i="4"/>
  <c r="S56" i="4"/>
  <c r="S53" i="4"/>
  <c r="S38" i="4"/>
  <c r="S23" i="4"/>
  <c r="S7" i="4"/>
  <c r="S8" i="4"/>
  <c r="S92" i="4"/>
  <c r="S24" i="4"/>
  <c r="S79" i="4"/>
  <c r="S40" i="4"/>
  <c r="S82" i="4"/>
  <c r="S29" i="4"/>
  <c r="S45" i="4"/>
  <c r="S13" i="4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<sst xmlns="http://schemas.openxmlformats.org/spreadsheetml/2006/main" count="228" uniqueCount="127">
  <si>
    <t>Weather Zone</t>
  </si>
  <si>
    <t>Ottawa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</si>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</sst>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9.2878186968838534</c:v>
                </c:pt>
                <c:pt idx="1">
                  <c:v>2.6467741935483873</c:v>
                </c:pt>
                <c:pt idx="2">
                  <c:v>12.883842794759826</c:v>
                </c:pt>
                <c:pt idx="3">
                  <c:v>17.442622950819672</c:v>
                </c:pt>
                <c:pt idx="4">
                  <c:v>27.173328820504331</c:v>
                </c:pt>
                <c:pt idx="5">
                  <c:v>27.465585751854018</c:v>
                </c:pt>
                <c:pt idx="6">
                  <c:v>28.342356545903087</c:v>
                </c:pt>
                <c:pt idx="7">
                  <c:v>31.498731181505388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21.785245864117734</c:v>
                </c:pt>
                <c:pt idx="1">
                  <c:v>16.303225811090201</c:v>
                </c:pt>
                <c:pt idx="2">
                  <c:v>1.6137931285233336</c:v>
                </c:pt>
                <c:pt idx="3">
                  <c:v>-4.1390625089406967</c:v>
                </c:pt>
                <c:pt idx="4">
                  <c:v>-3.7147540889802526</c:v>
                </c:pt>
                <c:pt idx="5">
                  <c:v>7.1283333420753472</c:v>
                </c:pt>
                <c:pt idx="6">
                  <c:v>16.601666684945425</c:v>
                </c:pt>
                <c:pt idx="7">
                  <c:v>15.189830486678471</c:v>
                </c:pt>
                <c:pt idx="8">
                  <c:v>3.0258063976803129</c:v>
                </c:pt>
                <c:pt idx="9">
                  <c:v>-4.5725806143976024</c:v>
                </c:pt>
                <c:pt idx="10">
                  <c:v>-2.9322581060471071</c:v>
                </c:pt>
                <c:pt idx="11">
                  <c:v>7.2534482947968204</c:v>
                </c:pt>
                <c:pt idx="12">
                  <c:v>19.403278681464858</c:v>
                </c:pt>
                <c:pt idx="13">
                  <c:v>14.999999988009222</c:v>
                </c:pt>
                <c:pt idx="14">
                  <c:v>2.8140350622043275</c:v>
                </c:pt>
                <c:pt idx="15">
                  <c:v>-4.7145160705812517</c:v>
                </c:pt>
                <c:pt idx="16">
                  <c:v>-3.631746049911257</c:v>
                </c:pt>
                <c:pt idx="17">
                  <c:v>15.638983066619957</c:v>
                </c:pt>
                <c:pt idx="18">
                  <c:v>17.639682575587241</c:v>
                </c:pt>
                <c:pt idx="19">
                  <c:v>1.9000000135373263</c:v>
                </c:pt>
                <c:pt idx="20">
                  <c:v>-4.5209677142481652</c:v>
                </c:pt>
                <c:pt idx="21">
                  <c:v>-3.7338709369782479</c:v>
                </c:pt>
                <c:pt idx="22">
                  <c:v>6.5918032949576606</c:v>
                </c:pt>
                <c:pt idx="23">
                  <c:v>21.256896534356578</c:v>
                </c:pt>
                <c:pt idx="24">
                  <c:v>15.390476174652576</c:v>
                </c:pt>
                <c:pt idx="25">
                  <c:v>3.6475410029047826</c:v>
                </c:pt>
                <c:pt idx="26">
                  <c:v>-4.114285696120489</c:v>
                </c:pt>
                <c:pt idx="27">
                  <c:v>-3.1627118385444253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2.421875</c:v>
                </c:pt>
                <c:pt idx="4">
                  <c:v>2.8688524590163933</c:v>
                </c:pt>
                <c:pt idx="5">
                  <c:v>10.066666666666666</c:v>
                </c:pt>
                <c:pt idx="6">
                  <c:v>16.516666666666666</c:v>
                </c:pt>
                <c:pt idx="7">
                  <c:v>15.186440677966102</c:v>
                </c:pt>
                <c:pt idx="8">
                  <c:v>6.82258064516129</c:v>
                </c:pt>
                <c:pt idx="9">
                  <c:v>2.2580645161290325</c:v>
                </c:pt>
                <c:pt idx="10">
                  <c:v>3.4516129032258065</c:v>
                </c:pt>
                <c:pt idx="11">
                  <c:v>11.310344827586206</c:v>
                </c:pt>
                <c:pt idx="12">
                  <c:v>17.327868852459016</c:v>
                </c:pt>
                <c:pt idx="13">
                  <c:v>14.890625</c:v>
                </c:pt>
                <c:pt idx="14">
                  <c:v>5.7719298245614032</c:v>
                </c:pt>
                <c:pt idx="15">
                  <c:v>2.1451612903225805</c:v>
                </c:pt>
                <c:pt idx="16">
                  <c:v>2.9365079365079363</c:v>
                </c:pt>
                <c:pt idx="17">
                  <c:v>15.983050847457626</c:v>
                </c:pt>
                <c:pt idx="18">
                  <c:v>17.047619047619047</c:v>
                </c:pt>
                <c:pt idx="19">
                  <c:v>5.6101694915254239</c:v>
                </c:pt>
                <c:pt idx="20">
                  <c:v>2.1129032258064515</c:v>
                </c:pt>
                <c:pt idx="21">
                  <c:v>2.7580645161290325</c:v>
                </c:pt>
                <c:pt idx="22">
                  <c:v>10.770491803278688</c:v>
                </c:pt>
                <c:pt idx="23">
                  <c:v>19.810344827586206</c:v>
                </c:pt>
                <c:pt idx="24">
                  <c:v>15.857142857142858</c:v>
                </c:pt>
                <c:pt idx="25">
                  <c:v>6.9672131147540988</c:v>
                </c:pt>
                <c:pt idx="26">
                  <c:v>2.1111111111111112</c:v>
                </c:pt>
                <c:pt idx="27">
                  <c:v>3.4576271186440679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21.785245864117734</c:v>
                </c:pt>
                <c:pt idx="1">
                  <c:v>16.303225811090201</c:v>
                </c:pt>
                <c:pt idx="2">
                  <c:v>1.6137931285233336</c:v>
                </c:pt>
                <c:pt idx="3">
                  <c:v>7.1283333420753472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17.442622950819672</c:v>
                </c:pt>
                <c:pt idx="1">
                  <c:v>15.129032258064516</c:v>
                </c:pt>
                <c:pt idx="2">
                  <c:v>5.5172413793103452</c:v>
                </c:pt>
                <c:pt idx="3">
                  <c:v>10.066666666666666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J5" sqref="J5"/>
    </sheetView>
  </sheetViews>
  <sheetFormatPr defaultColWidth="10.62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>
        <v>45761</v>
      </c>
      <c r="B3" s="11">
        <v>45729</v>
      </c>
      <c r="C3" s="11">
        <v>45758</v>
      </c>
      <c r="D3" s="12">
        <v>30</v>
      </c>
      <c r="E3" s="12">
        <v>74392</v>
      </c>
      <c r="F3" s="15" t="s">
        <v>9</v>
      </c>
      <c r="G3" s="19">
        <v>400</v>
      </c>
      <c r="M3" s="2"/>
      <c r="N3" s="2"/>
      <c r="O3" s="2"/>
      <c r="U3" s="2"/>
      <c r="V3" s="2"/>
      <c r="W3" s="2"/>
    </row>
    <row r="4" spans="1:23" x14ac:dyDescent="0.25">
      <c r="A4" s="11">
        <v>45730</v>
      </c>
      <c r="B4" s="11">
        <v>45701</v>
      </c>
      <c r="C4" s="11">
        <v>45728</v>
      </c>
      <c r="D4" s="12">
        <v>28</v>
      </c>
      <c r="E4" s="12">
        <v>73995</v>
      </c>
      <c r="F4" s="15" t="s">
        <v>10</v>
      </c>
      <c r="G4" s="19">
        <v>371</v>
      </c>
      <c r="M4" s="2"/>
      <c r="N4" s="2"/>
      <c r="O4" s="2"/>
      <c r="U4" s="2"/>
      <c r="V4" s="2"/>
      <c r="W4" s="2"/>
    </row>
    <row r="5" spans="1:23" x14ac:dyDescent="0.25">
      <c r="A5" s="11">
        <v>45701</v>
      </c>
      <c r="B5" s="11">
        <v>45668</v>
      </c>
      <c r="C5" s="11">
        <v>45700</v>
      </c>
      <c r="D5" s="12">
        <v>33</v>
      </c>
      <c r="E5" s="12">
        <v>73627</v>
      </c>
      <c r="F5" s="15" t="s">
        <v>9</v>
      </c>
      <c r="G5" s="19">
        <v>693</v>
      </c>
      <c r="M5" s="2"/>
      <c r="N5" s="2"/>
      <c r="O5" s="2"/>
      <c r="U5" s="2"/>
      <c r="V5" s="2"/>
      <c r="W5" s="2"/>
    </row>
    <row r="6" spans="1:23" x14ac:dyDescent="0.25">
      <c r="A6" s="11">
        <v>45671</v>
      </c>
      <c r="B6" s="11">
        <v>45638</v>
      </c>
      <c r="C6" s="11">
        <v>45667</v>
      </c>
      <c r="D6" s="12">
        <v>30</v>
      </c>
      <c r="E6" s="12">
        <v>72940</v>
      </c>
      <c r="F6" s="15" t="s">
        <v>10</v>
      </c>
      <c r="G6" s="19">
        <v>497</v>
      </c>
      <c r="M6" s="2"/>
      <c r="N6" s="2"/>
      <c r="O6" s="2"/>
      <c r="U6" s="2"/>
      <c r="V6" s="2"/>
      <c r="W6" s="2"/>
    </row>
    <row r="7" spans="1:23" x14ac:dyDescent="0.25">
      <c r="A7" s="11">
        <v>45638</v>
      </c>
      <c r="B7" s="11">
        <v>45606</v>
      </c>
      <c r="C7" s="11">
        <v>45637</v>
      </c>
      <c r="D7" s="12">
        <v>32</v>
      </c>
      <c r="E7" s="12">
        <v>72447</v>
      </c>
      <c r="F7" s="15" t="s">
        <v>9</v>
      </c>
      <c r="G7" s="19">
        <v>441</v>
      </c>
      <c r="M7" s="2"/>
      <c r="N7" s="2"/>
      <c r="O7" s="2"/>
      <c r="U7" s="2"/>
      <c r="V7" s="2"/>
      <c r="W7" s="2"/>
    </row>
    <row r="8" spans="1:23" x14ac:dyDescent="0.25">
      <c r="A8" s="11">
        <v>45610</v>
      </c>
      <c r="B8" s="11">
        <v>45577</v>
      </c>
      <c r="C8" s="11">
        <v>45605</v>
      </c>
      <c r="D8" s="12">
        <v>29</v>
      </c>
      <c r="E8" s="12">
        <v>72010</v>
      </c>
      <c r="F8" s="15" t="s">
        <v>10</v>
      </c>
      <c r="G8" s="19">
        <v>255</v>
      </c>
      <c r="M8" s="2"/>
      <c r="N8" s="2"/>
      <c r="O8" s="2"/>
      <c r="U8" s="2"/>
      <c r="V8" s="2"/>
      <c r="W8" s="2"/>
    </row>
    <row r="9" spans="1:23" x14ac:dyDescent="0.25">
      <c r="A9" s="11">
        <v>45580</v>
      </c>
      <c r="B9" s="11">
        <v>45548</v>
      </c>
      <c r="C9" s="11">
        <v>45576</v>
      </c>
      <c r="D9" s="12">
        <v>29</v>
      </c>
      <c r="E9" s="12">
        <v>71757</v>
      </c>
      <c r="F9" s="15" t="s">
        <v>9</v>
      </c>
      <c r="G9" s="19">
        <v>65</v>
      </c>
      <c r="M9" s="2"/>
      <c r="N9" s="2"/>
      <c r="O9" s="2"/>
      <c r="U9" s="2"/>
      <c r="V9" s="2"/>
      <c r="W9" s="2"/>
    </row>
    <row r="10" spans="1:23" x14ac:dyDescent="0.25">
      <c r="A10" s="11">
        <v>45547</v>
      </c>
      <c r="B10" s="11">
        <v>45518</v>
      </c>
      <c r="C10" s="11">
        <v>45547</v>
      </c>
      <c r="D10" s="12">
        <v>30</v>
      </c>
      <c r="E10" s="12">
        <v>71692</v>
      </c>
      <c r="F10" s="15" t="s">
        <v>10</v>
      </c>
      <c r="G10" s="19">
        <v>78</v>
      </c>
      <c r="M10" s="2"/>
      <c r="N10" s="2"/>
      <c r="O10" s="2"/>
      <c r="U10" s="2"/>
      <c r="V10" s="2"/>
      <c r="W10" s="2"/>
    </row>
    <row r="11" spans="1:23" x14ac:dyDescent="0.25">
      <c r="A11" s="11">
        <v>45518</v>
      </c>
      <c r="B11" s="11">
        <v>45484</v>
      </c>
      <c r="C11" s="11">
        <v>45517</v>
      </c>
      <c r="D11" s="12">
        <v>34</v>
      </c>
      <c r="E11" s="12">
        <v>71615</v>
      </c>
      <c r="F11" s="15" t="s">
        <v>9</v>
      </c>
      <c r="G11" s="19">
        <v>77</v>
      </c>
      <c r="M11" s="2"/>
      <c r="N11" s="2"/>
      <c r="O11" s="2"/>
      <c r="U11" s="2"/>
      <c r="V11" s="2"/>
      <c r="W11" s="2"/>
    </row>
    <row r="12" spans="1:23" x14ac:dyDescent="0.25">
      <c r="A12" s="11">
        <v>45488</v>
      </c>
      <c r="B12" s="11">
        <v>45456</v>
      </c>
      <c r="C12" s="11">
        <v>45483</v>
      </c>
      <c r="D12" s="12">
        <v>28</v>
      </c>
      <c r="E12" s="12">
        <v>71539</v>
      </c>
      <c r="F12" s="15" t="s">
        <v>10</v>
      </c>
      <c r="G12" s="19">
        <v>93</v>
      </c>
      <c r="M12" s="2"/>
      <c r="N12" s="2"/>
      <c r="O12" s="2"/>
      <c r="U12" s="2"/>
      <c r="V12" s="2"/>
      <c r="W12" s="2"/>
    </row>
    <row r="13" spans="1:23" x14ac:dyDescent="0.25">
      <c r="A13" s="11">
        <v>45456</v>
      </c>
      <c r="B13" s="11">
        <v>45423</v>
      </c>
      <c r="C13" s="11">
        <v>45455</v>
      </c>
      <c r="D13" s="12">
        <v>33</v>
      </c>
      <c r="E13" s="12">
        <v>71447</v>
      </c>
      <c r="F13" s="15" t="s">
        <v>9</v>
      </c>
      <c r="G13" s="19">
        <v>82</v>
      </c>
      <c r="M13" s="2"/>
      <c r="N13" s="2"/>
      <c r="O13" s="2"/>
      <c r="U13" s="2"/>
      <c r="V13" s="2"/>
      <c r="W13" s="2"/>
    </row>
    <row r="14" spans="1:23" x14ac:dyDescent="0.25">
      <c r="A14" s="11">
        <v>45426</v>
      </c>
      <c r="B14" s="11">
        <v>45394</v>
      </c>
      <c r="C14" s="11">
        <v>45422</v>
      </c>
      <c r="D14" s="12">
        <v>29</v>
      </c>
      <c r="E14" s="12">
        <v>71366</v>
      </c>
      <c r="F14" s="15" t="s">
        <v>10</v>
      </c>
      <c r="G14" s="19">
        <v>238</v>
      </c>
      <c r="M14" s="2"/>
      <c r="N14" s="2"/>
      <c r="O14" s="2"/>
      <c r="U14" s="2"/>
      <c r="V14" s="2"/>
      <c r="W14" s="2"/>
    </row>
    <row r="15" spans="1:23" x14ac:dyDescent="0.25">
      <c r="A15" s="11">
        <v>45394</v>
      </c>
      <c r="B15" s="11">
        <v>45363</v>
      </c>
      <c r="C15" s="11">
        <v>45393</v>
      </c>
      <c r="D15" s="12">
        <v>31</v>
      </c>
      <c r="E15" s="12">
        <v>71129</v>
      </c>
      <c r="F15" s="15" t="s">
        <v>9</v>
      </c>
      <c r="G15" s="19">
        <v>366</v>
      </c>
      <c r="M15" s="2"/>
      <c r="N15" s="2"/>
      <c r="O15" s="2"/>
      <c r="U15" s="2"/>
      <c r="V15" s="2"/>
      <c r="W15" s="2"/>
    </row>
    <row r="16" spans="1:23" x14ac:dyDescent="0.25">
      <c r="A16" s="11">
        <v>45364</v>
      </c>
      <c r="B16" s="11">
        <v>45333</v>
      </c>
      <c r="C16" s="11">
        <v>45362</v>
      </c>
      <c r="D16" s="12">
        <v>30</v>
      </c>
      <c r="E16" s="12">
        <v>70766</v>
      </c>
      <c r="F16" s="15" t="s">
        <v>10</v>
      </c>
      <c r="G16" s="19">
        <v>477</v>
      </c>
      <c r="M16" s="2"/>
      <c r="N16" s="2"/>
      <c r="O16" s="2"/>
      <c r="U16" s="2"/>
      <c r="V16" s="2"/>
      <c r="W16" s="2"/>
    </row>
    <row r="17" spans="1:23" x14ac:dyDescent="0.25">
      <c r="A17" s="11">
        <v>45334</v>
      </c>
      <c r="B17" s="11">
        <v>45303</v>
      </c>
      <c r="C17" s="11">
        <v>45332</v>
      </c>
      <c r="D17" s="12">
        <v>30</v>
      </c>
      <c r="E17" s="12">
        <v>70293</v>
      </c>
      <c r="F17" s="15" t="s">
        <v>9</v>
      </c>
      <c r="G17" s="19">
        <v>514</v>
      </c>
      <c r="M17" s="2"/>
      <c r="N17" s="2"/>
      <c r="O17" s="2"/>
      <c r="U17" s="2"/>
      <c r="V17" s="2"/>
      <c r="W17" s="2"/>
    </row>
    <row r="18" spans="1:23" x14ac:dyDescent="0.25">
      <c r="A18" s="11">
        <v>45306</v>
      </c>
      <c r="B18" s="11">
        <v>45272</v>
      </c>
      <c r="C18" s="11">
        <v>45302</v>
      </c>
      <c r="D18" s="12">
        <v>31</v>
      </c>
      <c r="E18" s="12">
        <v>69783</v>
      </c>
      <c r="F18" s="15" t="s">
        <v>10</v>
      </c>
      <c r="G18" s="19">
        <v>485</v>
      </c>
      <c r="M18" s="2"/>
      <c r="N18" s="2"/>
      <c r="O18" s="2"/>
      <c r="U18" s="2"/>
      <c r="V18" s="2"/>
      <c r="W18" s="2"/>
    </row>
    <row r="19" spans="1:23" x14ac:dyDescent="0.25">
      <c r="A19" s="11">
        <v>45272</v>
      </c>
      <c r="B19" s="11">
        <v>45244</v>
      </c>
      <c r="C19" s="11">
        <v>45271</v>
      </c>
      <c r="D19" s="12">
        <v>28</v>
      </c>
      <c r="E19" s="12">
        <v>69302</v>
      </c>
      <c r="F19" s="15" t="s">
        <v>9</v>
      </c>
      <c r="G19" s="19">
        <v>411</v>
      </c>
      <c r="M19" s="2"/>
      <c r="N19" s="2"/>
      <c r="O19" s="2"/>
      <c r="U19" s="2"/>
      <c r="V19" s="2"/>
      <c r="W19" s="2"/>
    </row>
    <row r="20" spans="1:23" x14ac:dyDescent="0.25">
      <c r="A20" s="11">
        <v>45244</v>
      </c>
      <c r="B20" s="11">
        <v>45216</v>
      </c>
      <c r="C20" s="11">
        <v>45243</v>
      </c>
      <c r="D20" s="12">
        <v>28</v>
      </c>
      <c r="E20" s="12">
        <v>68894</v>
      </c>
      <c r="F20" s="15" t="s">
        <v>10</v>
      </c>
      <c r="G20" s="19">
        <v>339</v>
      </c>
      <c r="M20" s="2"/>
      <c r="N20" s="2"/>
      <c r="O20" s="2"/>
      <c r="U20" s="2"/>
      <c r="V20" s="2"/>
      <c r="W20" s="2"/>
    </row>
    <row r="21" spans="1:23" x14ac:dyDescent="0.25">
      <c r="A21" s="11">
        <v>45216</v>
      </c>
      <c r="B21" s="11">
        <v>45182</v>
      </c>
      <c r="C21" s="11">
        <v>45215</v>
      </c>
      <c r="D21" s="12">
        <v>34</v>
      </c>
      <c r="E21" s="12">
        <v>68558</v>
      </c>
      <c r="F21" s="15" t="s">
        <v>9</v>
      </c>
      <c r="G21" s="19">
        <v>84</v>
      </c>
      <c r="M21" s="2"/>
      <c r="N21" s="2"/>
      <c r="O21" s="2"/>
      <c r="U21" s="2"/>
      <c r="V21" s="2"/>
      <c r="W21" s="2"/>
    </row>
    <row r="22" spans="1:23" x14ac:dyDescent="0.25">
      <c r="A22" s="11">
        <v>45183</v>
      </c>
      <c r="B22" s="11">
        <v>45153</v>
      </c>
      <c r="C22" s="11">
        <v>45181</v>
      </c>
      <c r="D22" s="12">
        <v>29</v>
      </c>
      <c r="E22" s="12">
        <v>68474</v>
      </c>
      <c r="F22" s="15" t="s">
        <v>10</v>
      </c>
      <c r="G22" s="19">
        <v>58</v>
      </c>
      <c r="M22" s="2"/>
      <c r="N22" s="2"/>
      <c r="O22" s="2"/>
      <c r="U22" s="2"/>
      <c r="V22" s="2"/>
      <c r="W22" s="2"/>
    </row>
    <row r="23" spans="1:23" x14ac:dyDescent="0.25">
      <c r="A23" s="11">
        <v>45153</v>
      </c>
      <c r="B23" s="11">
        <v>45120</v>
      </c>
      <c r="C23" s="11">
        <v>45152</v>
      </c>
      <c r="D23" s="12">
        <v>33</v>
      </c>
      <c r="E23" s="12">
        <v>68416</v>
      </c>
      <c r="F23" s="15" t="s">
        <v>9</v>
      </c>
      <c r="G23" s="19">
        <v>82</v>
      </c>
      <c r="M23" s="2"/>
      <c r="N23" s="2"/>
      <c r="O23" s="2"/>
      <c r="U23" s="2"/>
      <c r="V23" s="2"/>
      <c r="W23" s="2"/>
    </row>
    <row r="24" spans="1:23" x14ac:dyDescent="0.25">
      <c r="A24" s="11">
        <v>45120</v>
      </c>
      <c r="B24" s="11">
        <v>45091</v>
      </c>
      <c r="C24" s="11">
        <v>45119</v>
      </c>
      <c r="D24" s="12">
        <v>29</v>
      </c>
      <c r="E24" s="12">
        <v>68335</v>
      </c>
      <c r="F24" s="15" t="s">
        <v>10</v>
      </c>
      <c r="G24" s="19">
        <v>131</v>
      </c>
      <c r="M24" s="2"/>
      <c r="N24" s="2"/>
      <c r="O24" s="2"/>
      <c r="U24" s="2"/>
      <c r="V24" s="2"/>
      <c r="W24" s="2"/>
    </row>
    <row r="25" spans="1:23" x14ac:dyDescent="0.25">
      <c r="A25" s="11">
        <v>45091</v>
      </c>
      <c r="B25" s="11">
        <v>45058</v>
      </c>
      <c r="C25" s="11">
        <v>45090</v>
      </c>
      <c r="D25" s="12">
        <v>33</v>
      </c>
      <c r="E25" s="12">
        <v>68205</v>
      </c>
      <c r="F25" s="15" t="s">
        <v>9</v>
      </c>
      <c r="G25" s="19">
        <v>83</v>
      </c>
      <c r="M25" s="2"/>
      <c r="N25" s="2"/>
      <c r="O25" s="2"/>
      <c r="U25" s="2"/>
      <c r="V25" s="2"/>
      <c r="W25" s="2"/>
    </row>
    <row r="26" spans="1:23" x14ac:dyDescent="0.25">
      <c r="A26" s="11">
        <v>45061</v>
      </c>
      <c r="B26" s="11">
        <v>45030</v>
      </c>
      <c r="C26" s="11">
        <v>45057</v>
      </c>
      <c r="D26" s="12">
        <v>28</v>
      </c>
      <c r="E26" s="12">
        <v>68123</v>
      </c>
      <c r="F26" s="15" t="s">
        <v>10</v>
      </c>
      <c r="G26" s="19">
        <v>261</v>
      </c>
      <c r="M26" s="2"/>
      <c r="N26" s="2"/>
      <c r="O26" s="2"/>
      <c r="U26" s="2"/>
      <c r="V26" s="2"/>
      <c r="W26" s="2"/>
    </row>
    <row r="27" spans="1:23" x14ac:dyDescent="0.25">
      <c r="A27" s="11">
        <v>45030</v>
      </c>
      <c r="B27" s="11">
        <v>45000</v>
      </c>
      <c r="C27" s="11">
        <v>45029</v>
      </c>
      <c r="D27" s="12">
        <v>30</v>
      </c>
      <c r="E27" s="12">
        <v>67864</v>
      </c>
      <c r="F27" s="15" t="s">
        <v>9</v>
      </c>
      <c r="G27" s="19">
        <v>395</v>
      </c>
      <c r="M27" s="2"/>
      <c r="N27" s="2"/>
      <c r="O27" s="2"/>
      <c r="U27" s="2"/>
      <c r="V27" s="2"/>
      <c r="W27" s="2"/>
    </row>
    <row r="28" spans="1:23" x14ac:dyDescent="0.25">
      <c r="A28" s="11">
        <v>45000</v>
      </c>
      <c r="B28" s="11">
        <v>44968</v>
      </c>
      <c r="C28" s="11">
        <v>44999</v>
      </c>
      <c r="D28" s="12">
        <v>32</v>
      </c>
      <c r="E28" s="12">
        <v>67472</v>
      </c>
      <c r="F28" s="15" t="s">
        <v>10</v>
      </c>
      <c r="G28" s="19">
        <v>494</v>
      </c>
      <c r="M28" s="2"/>
      <c r="N28" s="2"/>
      <c r="O28" s="2"/>
      <c r="U28" s="2"/>
      <c r="V28" s="2"/>
      <c r="W28" s="2"/>
    </row>
    <row r="29" spans="1:23" x14ac:dyDescent="0.25">
      <c r="A29" s="11">
        <v>44970</v>
      </c>
      <c r="B29" s="11">
        <v>44939</v>
      </c>
      <c r="C29" s="11">
        <v>44967</v>
      </c>
      <c r="D29" s="12">
        <v>29</v>
      </c>
      <c r="E29" s="12">
        <v>66982</v>
      </c>
      <c r="F29" s="15" t="s">
        <v>9</v>
      </c>
      <c r="G29" s="19">
        <v>563</v>
      </c>
      <c r="M29" s="2"/>
      <c r="N29" s="2"/>
      <c r="O29" s="2"/>
      <c r="U29" s="2"/>
      <c r="V29" s="2"/>
      <c r="W29" s="2"/>
    </row>
    <row r="30" spans="1:23" x14ac:dyDescent="0.25">
      <c r="A30" s="11">
        <v>44942</v>
      </c>
      <c r="B30" s="11">
        <v>44908</v>
      </c>
      <c r="C30" s="11">
        <v>44938</v>
      </c>
      <c r="D30" s="12">
        <v>31</v>
      </c>
      <c r="E30" s="12">
        <v>66424</v>
      </c>
      <c r="F30" s="15" t="s">
        <v>10</v>
      </c>
      <c r="G30" s="19">
        <v>483</v>
      </c>
      <c r="M30" s="2"/>
      <c r="N30" s="2"/>
      <c r="O30" s="2"/>
      <c r="U30" s="2"/>
      <c r="V30" s="2"/>
      <c r="W30" s="2"/>
    </row>
    <row r="31" spans="1:23" x14ac:dyDescent="0.25">
      <c r="A31" s="11">
        <v>44908</v>
      </c>
      <c r="B31" s="11">
        <v>44875</v>
      </c>
      <c r="C31" s="11">
        <v>44907</v>
      </c>
      <c r="D31" s="12">
        <v>33</v>
      </c>
      <c r="E31" s="12">
        <v>65945</v>
      </c>
      <c r="F31" s="15" t="s">
        <v>9</v>
      </c>
      <c r="G31" s="19">
        <v>470</v>
      </c>
      <c r="M31" s="2"/>
      <c r="N31" s="2"/>
      <c r="O31" s="2"/>
      <c r="U31" s="2"/>
      <c r="V31" s="2"/>
      <c r="W31" s="2"/>
    </row>
    <row r="32" spans="1:23" x14ac:dyDescent="0.25">
      <c r="A32" s="11">
        <v>44880</v>
      </c>
      <c r="B32" s="11">
        <v>44849</v>
      </c>
      <c r="C32" s="11">
        <v>44874</v>
      </c>
      <c r="D32" s="12">
        <v>26</v>
      </c>
      <c r="E32" s="12">
        <v>65479</v>
      </c>
      <c r="F32" s="15" t="s">
        <v>10</v>
      </c>
      <c r="G32" s="19">
        <v>125</v>
      </c>
      <c r="M32" s="2"/>
      <c r="N32" s="2"/>
      <c r="O32" s="2"/>
      <c r="U32" s="2"/>
      <c r="V32" s="2"/>
      <c r="W32" s="2"/>
    </row>
    <row r="33" spans="1:23" x14ac:dyDescent="0.25">
      <c r="A33" s="11">
        <v>44849</v>
      </c>
      <c r="B33" s="11">
        <v>44818</v>
      </c>
      <c r="C33" s="11">
        <v>44848</v>
      </c>
      <c r="D33" s="12">
        <v>31</v>
      </c>
      <c r="E33" s="12">
        <v>65355</v>
      </c>
      <c r="F33" s="15" t="s">
        <v>9</v>
      </c>
      <c r="G33" s="19">
        <v>204</v>
      </c>
      <c r="M33" s="2"/>
      <c r="N33" s="2"/>
      <c r="O33" s="2"/>
      <c r="U33" s="2"/>
      <c r="V33" s="2"/>
      <c r="W33" s="2"/>
    </row>
    <row r="34" spans="1:23" x14ac:dyDescent="0.25">
      <c r="A34" s="11">
        <v>44819</v>
      </c>
      <c r="B34" s="11">
        <v>44789</v>
      </c>
      <c r="C34" s="11">
        <v>44817</v>
      </c>
      <c r="D34" s="12">
        <v>29</v>
      </c>
      <c r="E34" s="12">
        <v>65153</v>
      </c>
      <c r="F34" s="15" t="s">
        <v>10</v>
      </c>
      <c r="G34" s="19">
        <v>50</v>
      </c>
      <c r="M34" s="2"/>
      <c r="N34" s="2"/>
      <c r="O34" s="2"/>
      <c r="U34" s="2"/>
      <c r="V34" s="2"/>
      <c r="W34" s="2"/>
    </row>
    <row r="35" spans="1:23" x14ac:dyDescent="0.25">
      <c r="A35" s="11">
        <v>44789</v>
      </c>
      <c r="B35" s="11">
        <v>44756</v>
      </c>
      <c r="C35" s="11">
        <v>44788</v>
      </c>
      <c r="D35" s="12">
        <v>33</v>
      </c>
      <c r="E35" s="12">
        <v>65103</v>
      </c>
      <c r="F35" s="15" t="s">
        <v>9</v>
      </c>
      <c r="G35" s="19">
        <v>83</v>
      </c>
      <c r="M35" s="2"/>
      <c r="N35" s="2"/>
      <c r="O35" s="2"/>
      <c r="U35" s="2"/>
      <c r="V35" s="2"/>
      <c r="W35" s="2"/>
    </row>
    <row r="36" spans="1:23" x14ac:dyDescent="0.25">
      <c r="A36" s="11">
        <v>44756</v>
      </c>
      <c r="B36" s="11">
        <v>44726</v>
      </c>
      <c r="C36" s="11">
        <v>44755</v>
      </c>
      <c r="D36" s="12">
        <v>30</v>
      </c>
      <c r="E36" s="12">
        <v>65021</v>
      </c>
      <c r="F36" s="15" t="s">
        <v>10</v>
      </c>
      <c r="G36" s="19">
        <v>102</v>
      </c>
      <c r="M36" s="2"/>
      <c r="N36" s="2"/>
      <c r="O36" s="2"/>
      <c r="U36" s="2"/>
      <c r="V36" s="2"/>
      <c r="W36" s="2"/>
    </row>
    <row r="37" spans="1:23" x14ac:dyDescent="0.25">
      <c r="A37" s="11">
        <v>44726</v>
      </c>
      <c r="B37" s="11">
        <v>44693</v>
      </c>
      <c r="C37" s="11">
        <v>44725</v>
      </c>
      <c r="D37" s="12">
        <v>33</v>
      </c>
      <c r="E37" s="12">
        <v>64920</v>
      </c>
      <c r="F37" s="15" t="s">
        <v>9</v>
      </c>
      <c r="G37" s="19">
        <v>83</v>
      </c>
      <c r="M37" s="2"/>
      <c r="N37" s="2"/>
      <c r="O37" s="2"/>
      <c r="U37" s="2"/>
      <c r="V37" s="2"/>
      <c r="W37" s="2"/>
    </row>
    <row r="38" spans="1:23" x14ac:dyDescent="0.25">
      <c r="A38" s="11">
        <v>44694</v>
      </c>
      <c r="B38" s="11">
        <v>44664</v>
      </c>
      <c r="C38" s="11">
        <v>44692</v>
      </c>
      <c r="D38" s="12">
        <v>29</v>
      </c>
      <c r="E38" s="12">
        <v>64838</v>
      </c>
      <c r="F38" s="15" t="s">
        <v>10</v>
      </c>
      <c r="G38" s="19">
        <v>303</v>
      </c>
      <c r="M38" s="2"/>
      <c r="N38" s="2"/>
      <c r="O38" s="2"/>
      <c r="U38" s="2"/>
      <c r="V38" s="2"/>
      <c r="W38" s="2"/>
    </row>
    <row r="39" spans="1:23" x14ac:dyDescent="0.25">
      <c r="A39" s="11">
        <v>44664</v>
      </c>
      <c r="B39" s="11">
        <v>44635</v>
      </c>
      <c r="C39" s="11">
        <v>44663</v>
      </c>
      <c r="D39" s="12">
        <v>29</v>
      </c>
      <c r="E39" s="12">
        <v>64537</v>
      </c>
      <c r="F39" s="15" t="s">
        <v>9</v>
      </c>
      <c r="G39" s="19">
        <v>360</v>
      </c>
      <c r="M39" s="2"/>
      <c r="N39" s="2"/>
      <c r="O39" s="2"/>
      <c r="U39" s="2"/>
      <c r="V39" s="2"/>
      <c r="W39" s="2"/>
    </row>
    <row r="40" spans="1:23" x14ac:dyDescent="0.25">
      <c r="A40" s="11">
        <v>44635</v>
      </c>
      <c r="B40" s="11">
        <v>44603</v>
      </c>
      <c r="C40" s="11">
        <v>44634</v>
      </c>
      <c r="D40" s="12">
        <v>32</v>
      </c>
      <c r="E40" s="12">
        <v>64180</v>
      </c>
      <c r="F40" s="15" t="s">
        <v>9</v>
      </c>
      <c r="G40" s="19">
        <v>588</v>
      </c>
      <c r="M40" s="2"/>
      <c r="N40" s="2"/>
      <c r="O40" s="2"/>
      <c r="U40" s="2"/>
      <c r="V40" s="2"/>
      <c r="W40" s="2"/>
    </row>
    <row r="41" spans="1:23" x14ac:dyDescent="0.25">
      <c r="A41" s="11">
        <v>44603</v>
      </c>
      <c r="B41" s="11">
        <v>44575</v>
      </c>
      <c r="C41" s="11">
        <v>44602</v>
      </c>
      <c r="D41" s="12">
        <v>28</v>
      </c>
      <c r="E41" s="12">
        <v>63597</v>
      </c>
      <c r="F41" s="15" t="s">
        <v>9</v>
      </c>
      <c r="G41" s="19">
        <v>635</v>
      </c>
      <c r="M41" s="2"/>
      <c r="N41" s="2"/>
      <c r="O41" s="2"/>
      <c r="U41" s="2"/>
      <c r="V41" s="2"/>
      <c r="W41" s="2"/>
    </row>
    <row r="42" spans="1:23" x14ac:dyDescent="0.25">
      <c r="A42" s="11">
        <v>44575</v>
      </c>
      <c r="B42" s="11">
        <v>44544</v>
      </c>
      <c r="C42" s="11">
        <v>44574</v>
      </c>
      <c r="D42" s="12">
        <v>31</v>
      </c>
      <c r="E42" s="12">
        <v>62967</v>
      </c>
      <c r="F42" s="15" t="s">
        <v>10</v>
      </c>
      <c r="G42" s="19">
        <v>608</v>
      </c>
      <c r="M42" s="2"/>
      <c r="N42" s="2"/>
      <c r="O42" s="2"/>
      <c r="U42" s="2"/>
      <c r="V42" s="2"/>
      <c r="W42" s="2"/>
    </row>
    <row r="43" spans="1:23" x14ac:dyDescent="0.25">
      <c r="A43" s="11">
        <v>44544</v>
      </c>
      <c r="B43" s="11">
        <v>44512</v>
      </c>
      <c r="C43" s="11">
        <v>44543</v>
      </c>
      <c r="D43" s="12">
        <v>32</v>
      </c>
      <c r="E43" s="12">
        <v>62364</v>
      </c>
      <c r="F43" s="15" t="s">
        <v>9</v>
      </c>
      <c r="G43" s="19">
        <v>466</v>
      </c>
      <c r="M43" s="2"/>
      <c r="N43" s="2"/>
      <c r="O43" s="2"/>
      <c r="U43" s="2"/>
      <c r="V43" s="2"/>
      <c r="W43" s="2"/>
    </row>
    <row r="44" spans="1:23" x14ac:dyDescent="0.25">
      <c r="A44" s="11">
        <v>44515</v>
      </c>
      <c r="B44" s="11">
        <v>44483</v>
      </c>
      <c r="C44" s="11">
        <v>44511</v>
      </c>
      <c r="D44" s="12">
        <v>29</v>
      </c>
      <c r="E44" s="12">
        <v>61902</v>
      </c>
      <c r="F44" s="15" t="s">
        <v>10</v>
      </c>
      <c r="G44" s="19">
        <v>261</v>
      </c>
      <c r="M44" s="2"/>
      <c r="N44" s="2"/>
      <c r="O44" s="2"/>
      <c r="U44" s="2"/>
      <c r="V44" s="2"/>
      <c r="W44" s="2"/>
    </row>
    <row r="45" spans="1:23" x14ac:dyDescent="0.25">
      <c r="A45" s="11">
        <v>44483</v>
      </c>
      <c r="B45" s="11">
        <v>44453</v>
      </c>
      <c r="C45" s="11">
        <v>44482</v>
      </c>
      <c r="D45" s="12">
        <v>30</v>
      </c>
      <c r="E45" s="12">
        <v>61643</v>
      </c>
      <c r="F45" s="15" t="s">
        <v>9</v>
      </c>
      <c r="G45" s="19">
        <v>70</v>
      </c>
      <c r="M45" s="2"/>
      <c r="O45" s="2"/>
      <c r="U45" s="2"/>
      <c r="W45" s="2"/>
    </row>
    <row r="46" spans="1:23" x14ac:dyDescent="0.25">
      <c r="A46" s="11">
        <v>44453</v>
      </c>
      <c r="B46" s="11">
        <v>44421</v>
      </c>
      <c r="C46" s="11">
        <v>44452</v>
      </c>
      <c r="D46" s="12">
        <v>32</v>
      </c>
      <c r="E46" s="12">
        <v>61573</v>
      </c>
      <c r="F46" s="15" t="s">
        <v>10</v>
      </c>
      <c r="G46" s="19">
        <v>60</v>
      </c>
      <c r="M46" s="2"/>
      <c r="O46" s="2"/>
      <c r="U46" s="2"/>
      <c r="W46" s="2"/>
    </row>
    <row r="47" spans="1:23" x14ac:dyDescent="0.25">
      <c r="A47" s="11">
        <v>44421</v>
      </c>
      <c r="B47" s="11">
        <v>44391</v>
      </c>
      <c r="C47" s="11">
        <v>44420</v>
      </c>
      <c r="D47" s="12">
        <v>30</v>
      </c>
      <c r="E47" s="12">
        <v>61513</v>
      </c>
      <c r="F47" s="15" t="s">
        <v>9</v>
      </c>
      <c r="G47" s="19">
        <v>71</v>
      </c>
      <c r="M47" s="2"/>
      <c r="O47" s="2"/>
      <c r="U47" s="2"/>
      <c r="W47" s="2"/>
    </row>
    <row r="48" spans="1:23" x14ac:dyDescent="0.25">
      <c r="A48" s="11">
        <v>44391</v>
      </c>
      <c r="B48" s="11">
        <v>44359</v>
      </c>
      <c r="C48" s="11">
        <v>44390</v>
      </c>
      <c r="D48" s="12">
        <v>32</v>
      </c>
      <c r="E48" s="12">
        <v>61443</v>
      </c>
      <c r="F48" s="15" t="s">
        <v>10</v>
      </c>
      <c r="G48" s="19">
        <v>100</v>
      </c>
      <c r="M48" s="2"/>
      <c r="O48" s="2"/>
      <c r="U48" s="2"/>
      <c r="W48" s="2"/>
    </row>
    <row r="49" spans="1:23" x14ac:dyDescent="0.25">
      <c r="A49" s="11">
        <v>44361</v>
      </c>
      <c r="B49" s="11">
        <v>44329</v>
      </c>
      <c r="C49" s="11">
        <v>44358</v>
      </c>
      <c r="D49" s="12">
        <v>30</v>
      </c>
      <c r="E49" s="12">
        <v>61343</v>
      </c>
      <c r="F49" s="15" t="s">
        <v>9</v>
      </c>
      <c r="G49" s="5">
        <v>71</v>
      </c>
      <c r="M49" s="2"/>
      <c r="O49" s="2"/>
      <c r="U49" s="2"/>
      <c r="W49" s="2"/>
    </row>
    <row r="50" spans="1:23" x14ac:dyDescent="0.25">
      <c r="A50" s="11">
        <v>44329</v>
      </c>
      <c r="B50" s="11">
        <v>44300</v>
      </c>
      <c r="C50" s="11">
        <v>44328</v>
      </c>
      <c r="D50" s="12">
        <v>29</v>
      </c>
      <c r="E50" s="12">
        <v>61273</v>
      </c>
      <c r="F50" s="15" t="s">
        <v>10</v>
      </c>
      <c r="G50" s="5">
        <v>332</v>
      </c>
      <c r="M50" s="2"/>
      <c r="O50" s="2"/>
      <c r="U50" s="2"/>
      <c r="W50" s="2"/>
    </row>
    <row r="51" spans="1:23" x14ac:dyDescent="0.25">
      <c r="A51" s="11">
        <v>44300</v>
      </c>
      <c r="B51" s="11">
        <v>44268</v>
      </c>
      <c r="C51" s="11">
        <v>44299</v>
      </c>
      <c r="D51" s="12">
        <v>32</v>
      </c>
      <c r="E51" s="12">
        <v>60944</v>
      </c>
      <c r="F51" s="15" t="s">
        <v>9</v>
      </c>
      <c r="G51" s="5">
        <v>325</v>
      </c>
      <c r="M51" s="2"/>
      <c r="O51" s="2"/>
      <c r="U51" s="2"/>
      <c r="W51" s="2"/>
    </row>
    <row r="52" spans="1:23" x14ac:dyDescent="0.25">
      <c r="A52" s="11">
        <v>44270</v>
      </c>
      <c r="B52" s="11">
        <v>44240</v>
      </c>
      <c r="C52" s="11">
        <v>44267</v>
      </c>
      <c r="D52" s="12">
        <v>28</v>
      </c>
      <c r="E52" s="12">
        <v>60622</v>
      </c>
      <c r="F52" s="15" t="s">
        <v>10</v>
      </c>
      <c r="G52" s="5">
        <v>562</v>
      </c>
      <c r="M52" s="2"/>
      <c r="O52" s="2"/>
      <c r="U52" s="2"/>
      <c r="W52" s="2"/>
    </row>
    <row r="53" spans="1:23" x14ac:dyDescent="0.25">
      <c r="A53" s="11">
        <v>44239</v>
      </c>
      <c r="B53" s="11">
        <v>44210</v>
      </c>
      <c r="C53" s="11">
        <v>44239</v>
      </c>
      <c r="D53" s="12">
        <v>30</v>
      </c>
      <c r="E53" s="12">
        <v>60065</v>
      </c>
      <c r="F53" s="15" t="s">
        <v>9</v>
      </c>
      <c r="G53" s="5">
        <v>587</v>
      </c>
      <c r="M53" s="2"/>
      <c r="O53" s="2"/>
      <c r="U53" s="2"/>
      <c r="W53" s="2"/>
    </row>
    <row r="54" spans="1:23" x14ac:dyDescent="0.25">
      <c r="A54" s="11">
        <v>44211</v>
      </c>
      <c r="B54" s="11">
        <v>44177</v>
      </c>
      <c r="C54" s="11">
        <v>44209</v>
      </c>
      <c r="D54" s="12">
        <v>33</v>
      </c>
      <c r="E54" s="12">
        <v>59483</v>
      </c>
      <c r="F54" s="15" t="s">
        <v>10</v>
      </c>
      <c r="G54" s="5">
        <v>593</v>
      </c>
      <c r="M54" s="2"/>
      <c r="O54" s="2"/>
      <c r="U54" s="2"/>
      <c r="W54" s="2"/>
    </row>
    <row r="55" spans="1:23" x14ac:dyDescent="0.25">
      <c r="A55" s="11">
        <v>44179</v>
      </c>
      <c r="B55" s="11">
        <v>44147</v>
      </c>
      <c r="C55" s="11">
        <v>44176</v>
      </c>
      <c r="D55" s="12">
        <v>30</v>
      </c>
      <c r="E55" s="12">
        <v>58895</v>
      </c>
      <c r="F55" s="15" t="s">
        <v>9</v>
      </c>
      <c r="G55" s="5">
        <v>406</v>
      </c>
      <c r="M55" s="2"/>
      <c r="O55" s="2"/>
      <c r="U55" s="2"/>
      <c r="W55" s="2"/>
    </row>
    <row r="56" spans="1:23" x14ac:dyDescent="0.25">
      <c r="A56" s="11">
        <v>44147</v>
      </c>
      <c r="B56" s="11">
        <v>44119</v>
      </c>
      <c r="C56" s="11">
        <v>44146</v>
      </c>
      <c r="D56" s="12">
        <v>28</v>
      </c>
      <c r="E56" s="12">
        <v>58492</v>
      </c>
      <c r="F56" s="15" t="s">
        <v>10</v>
      </c>
      <c r="G56" s="5">
        <v>259</v>
      </c>
      <c r="M56" s="2"/>
      <c r="O56" s="2"/>
      <c r="U56" s="2"/>
      <c r="W56" s="2"/>
    </row>
    <row r="57" spans="1:23" x14ac:dyDescent="0.25">
      <c r="A57" s="11">
        <v>44119</v>
      </c>
      <c r="B57" s="11">
        <v>44086</v>
      </c>
      <c r="C57" s="11">
        <v>44118</v>
      </c>
      <c r="D57" s="12">
        <v>33</v>
      </c>
      <c r="E57" s="12">
        <v>58235</v>
      </c>
      <c r="F57" s="15" t="s">
        <v>9</v>
      </c>
      <c r="G57" s="5">
        <v>166</v>
      </c>
      <c r="M57" s="2"/>
      <c r="O57" s="2"/>
      <c r="U57" s="2"/>
      <c r="W57" s="2"/>
    </row>
    <row r="58" spans="1:23" x14ac:dyDescent="0.25">
      <c r="A58" s="11">
        <v>44088</v>
      </c>
      <c r="B58" s="11">
        <v>44057</v>
      </c>
      <c r="C58" s="11">
        <v>44085</v>
      </c>
      <c r="D58" s="12">
        <v>29</v>
      </c>
      <c r="E58" s="12">
        <v>58071</v>
      </c>
      <c r="F58" s="15" t="s">
        <v>10</v>
      </c>
      <c r="G58" s="5">
        <v>44</v>
      </c>
      <c r="M58" s="2"/>
      <c r="O58" s="2"/>
      <c r="U58" s="2"/>
      <c r="W58" s="2"/>
    </row>
    <row r="59" spans="1:23" x14ac:dyDescent="0.25">
      <c r="A59" s="11">
        <v>44057</v>
      </c>
      <c r="B59" s="11">
        <v>44023</v>
      </c>
      <c r="C59" s="11">
        <v>44056</v>
      </c>
      <c r="D59" s="12">
        <v>34</v>
      </c>
      <c r="E59" s="12">
        <v>58027</v>
      </c>
      <c r="F59" s="15" t="s">
        <v>9</v>
      </c>
      <c r="G59" s="5">
        <v>89</v>
      </c>
      <c r="M59" s="2"/>
      <c r="O59" s="2"/>
      <c r="U59" s="2"/>
      <c r="W59" s="2"/>
    </row>
    <row r="60" spans="1:23" x14ac:dyDescent="0.25">
      <c r="A60" s="11">
        <v>44026</v>
      </c>
      <c r="B60" s="11">
        <v>43995</v>
      </c>
      <c r="C60" s="11">
        <v>44022</v>
      </c>
      <c r="D60" s="12">
        <v>28</v>
      </c>
      <c r="E60" s="12">
        <v>57939</v>
      </c>
      <c r="F60" s="15" t="s">
        <v>10</v>
      </c>
      <c r="G60" s="5">
        <v>123</v>
      </c>
      <c r="M60" s="2"/>
      <c r="O60" s="2"/>
      <c r="U60" s="2"/>
      <c r="W60" s="2"/>
    </row>
    <row r="61" spans="1:23" x14ac:dyDescent="0.25">
      <c r="A61" s="11">
        <v>43997</v>
      </c>
      <c r="B61" s="11">
        <v>43964</v>
      </c>
      <c r="C61" s="11">
        <v>43994</v>
      </c>
      <c r="D61" s="12">
        <v>31</v>
      </c>
      <c r="E61" s="12">
        <v>57817</v>
      </c>
      <c r="F61" s="15" t="s">
        <v>9</v>
      </c>
      <c r="G61" s="5">
        <v>81</v>
      </c>
      <c r="M61" s="2"/>
      <c r="O61" s="2"/>
      <c r="U61" s="2"/>
      <c r="W61" s="2"/>
    </row>
    <row r="62" spans="1:23" x14ac:dyDescent="0.25">
      <c r="A62" s="11">
        <v>43964</v>
      </c>
      <c r="B62" s="11">
        <v>43936</v>
      </c>
      <c r="C62" s="11">
        <v>43963</v>
      </c>
      <c r="D62" s="12">
        <v>28</v>
      </c>
      <c r="E62" s="12">
        <v>57737</v>
      </c>
      <c r="F62" s="15" t="s">
        <v>10</v>
      </c>
      <c r="G62" s="5">
        <v>437</v>
      </c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625" defaultRowHeight="15.75" x14ac:dyDescent="0.25"/>
  <cols>
    <col min="1" max="1" width="47" customWidth="1"/>
    <col min="2" max="2" width="10.125" customWidth="1"/>
  </cols>
  <sheetData>
    <row r="1" spans="1:3" x14ac:dyDescent="0.25">
      <c r="A1" t="s">
        <v>11</v>
      </c>
    </row>
    <row r="3" spans="1:3" x14ac:dyDescent="0.25">
      <c r="A3" t="s">
        <v>0</v>
      </c>
      <c r="B3" t="str">
        <f>'DDD Model Calculations'!D19</f>
        <v>Ottawa</v>
      </c>
    </row>
    <row r="5" spans="1:3" x14ac:dyDescent="0.25">
      <c r="A5" s="25" t="s">
        <v>12</v>
      </c>
      <c r="B5" s="25"/>
    </row>
    <row r="6" spans="1:3" x14ac:dyDescent="0.25">
      <c r="A6" t="s">
        <v>13</v>
      </c>
      <c r="B6" s="7">
        <f>SUM(WorkingData!$G$2:$G$133)/SUM(WorkingData!$I$2:$I$133)</f>
        <v>9.2878186968838534</v>
      </c>
    </row>
    <row r="7" spans="1:3" x14ac:dyDescent="0.25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2.6467741935483873</v>
      </c>
    </row>
    <row r="8" spans="1:3" x14ac:dyDescent="0.25">
      <c r="A8" t="s">
        <v>15</v>
      </c>
      <c r="B8" s="7">
        <f>SUMPRODUCT(WorkingData!$G$2:$G$133,WorkingData!$Q$2:$Q$133)/SUMPRODUCT(WorkingData!$I$2:$I$133,WorkingData!$Q$2:$Q$133)</f>
        <v>12.883842794759826</v>
      </c>
    </row>
    <row r="9" spans="1:3" x14ac:dyDescent="0.25">
      <c r="A9" t="s">
        <v>16</v>
      </c>
      <c r="B9" s="13">
        <f>SUMPRODUCT(WorkingData!$G$2:$G$133,WorkingData!$Q$2:$Q$133)/SUMPRODUCT(WorkingData!$M$2:$M$133,WorkingData!$Q$2:$Q$133)</f>
        <v>0.7648873564419203</v>
      </c>
    </row>
    <row r="10" spans="1:3" x14ac:dyDescent="0.25">
      <c r="A10" t="s">
        <v>17</v>
      </c>
      <c r="B10" s="7">
        <f>_xlfn.XLOOKUP(MAX(WorkingData!$O$2:$O$133),WorkingData!$O$2:$O$133,WorkingData!$N$2:$N$133)</f>
        <v>17.442622950819672</v>
      </c>
    </row>
    <row r="11" spans="1:3" x14ac:dyDescent="0.25">
      <c r="A11" t="s">
        <v>18</v>
      </c>
      <c r="B11" s="14">
        <f>_xlfn.XLOOKUP(MAX(WorkingData!$O$2:$O$133),WorkingData!$O$2:$O$133,WorkingData!$O$2:$O$133)</f>
        <v>26.785245864117734</v>
      </c>
    </row>
    <row r="12" spans="1:3" x14ac:dyDescent="0.25">
      <c r="A12" t="s">
        <v>19</v>
      </c>
      <c r="B12" s="14"/>
    </row>
    <row r="14" spans="1:3" x14ac:dyDescent="0.25">
      <c r="A14" s="17" t="s">
        <v>20</v>
      </c>
      <c r="B14" s="17" t="s">
        <v>21</v>
      </c>
      <c r="C14" s="17" t="s">
        <v>22</v>
      </c>
    </row>
    <row r="15" spans="1:3" x14ac:dyDescent="0.25">
      <c r="A15" t="s">
        <v>23</v>
      </c>
      <c r="B15" s="7">
        <f>'DDD Model Summary'!$B$6+(C15-5)*'DDD Model Summary'!$B$5</f>
        <v>27.173328820504331</v>
      </c>
      <c r="C15" s="14">
        <f>'DDD Model Calculations'!D26</f>
        <v>42.600000381469727</v>
      </c>
    </row>
    <row r="16" spans="1:3" x14ac:dyDescent="0.25">
      <c r="A16" t="s">
        <v>24</v>
      </c>
      <c r="B16" s="7">
        <f>'DDD Model Summary'!$B$6+(C16-5)*'DDD Model Summary'!$B$5</f>
        <v>27.465585751854018</v>
      </c>
      <c r="C16" s="14">
        <f>'DDD Model Calculations'!D25</f>
        <v>43.100000381469727</v>
      </c>
    </row>
    <row r="17" spans="1:3" x14ac:dyDescent="0.25">
      <c r="A17" t="s">
        <v>25</v>
      </c>
      <c r="B17" s="7">
        <f>'DDD Model Summary'!$B$6+(C17-5)*'DDD Model Summary'!$B$5</f>
        <v>28.342356545903087</v>
      </c>
      <c r="C17" s="14">
        <f>'DDD Model Calculations'!D24</f>
        <v>44.600000381469727</v>
      </c>
    </row>
    <row r="18" spans="1:3" x14ac:dyDescent="0.25">
      <c r="A18" t="s">
        <v>26</v>
      </c>
      <c r="B18" s="7">
        <f>'DDD Model Summary'!$B$6+(C18-5)*'DDD Model Summary'!$B$5</f>
        <v>31.498731181505388</v>
      </c>
      <c r="C18" s="14">
        <f>'DDD Model Calculations'!D21</f>
        <v>50</v>
      </c>
    </row>
    <row r="19" spans="1:3" x14ac:dyDescent="0.25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B1" sqref="B1:B1048576"/>
    </sheetView>
  </sheetViews>
  <sheetFormatPr defaultColWidth="10.625" defaultRowHeight="15.75" x14ac:dyDescent="0.25"/>
  <cols>
    <col min="1" max="1" width="40" customWidth="1"/>
    <col min="2" max="2" width="12.875" style="6" customWidth="1"/>
  </cols>
  <sheetData>
    <row r="1" spans="1:2" x14ac:dyDescent="0.25">
      <c r="A1" t="s">
        <v>27</v>
      </c>
    </row>
    <row r="3" spans="1:2" x14ac:dyDescent="0.25">
      <c r="A3" t="s">
        <v>0</v>
      </c>
      <c r="B3" s="6" t="str">
        <f>'DDD Model Calculations'!D19</f>
        <v>Ottawa</v>
      </c>
    </row>
    <row r="4" spans="1:2" x14ac:dyDescent="0.25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 x14ac:dyDescent="0.25">
      <c r="A5" t="s">
        <v>29</v>
      </c>
      <c r="B5" s="23">
        <f>_xlfn.XLOOKUP(MAX('DDD Model Calculations'!$D$14:$G$14),'DDD Model Calculations'!$D$14:$G$14,'DDD Model Calculations'!$D12:$G12)</f>
        <v>0.58451386269937855</v>
      </c>
    </row>
    <row r="6" spans="1:2" x14ac:dyDescent="0.25">
      <c r="A6" t="s">
        <v>30</v>
      </c>
      <c r="B6" s="23">
        <f>_xlfn.XLOOKUP(MAX('DDD Model Calculations'!$D$14:$G$14),'DDD Model Calculations'!$D$14:$G$14,'DDD Model Calculations'!$D13:$G13)</f>
        <v>5.1956073600333523</v>
      </c>
    </row>
    <row r="7" spans="1:2" x14ac:dyDescent="0.25">
      <c r="A7" t="s">
        <v>31</v>
      </c>
      <c r="B7" s="23">
        <f>_xlfn.XLOOKUP(MAX('DDD Model Calculations'!$D$14:$G$14),'DDD Model Calculations'!$D$14:$G$14,'DDD Model Calculations'!$D14:$G14)</f>
        <v>0.98493824490948534</v>
      </c>
    </row>
    <row r="8" spans="1:2" x14ac:dyDescent="0.25">
      <c r="A8" t="s">
        <v>26</v>
      </c>
      <c r="B8" s="24">
        <f>B6+(B10)*B5</f>
        <v>31.498731181505388</v>
      </c>
    </row>
    <row r="9" spans="1:2" x14ac:dyDescent="0.25">
      <c r="A9" t="s">
        <v>32</v>
      </c>
      <c r="B9" s="6">
        <f>'DDD Model Calculations'!D21</f>
        <v>50</v>
      </c>
    </row>
    <row r="10" spans="1:2" x14ac:dyDescent="0.25">
      <c r="A10" t="s">
        <v>33</v>
      </c>
      <c r="B10" s="6">
        <f>B9-5</f>
        <v>45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31"/>
  <sheetViews>
    <sheetView workbookViewId="0">
      <selection activeCell="A32" sqref="A32"/>
    </sheetView>
  </sheetViews>
  <sheetFormatPr defaultColWidth="10.62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34</v>
      </c>
      <c r="D1" s="25" t="s">
        <v>35</v>
      </c>
      <c r="E1" s="26"/>
      <c r="F1" s="26"/>
      <c r="G1" s="26"/>
      <c r="J1" s="6" t="s">
        <v>36</v>
      </c>
      <c r="K1" s="25" t="s">
        <v>35</v>
      </c>
      <c r="L1" s="26"/>
      <c r="M1" s="26"/>
      <c r="N1" s="26"/>
    </row>
    <row r="2" spans="2:29" x14ac:dyDescent="0.25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 x14ac:dyDescent="0.25">
      <c r="C3" t="s">
        <v>42</v>
      </c>
      <c r="D3">
        <f>SUMPRODUCT(WorkingData!$Q$2:$Q$133,WorkingData!T$2:T$133,WorkingData!AF$2:AF$133)</f>
        <v>4</v>
      </c>
      <c r="E3">
        <f>SUMPRODUCT(WorkingData!$Q$2:$Q$133,WorkingData!U$2:U$133,WorkingData!AG$2:AG$133)</f>
        <v>8</v>
      </c>
      <c r="F3">
        <f>SUMPRODUCT(WorkingData!$Q$2:$Q$133,WorkingData!V$2:V$133,WorkingData!AH$2:AH$133)</f>
        <v>15</v>
      </c>
      <c r="G3">
        <f>SUMPRODUCT(WorkingData!$Q$2:$Q$133,WorkingData!W$2:W$133,WorkingData!AI$2:AI$133)</f>
        <v>17</v>
      </c>
      <c r="J3" t="s">
        <v>42</v>
      </c>
      <c r="K3">
        <f>SUMPRODUCT(WorkingData!$Q$2:$Q$133,WorkingData!T$2:T$133)</f>
        <v>4</v>
      </c>
      <c r="L3">
        <f>SUMPRODUCT(WorkingData!$Q$2:$Q$133,WorkingData!U$2:U$133)</f>
        <v>8</v>
      </c>
      <c r="M3">
        <f>SUMPRODUCT(WorkingData!$Q$2:$Q$133,WorkingData!V$2:V$133)</f>
        <v>15</v>
      </c>
      <c r="N3">
        <f>SUMPRODUCT(WorkingData!$Q$2:$Q$133,WorkingData!W$2:W$133)</f>
        <v>18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 x14ac:dyDescent="0.25">
      <c r="B4" t="s">
        <v>45</v>
      </c>
      <c r="C4" t="s">
        <v>46</v>
      </c>
      <c r="D4" s="3">
        <f>SUMPRODUCT(WorkingData!$Q$2:$Q$133,WorkingData!T$2:T$133,WorkingData!$N$2:$N$133,WorkingData!AF$2:AF$133)/D$3</f>
        <v>12.038890813715298</v>
      </c>
      <c r="E4" s="3">
        <f>SUMPRODUCT(WorkingData!$Q$2:$Q$133,WorkingData!U$2:U$133,WorkingData!$N$2:$N$133,WorkingData!AG$2:AG$133)/E$3</f>
        <v>12.248949509030183</v>
      </c>
      <c r="F4" s="3">
        <f>SUMPRODUCT(WorkingData!$Q$2:$Q$133,WorkingData!V$2:V$133,WorkingData!$N$2:$N$133,WorkingData!AH$2:AH$133)/F$3</f>
        <v>12.359556729276175</v>
      </c>
      <c r="G4" s="3">
        <f>SUMPRODUCT(WorkingData!$Q$2:$Q$133,WorkingData!W$2:W$133,WorkingData!$N$2:$N$133,WorkingData!AI$2:AI$133)/G$3</f>
        <v>12.387378163988597</v>
      </c>
      <c r="I4" t="s">
        <v>45</v>
      </c>
      <c r="J4" t="s">
        <v>46</v>
      </c>
      <c r="K4" s="3">
        <f>SUMPRODUCT(WorkingData!$Q$2:$Q$133,WorkingData!T$2:T$133,WorkingData!$N$2:$N$133)/K$3</f>
        <v>12.038890813715298</v>
      </c>
      <c r="L4" s="3">
        <f>SUMPRODUCT(WorkingData!$Q$2:$Q$133,WorkingData!U$2:U$133,WorkingData!$N$2:$N$133)/L$3</f>
        <v>12.248949509030183</v>
      </c>
      <c r="M4" s="3">
        <f>SUMPRODUCT(WorkingData!$Q$2:$Q$133,WorkingData!V$2:V$133,WorkingData!$N$2:$N$133)/M$3</f>
        <v>12.359556729276175</v>
      </c>
      <c r="N4" s="3">
        <f>SUMPRODUCT(WorkingData!$Q$2:$Q$133,WorkingData!W$2:W$133,WorkingData!$N$2:$N$133)/N$3</f>
        <v>12.668225096590323</v>
      </c>
      <c r="P4" s="3" t="s">
        <v>47</v>
      </c>
      <c r="Q4" cm="1">
        <f t="array" aca="1" ref="Q4:Q31" ca="1">OFFSET(WorkingData!$P$2,0,0,COUNTIF(WorkingData!$P$2:$P$132,"&gt;=-5"))</f>
        <v>21.785245864117734</v>
      </c>
      <c r="R4" cm="1">
        <f t="array" aca="1" ref="R4:R31" ca="1">OFFSET(WorkingData!$O$2,0,0,COUNTIF(WorkingData!$O$2:$O$132,"&gt;=0"))</f>
        <v>26.785245864117734</v>
      </c>
      <c r="S4" cm="1">
        <f t="array" aca="1" ref="S4:S31" ca="1">OFFSET(WorkingData!$N$2,0,0,COUNTIF(WorkingData!$N$2:$N$132,"&gt;=0"))</f>
        <v>17.442622950819672</v>
      </c>
      <c r="U4" cm="1">
        <f t="array" ref="U4:Z7">_xlfn._xlws.FILTER(WorkingData!N2:S132,(WorkingData!Q2:Q132=1)*(WorkingData!R2:R132&lt;=D23)*(WorkingData!S2:S132=1))</f>
        <v>17.442622950819672</v>
      </c>
      <c r="V4">
        <v>26.785245864117734</v>
      </c>
      <c r="W4">
        <v>21.785245864117734</v>
      </c>
      <c r="X4">
        <v>1</v>
      </c>
      <c r="Y4">
        <v>1</v>
      </c>
      <c r="Z4">
        <v>1</v>
      </c>
      <c r="AB4" cm="1">
        <f t="array" aca="1" ref="AB4:AB7" ca="1">OFFSET(W4,0,0,COUNTIF(W4:W134,"&gt;=0"))</f>
        <v>21.785245864117734</v>
      </c>
      <c r="AC4" cm="1">
        <f t="array" aca="1" ref="AC4:AC7" ca="1">OFFSET(U4,0,0,COUNTIF(U4:U134,"&gt;=0"))</f>
        <v>17.442622950819672</v>
      </c>
    </row>
    <row r="5" spans="2:29" x14ac:dyDescent="0.25">
      <c r="B5" t="s">
        <v>48</v>
      </c>
      <c r="C5" t="s">
        <v>49</v>
      </c>
      <c r="D5" s="3">
        <f>SUMPRODUCT(WorkingData!$Q$2:$Q$133,WorkingData!T$2:T$133,WorkingData!$P$2:$P$133,WorkingData!AF$2:AF$133)/D$3</f>
        <v>11.707649536451655</v>
      </c>
      <c r="E5" s="3">
        <f>SUMPRODUCT(WorkingData!$Q$2:$Q$133,WorkingData!U$2:U$133,WorkingData!$P$2:$P$133,WorkingData!AG$2:AG$133)/E$3</f>
        <v>11.112668751238457</v>
      </c>
      <c r="F5" s="3">
        <f>SUMPRODUCT(WorkingData!$Q$2:$Q$133,WorkingData!V$2:V$133,WorkingData!$P$2:$P$133,WorkingData!AH$2:AH$133)/F$3</f>
        <v>11.192608846152549</v>
      </c>
      <c r="G5" s="3">
        <f>SUMPRODUCT(WorkingData!$Q$2:$Q$133,WorkingData!W$2:W$133,WorkingData!$P$2:$P$133,WorkingData!AI$2:AI$133)/G$3</f>
        <v>10.964635325887318</v>
      </c>
      <c r="I5" t="s">
        <v>48</v>
      </c>
      <c r="J5" t="s">
        <v>49</v>
      </c>
      <c r="K5" s="3">
        <f>SUMPRODUCT(WorkingData!$Q$2:$Q$133,WorkingData!T$2:T$133,WorkingData!$P$2:$P$133)/K$3</f>
        <v>11.707649536451655</v>
      </c>
      <c r="L5" s="3">
        <f>SUMPRODUCT(WorkingData!$Q$2:$Q$133,WorkingData!U$2:U$133,WorkingData!$P$2:$P$133)/L$3</f>
        <v>11.112668751238457</v>
      </c>
      <c r="M5" s="3">
        <f>SUMPRODUCT(WorkingData!$Q$2:$Q$133,WorkingData!V$2:V$133,WorkingData!$P$2:$P$133)/M$3</f>
        <v>11.192608846152549</v>
      </c>
      <c r="N5" s="3">
        <f>SUMPRODUCT(WorkingData!$Q$2:$Q$133,WorkingData!W$2:W$133,WorkingData!$P$2:$P$133)/N$3</f>
        <v>11.565780355789009</v>
      </c>
      <c r="Q5">
        <f ca="1"/>
        <v>16.303225811090201</v>
      </c>
      <c r="R5">
        <f ca="1"/>
        <v>21.303225811090201</v>
      </c>
      <c r="S5">
        <f ca="1"/>
        <v>15.129032258064516</v>
      </c>
      <c r="U5">
        <v>15.129032258064516</v>
      </c>
      <c r="V5">
        <v>21.303225811090201</v>
      </c>
      <c r="W5">
        <v>16.303225811090201</v>
      </c>
      <c r="X5">
        <v>1</v>
      </c>
      <c r="Y5">
        <v>1</v>
      </c>
      <c r="Z5">
        <v>1</v>
      </c>
      <c r="AB5">
        <f ca="1"/>
        <v>16.303225811090201</v>
      </c>
      <c r="AC5">
        <f ca="1"/>
        <v>15.129032258064516</v>
      </c>
    </row>
    <row r="6" spans="2:29" x14ac:dyDescent="0.25">
      <c r="C6" t="s">
        <v>50</v>
      </c>
      <c r="D6" s="3">
        <f>SUMPRODUCT(WorkingData!$Q$2:$Q$133,WorkingData!T$2:T$133,WorkingData!$N$2:$N$133,WorkingData!$P$2:$P$133,WorkingData!AF$2:AF$133)</f>
        <v>707.30610057509705</v>
      </c>
      <c r="E6" s="3">
        <f>SUMPRODUCT(WorkingData!$Q$2:$Q$133,WorkingData!U$2:U$133,WorkingData!$N$2:$N$133,WorkingData!$P$2:$P$133,WorkingData!AG$2:AG$133)</f>
        <v>1314.8725644837873</v>
      </c>
      <c r="F6" s="3">
        <f>SUMPRODUCT(WorkingData!$Q$2:$Q$133,WorkingData!V$2:V$133,WorkingData!$N$2:$N$133,WorkingData!$P$2:$P$133,WorkingData!AH$2:AH$133)</f>
        <v>2523.0213562011349</v>
      </c>
      <c r="G6" s="3">
        <f>SUMPRODUCT(WorkingData!$Q$2:$Q$133,WorkingData!W$2:W$133,WorkingData!$N$2:$N$133,WorkingData!$P$2:$P$133,WorkingData!AI$2:AI$133)</f>
        <v>2833.5981518653125</v>
      </c>
      <c r="J6" t="s">
        <v>50</v>
      </c>
      <c r="K6" s="3">
        <f>SUMPRODUCT(WorkingData!$Q$2:$Q$133,WorkingData!T$2:T$133,WorkingData!$N$2:$N$133,WorkingData!$P$2:$P$133)</f>
        <v>707.30610057509705</v>
      </c>
      <c r="L6" s="3">
        <f>SUMPRODUCT(WorkingData!$Q$2:$Q$133,WorkingData!U$2:U$133,WorkingData!$N$2:$N$133,WorkingData!$P$2:$P$133)</f>
        <v>1314.8725644837873</v>
      </c>
      <c r="M6" s="3">
        <f>SUMPRODUCT(WorkingData!$Q$2:$Q$133,WorkingData!V$2:V$133,WorkingData!$N$2:$N$133,WorkingData!$P$2:$P$133)</f>
        <v>2523.0213562011349</v>
      </c>
      <c r="N6" s="3">
        <f>SUMPRODUCT(WorkingData!$Q$2:$Q$133,WorkingData!W$2:W$133,WorkingData!$N$2:$N$133,WorkingData!$P$2:$P$133)</f>
        <v>3213.5899813640217</v>
      </c>
      <c r="Q6">
        <f ca="1"/>
        <v>1.6137931285233336</v>
      </c>
      <c r="R6">
        <f ca="1"/>
        <v>6.6137931285233336</v>
      </c>
      <c r="S6">
        <f ca="1"/>
        <v>5.5172413793103452</v>
      </c>
      <c r="U6">
        <v>5.5172413793103452</v>
      </c>
      <c r="V6">
        <v>6.6137931285233336</v>
      </c>
      <c r="W6">
        <v>1.6137931285233336</v>
      </c>
      <c r="X6">
        <v>1</v>
      </c>
      <c r="Y6">
        <v>1</v>
      </c>
      <c r="Z6">
        <v>1</v>
      </c>
      <c r="AB6">
        <f ca="1"/>
        <v>1.6137931285233336</v>
      </c>
      <c r="AC6">
        <f ca="1"/>
        <v>5.5172413793103452</v>
      </c>
    </row>
    <row r="7" spans="2:29" x14ac:dyDescent="0.25">
      <c r="C7" t="s">
        <v>51</v>
      </c>
      <c r="D7" s="3">
        <f>SUMPRODUCT(WorkingData!$Q$2:$Q$133,WorkingData!T$2:T$133,WorkingData!$P$2:$P$133,WorkingData!$P$2:$P$133,WorkingData!AF$2:AF$133)</f>
        <v>793.80957370486874</v>
      </c>
      <c r="E7" s="3">
        <f>SUMPRODUCT(WorkingData!$Q$2:$Q$133,WorkingData!U$2:U$133,WorkingData!$P$2:$P$133,WorkingData!$P$2:$P$133,WorkingData!AG$2:AG$133)</f>
        <v>1361.9238771584562</v>
      </c>
      <c r="F7" s="3">
        <f>SUMPRODUCT(WorkingData!$Q$2:$Q$133,WorkingData!V$2:V$133,WorkingData!$P$2:$P$133,WorkingData!$P$2:$P$133,WorkingData!AH$2:AH$133)</f>
        <v>2574.1279571769956</v>
      </c>
      <c r="G7" s="3">
        <f>SUMPRODUCT(WorkingData!$Q$2:$Q$133,WorkingData!W$2:W$133,WorkingData!$P$2:$P$133,WorkingData!$P$2:$P$133,WorkingData!AI$2:AI$133)</f>
        <v>2801.5579823396979</v>
      </c>
      <c r="J7" t="s">
        <v>51</v>
      </c>
      <c r="K7" s="3">
        <f>SUMPRODUCT(WorkingData!$Q$2:$Q$133,WorkingData!T$2:T$133,WorkingData!$P$2:$P$133,WorkingData!$P$2:$P$133)</f>
        <v>793.80957370486874</v>
      </c>
      <c r="L7" s="3">
        <f>SUMPRODUCT(WorkingData!$Q$2:$Q$133,WorkingData!U$2:U$133,WorkingData!$P$2:$P$133,WorkingData!$P$2:$P$133)</f>
        <v>1361.9238771584562</v>
      </c>
      <c r="M7" s="3">
        <f>SUMPRODUCT(WorkingData!$Q$2:$Q$133,WorkingData!V$2:V$133,WorkingData!$P$2:$P$133,WorkingData!$P$2:$P$133)</f>
        <v>2574.1279571769956</v>
      </c>
      <c r="N7" s="3">
        <f>SUMPRODUCT(WorkingData!$Q$2:$Q$133,WorkingData!W$2:W$133,WorkingData!$P$2:$P$133,WorkingData!$P$2:$P$133)</f>
        <v>3276.1549196997566</v>
      </c>
      <c r="Q7">
        <f ca="1"/>
        <v>-4.1390625089406967</v>
      </c>
      <c r="R7">
        <f ca="1"/>
        <v>0.86093749105930328</v>
      </c>
      <c r="S7">
        <f ca="1"/>
        <v>2.421875</v>
      </c>
      <c r="U7">
        <v>10.066666666666666</v>
      </c>
      <c r="V7">
        <v>12.128333342075347</v>
      </c>
      <c r="W7">
        <v>7.1283333420753472</v>
      </c>
      <c r="X7">
        <v>1</v>
      </c>
      <c r="Y7">
        <v>1</v>
      </c>
      <c r="Z7">
        <v>1</v>
      </c>
      <c r="AB7">
        <f ca="1"/>
        <v>7.1283333420753472</v>
      </c>
      <c r="AC7">
        <f ca="1"/>
        <v>10.066666666666666</v>
      </c>
    </row>
    <row r="8" spans="2:29" x14ac:dyDescent="0.25">
      <c r="C8" t="s">
        <v>52</v>
      </c>
      <c r="D8" s="3">
        <f>SUMPRODUCT(WorkingData!$Q$2:$Q$133,WorkingData!T$2:T$133,WorkingData!$N$2:$N$133,WorkingData!$N$2:$N$133,WorkingData!AF$2:AF$133)</f>
        <v>664.91044268536996</v>
      </c>
      <c r="E8" s="3">
        <f>SUMPRODUCT(WorkingData!$Q$2:$Q$133,WorkingData!U$2:U$133,WorkingData!$N$2:$N$133,WorkingData!$N$2:$N$133,WorkingData!AG$2:AG$133)</f>
        <v>1342.8102077071665</v>
      </c>
      <c r="F8" s="3">
        <f>SUMPRODUCT(WorkingData!$Q$2:$Q$133,WorkingData!V$2:V$133,WorkingData!$N$2:$N$133,WorkingData!$N$2:$N$133,WorkingData!AH$2:AH$133)</f>
        <v>2591.667858458768</v>
      </c>
      <c r="G8" s="3">
        <f>SUMPRODUCT(WorkingData!$Q$2:$Q$133,WorkingData!W$2:W$133,WorkingData!$N$2:$N$133,WorkingData!$N$2:$N$133,WorkingData!AI$2:AI$133)</f>
        <v>2979.8635634204174</v>
      </c>
      <c r="J8" t="s">
        <v>52</v>
      </c>
      <c r="K8" s="3">
        <f>SUMPRODUCT(WorkingData!$Q$2:$Q$133,WorkingData!T$2:T$133,WorkingData!$N$2:$N$133,WorkingData!$N$2:$N$133)</f>
        <v>664.91044268536996</v>
      </c>
      <c r="L8" s="3">
        <f>SUMPRODUCT(WorkingData!$Q$2:$Q$133,WorkingData!U$2:U$133,WorkingData!$N$2:$N$133,WorkingData!$N$2:$N$133)</f>
        <v>1342.8102077071665</v>
      </c>
      <c r="M8" s="3">
        <f>SUMPRODUCT(WorkingData!$Q$2:$Q$133,WorkingData!V$2:V$133,WorkingData!$N$2:$N$133,WorkingData!$N$2:$N$133)</f>
        <v>2591.667858458768</v>
      </c>
      <c r="N8" s="3">
        <f>SUMPRODUCT(WorkingData!$Q$2:$Q$133,WorkingData!W$2:W$133,WorkingData!$N$2:$N$133,WorkingData!$N$2:$N$133)</f>
        <v>3284.1086588248781</v>
      </c>
      <c r="Q8">
        <f ca="1"/>
        <v>-3.7147540889802526</v>
      </c>
      <c r="R8">
        <f ca="1"/>
        <v>1.2852459110197474</v>
      </c>
      <c r="S8">
        <f ca="1"/>
        <v>2.8688524590163933</v>
      </c>
    </row>
    <row r="9" spans="2:29" x14ac:dyDescent="0.25">
      <c r="C9" t="s">
        <v>53</v>
      </c>
      <c r="D9" s="3">
        <f t="shared" ref="D9:G10" si="0">D4*D$3</f>
        <v>48.155563254861192</v>
      </c>
      <c r="E9" s="3">
        <f t="shared" si="0"/>
        <v>97.991596072241464</v>
      </c>
      <c r="F9" s="3">
        <f t="shared" si="0"/>
        <v>185.39335093914264</v>
      </c>
      <c r="G9" s="3">
        <f t="shared" si="0"/>
        <v>210.58542878780614</v>
      </c>
      <c r="J9" t="s">
        <v>53</v>
      </c>
      <c r="K9" s="3">
        <f t="shared" ref="K9:N10" si="1">K4*K$3</f>
        <v>48.155563254861192</v>
      </c>
      <c r="L9" s="3">
        <f t="shared" si="1"/>
        <v>97.991596072241464</v>
      </c>
      <c r="M9" s="3">
        <f t="shared" si="1"/>
        <v>185.39335093914264</v>
      </c>
      <c r="N9" s="3">
        <f t="shared" si="1"/>
        <v>228.02805173862581</v>
      </c>
      <c r="Q9">
        <f ca="1"/>
        <v>7.1283333420753472</v>
      </c>
      <c r="R9">
        <f ca="1"/>
        <v>12.128333342075347</v>
      </c>
      <c r="S9">
        <f ca="1"/>
        <v>10.066666666666666</v>
      </c>
    </row>
    <row r="10" spans="2:29" x14ac:dyDescent="0.25">
      <c r="C10" t="s">
        <v>54</v>
      </c>
      <c r="D10" s="3">
        <f t="shared" si="0"/>
        <v>46.830598145806619</v>
      </c>
      <c r="E10" s="3">
        <f t="shared" si="0"/>
        <v>88.901350009907659</v>
      </c>
      <c r="F10" s="3">
        <f t="shared" si="0"/>
        <v>167.88913269228823</v>
      </c>
      <c r="G10" s="3">
        <f t="shared" si="0"/>
        <v>186.39880054008441</v>
      </c>
      <c r="J10" t="s">
        <v>54</v>
      </c>
      <c r="K10" s="3">
        <f t="shared" si="1"/>
        <v>46.830598145806619</v>
      </c>
      <c r="L10" s="3">
        <f t="shared" si="1"/>
        <v>88.901350009907659</v>
      </c>
      <c r="M10" s="3">
        <f t="shared" si="1"/>
        <v>167.88913269228823</v>
      </c>
      <c r="N10" s="3">
        <f t="shared" si="1"/>
        <v>208.18404640420215</v>
      </c>
      <c r="Q10">
        <f ca="1"/>
        <v>16.601666684945425</v>
      </c>
      <c r="R10">
        <f ca="1"/>
        <v>21.601666684945425</v>
      </c>
      <c r="S10">
        <f ca="1"/>
        <v>16.516666666666666</v>
      </c>
    </row>
    <row r="11" spans="2:29" x14ac:dyDescent="0.25">
      <c r="J11" t="s">
        <v>55</v>
      </c>
      <c r="K11" s="8">
        <f>IF(K3&gt;=3,SQRT(SUMPRODUCT(WorkingData!X$2:X$133,WorkingData!X$2:X$133,WorkingData!$Q$2:$Q$133,WorkingData!T$2:T$133)/('DDD Model Calculations'!K3-2)),"Insufficient Data")</f>
        <v>0.80088165601297501</v>
      </c>
      <c r="L11" s="8">
        <f>IF(L3&gt;=3,SQRT(SUMPRODUCT(WorkingData!Y$2:Y$133,WorkingData!Y$2:Y$133,WorkingData!$Q$2:$Q$133,WorkingData!U$2:U$133)/('DDD Model Calculations'!L3-2)),"Insufficient Data")</f>
        <v>1.0031524733518411</v>
      </c>
      <c r="M11" s="8">
        <f>IF(M3&gt;=3,SQRT(SUMPRODUCT(WorkingData!Z$2:Z$133,WorkingData!Z$2:Z$133,WorkingData!$Q$2:$Q$133,WorkingData!V$2:V$133)/('DDD Model Calculations'!M3-2)),"Insufficient Data")</f>
        <v>0.94167610468319285</v>
      </c>
      <c r="N11" s="8">
        <f>IF(N3&gt;=3,SQRT(SUMPRODUCT(WorkingData!AA$2:AA$133,WorkingData!AA$2:AA$133,WorkingData!$Q$2:$Q$133,WorkingData!W$2:W$133)/('DDD Model Calculations'!N3-2)),"Insufficient Data")</f>
        <v>0.90013332420280767</v>
      </c>
      <c r="P11" s="8" t="s">
        <v>56</v>
      </c>
      <c r="Q11">
        <f ca="1"/>
        <v>15.189830486678471</v>
      </c>
      <c r="R11">
        <f ca="1"/>
        <v>20.189830486678471</v>
      </c>
      <c r="S11">
        <f ca="1"/>
        <v>15.186440677966102</v>
      </c>
    </row>
    <row r="12" spans="2:29" x14ac:dyDescent="0.25">
      <c r="B12" s="6" t="s">
        <v>29</v>
      </c>
      <c r="C12" t="s">
        <v>57</v>
      </c>
      <c r="D12" s="9">
        <f>IF(D3&gt;=3,(D$3*D6-D9*D10)/(D$3*D7-D10^2),"Insufficient Data")</f>
        <v>0.58451386269937855</v>
      </c>
      <c r="E12" s="9">
        <f>IF(E3&gt;=3,(E$3*E6-E9*E10)/(E$3*E7-E10^2),"Insufficient Data")</f>
        <v>0.60408789654576811</v>
      </c>
      <c r="F12" s="9">
        <f>IF(F3&gt;=3,(F$3*F6-F9*F10)/(F$3*F7-F10^2),"Insufficient Data")</f>
        <v>0.64457451259478638</v>
      </c>
      <c r="G12" s="9">
        <f>IF(G3&gt;=3,(G$3*G6-G9*G10)/(G$3*G7-G10^2),"Insufficient Data")</f>
        <v>0.69230833999178809</v>
      </c>
      <c r="I12" s="6" t="s">
        <v>29</v>
      </c>
      <c r="J12" t="s">
        <v>57</v>
      </c>
      <c r="K12" s="9">
        <f>IF(K3&gt;=3,(K$3*K6-K9*K10)/(K$3*K7-K10^2),"Insufficient Data")</f>
        <v>0.58451386269937855</v>
      </c>
      <c r="L12" s="9">
        <f>IF(L3&gt;=3,(L$3*L6-L9*L10)/(L$3*L7-L10^2),"Insufficient Data")</f>
        <v>0.60408789654576811</v>
      </c>
      <c r="M12" s="9">
        <f>IF(M3&gt;=3,(M$3*M6-M9*M10)/(M$3*M7-M10^2),"Insufficient Data")</f>
        <v>0.64457451259478638</v>
      </c>
      <c r="N12" s="9">
        <f>IF(N3&gt;=3,(N$3*N6-N9*N10)/(N$3*N7-N10^2),"Insufficient Data")</f>
        <v>0.663639805137484</v>
      </c>
      <c r="P12" s="9" t="s">
        <v>58</v>
      </c>
      <c r="Q12">
        <f ca="1"/>
        <v>3.0258063976803129</v>
      </c>
      <c r="R12">
        <f ca="1"/>
        <v>8.0258063976803129</v>
      </c>
      <c r="S12">
        <f ca="1"/>
        <v>6.82258064516129</v>
      </c>
    </row>
    <row r="13" spans="2:29" x14ac:dyDescent="0.25">
      <c r="B13" s="6" t="s">
        <v>59</v>
      </c>
      <c r="C13" t="s">
        <v>60</v>
      </c>
      <c r="D13" s="9">
        <f>IF(D3&gt;=3,D4-D5*D12,"Insufficient Data")</f>
        <v>5.1956073600333523</v>
      </c>
      <c r="E13" s="9">
        <f>IF(E3&gt;=3,E4-E5*E12,"Insufficient Data")</f>
        <v>5.535920818084656</v>
      </c>
      <c r="F13" s="9">
        <f>IF(F3&gt;=3,F4-F5*F12,"Insufficient Data")</f>
        <v>5.1450863376033018</v>
      </c>
      <c r="G13" s="9">
        <f>IF(G3&gt;=3,G4-G5*G12,"Insufficient Data")</f>
        <v>4.7964696829082287</v>
      </c>
      <c r="I13" s="6" t="s">
        <v>59</v>
      </c>
      <c r="J13" t="s">
        <v>60</v>
      </c>
      <c r="K13" s="9">
        <f>IF(K3&gt;=3,K4-K5*K12,"Insufficient Data")</f>
        <v>5.1956073600333523</v>
      </c>
      <c r="L13" s="9">
        <f>IF(L3&gt;=3,L4-L5*L12,"Insufficient Data")</f>
        <v>5.535920818084656</v>
      </c>
      <c r="M13" s="9">
        <f>IF(M3&gt;=3,M4-M5*M12,"Insufficient Data")</f>
        <v>5.1450863376033018</v>
      </c>
      <c r="N13" s="9">
        <f>IF(N3&gt;=3,N4-N5*N12,"Insufficient Data")</f>
        <v>4.9927128750115646</v>
      </c>
      <c r="Q13">
        <f ca="1"/>
        <v>-4.5725806143976024</v>
      </c>
      <c r="R13">
        <f ca="1"/>
        <v>0.42741938560239728</v>
      </c>
      <c r="S13">
        <f ca="1"/>
        <v>2.2580645161290325</v>
      </c>
    </row>
    <row r="14" spans="2:29" x14ac:dyDescent="0.25">
      <c r="C14" t="s">
        <v>61</v>
      </c>
      <c r="D14" s="10">
        <f>IF(D3&gt;=3,(((D6/D3)-D4*D5)/SQRT((D7/D3-D5^2)*(D8/D3-D4^2)))^2,"Insufficient Data")</f>
        <v>0.98493824490948534</v>
      </c>
      <c r="E14" s="10">
        <f>IF(E3&gt;=3,(((E6/E3)-E4*E5)/SQRT((E7/E3-E5^2)*(E8/E3-E4^2)))^2,"Insufficient Data")</f>
        <v>0.95763363215829367</v>
      </c>
      <c r="F14" s="10">
        <f>IF(F3&gt;=3,(((F6/F3)-F4*F5)/SQRT((F7/F3-F5^2)*(F8/F3-F4^2)))^2,"Insufficient Data")</f>
        <v>0.96161088001270489</v>
      </c>
      <c r="G14" s="10">
        <f>IF(G3&gt;=3,(((G6/G3)-G4*G5)/SQRT((G7/G3-G5^2)*(G8/G3-G4^2)))^2,"Insufficient Data")</f>
        <v>0.97825443744396057</v>
      </c>
      <c r="J14" t="s">
        <v>61</v>
      </c>
      <c r="K14">
        <f>IF(K3&gt;=3,(((K6/K3)-K4*K5)/SQRT((K7/K3-K5^2)*(K8/K3-K4^2)))^2,"Insufficient Data")</f>
        <v>0.98493824490948534</v>
      </c>
      <c r="L14">
        <f>IF(L3&gt;=3,(((L6/L3)-L4*L5)/SQRT((L7/L3-L5^2)*(L8/L3-L4^2)))^2,"Insufficient Data")</f>
        <v>0.95763363215829367</v>
      </c>
      <c r="M14">
        <f>IF(M3&gt;=3,(((M6/M3)-M4*M5)/SQRT((M7/M3-M5^2)*(M8/M3-M4^2)))^2,"Insufficient Data")</f>
        <v>0.96161088001270489</v>
      </c>
      <c r="N14">
        <f>IF(N3&gt;=3,(((N6/N3)-N4*N5)/SQRT((N7/N3-N5^2)*(N8/N3-N4^2)))^2,"Insufficient Data")</f>
        <v>0.9672131852710476</v>
      </c>
      <c r="P14" s="10" t="s">
        <v>62</v>
      </c>
      <c r="Q14">
        <f ca="1"/>
        <v>-2.9322581060471071</v>
      </c>
      <c r="R14">
        <f ca="1"/>
        <v>2.0677418939528929</v>
      </c>
      <c r="S14">
        <f ca="1"/>
        <v>3.4516129032258065</v>
      </c>
    </row>
    <row r="15" spans="2:29" x14ac:dyDescent="0.25">
      <c r="C15" t="s">
        <v>63</v>
      </c>
      <c r="D15">
        <f>IF(D3&gt;=3,D13+D12*($D$21-5),"Insufficient Data")</f>
        <v>31.498731181505388</v>
      </c>
      <c r="E15">
        <f>IF(E3&gt;=3,E13+E12*($D$21-5),"Insufficient Data")</f>
        <v>32.719876162644219</v>
      </c>
      <c r="F15">
        <f>IF(F3&gt;=3,F13+F12*($D$21-5),"Insufficient Data")</f>
        <v>34.150939404368685</v>
      </c>
      <c r="G15">
        <f>IF(G3&gt;=3,G13+G12*($D$21-5),"Insufficient Data")</f>
        <v>35.950344982538695</v>
      </c>
      <c r="J15" t="s">
        <v>63</v>
      </c>
      <c r="K15">
        <f>IF(K3&gt;=3,K13+K12*($D$21-5),"Insufficient Data")</f>
        <v>31.498731181505388</v>
      </c>
      <c r="L15">
        <f>IF(L3&gt;=3,L13+L12*($D$21-5),"Insufficient Data")</f>
        <v>32.719876162644219</v>
      </c>
      <c r="M15">
        <f>IF(M3&gt;=3,M13+M12*($D$21-5),"Insufficient Data")</f>
        <v>34.150939404368685</v>
      </c>
      <c r="N15">
        <f>IF(N3&gt;=3,N13+N12*($D$21-5),"Insufficient Data")</f>
        <v>34.856504106198344</v>
      </c>
      <c r="Q15">
        <f ca="1"/>
        <v>7.2534482947968204</v>
      </c>
      <c r="R15">
        <f ca="1"/>
        <v>12.25344829479682</v>
      </c>
      <c r="S15">
        <f ca="1"/>
        <v>11.310344827586206</v>
      </c>
    </row>
    <row r="16" spans="2:29" x14ac:dyDescent="0.25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19.403278681464858</v>
      </c>
      <c r="R16">
        <f ca="1"/>
        <v>24.403278681464858</v>
      </c>
      <c r="S16">
        <f ca="1"/>
        <v>17.327868852459016</v>
      </c>
    </row>
    <row r="17" spans="3:19" x14ac:dyDescent="0.25">
      <c r="J17" t="s">
        <v>65</v>
      </c>
      <c r="Q17">
        <f ca="1"/>
        <v>14.999999988009222</v>
      </c>
      <c r="R17">
        <f ca="1"/>
        <v>19.999999988009222</v>
      </c>
      <c r="S17">
        <f ca="1"/>
        <v>14.890625</v>
      </c>
    </row>
    <row r="18" spans="3:19" x14ac:dyDescent="0.25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2.8140350622043275</v>
      </c>
      <c r="R18">
        <f ca="1"/>
        <v>7.8140350622043275</v>
      </c>
      <c r="S18">
        <f ca="1"/>
        <v>5.7719298245614032</v>
      </c>
    </row>
    <row r="19" spans="3:19" x14ac:dyDescent="0.25">
      <c r="C19" t="s">
        <v>67</v>
      </c>
      <c r="D19" t="str">
        <f>'Consumption Data Input'!B1</f>
        <v>Ottawa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-4.7145160705812517</v>
      </c>
      <c r="R19">
        <f ca="1"/>
        <v>0.28548392941874845</v>
      </c>
      <c r="S19">
        <f ca="1"/>
        <v>2.1451612903225805</v>
      </c>
    </row>
    <row r="20" spans="3:19" x14ac:dyDescent="0.25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-3.631746049911257</v>
      </c>
      <c r="R20">
        <f ca="1"/>
        <v>1.3682539500887432</v>
      </c>
      <c r="S20">
        <f ca="1"/>
        <v>2.9365079365079363</v>
      </c>
    </row>
    <row r="21" spans="3:19" x14ac:dyDescent="0.25">
      <c r="C21" t="s">
        <v>69</v>
      </c>
      <c r="D21">
        <f>VLOOKUP(D19,$G$19:$I$22,3,FALSE)</f>
        <v>50</v>
      </c>
      <c r="G21" t="s">
        <v>1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15.638983066619957</v>
      </c>
      <c r="R21">
        <f ca="1"/>
        <v>20.638983066619957</v>
      </c>
      <c r="S21">
        <f ca="1"/>
        <v>15.983050847457626</v>
      </c>
    </row>
    <row r="22" spans="3:19" x14ac:dyDescent="0.25">
      <c r="C22" t="s">
        <v>76</v>
      </c>
      <c r="D22">
        <f>VLOOKUP(D19,$G$19:$I$22,2,FALSE)</f>
        <v>4</v>
      </c>
      <c r="G22" t="s">
        <v>77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17.639682575587241</v>
      </c>
      <c r="R22">
        <f ca="1"/>
        <v>22.639682575587241</v>
      </c>
      <c r="S22">
        <f ca="1"/>
        <v>17.047619047619047</v>
      </c>
    </row>
    <row r="23" spans="3:19" x14ac:dyDescent="0.25">
      <c r="C23" t="s">
        <v>78</v>
      </c>
      <c r="D23">
        <f>_xlfn.XLOOKUP(MAX('DDD Model Calculations'!$D$14:$G$14),'DDD Model Calculations'!$D$14:$G$14,'DDD Model Calculations'!$D16:$G16)</f>
        <v>1</v>
      </c>
      <c r="Q23">
        <f ca="1"/>
        <v>1.9000000135373263</v>
      </c>
      <c r="R23">
        <f ca="1"/>
        <v>6.9000000135373263</v>
      </c>
      <c r="S23">
        <f ca="1"/>
        <v>5.6101694915254239</v>
      </c>
    </row>
    <row r="24" spans="3:19" x14ac:dyDescent="0.25">
      <c r="C24" t="s">
        <v>70</v>
      </c>
      <c r="D24">
        <f>VLOOKUP($D$19,$G$19:$L22,4,FALSE)</f>
        <v>44.600000381469727</v>
      </c>
      <c r="Q24">
        <f ca="1"/>
        <v>-4.5209677142481652</v>
      </c>
      <c r="R24">
        <f ca="1"/>
        <v>0.47903228575183499</v>
      </c>
      <c r="S24">
        <f ca="1"/>
        <v>2.1129032258064515</v>
      </c>
    </row>
    <row r="25" spans="3:19" x14ac:dyDescent="0.25">
      <c r="C25" t="s">
        <v>79</v>
      </c>
      <c r="D25">
        <f>VLOOKUP($D$19,$G$19:$L23,5,FALSE)</f>
        <v>43.100000381469727</v>
      </c>
      <c r="Q25">
        <f ca="1"/>
        <v>-3.7338709369782479</v>
      </c>
      <c r="R25">
        <f ca="1"/>
        <v>1.2661290630217521</v>
      </c>
      <c r="S25">
        <f ca="1"/>
        <v>2.7580645161290325</v>
      </c>
    </row>
    <row r="26" spans="3:19" x14ac:dyDescent="0.25">
      <c r="C26" t="s">
        <v>80</v>
      </c>
      <c r="D26">
        <f>VLOOKUP($D$19,$G$19:$L24,6,FALSE)</f>
        <v>42.600000381469727</v>
      </c>
      <c r="Q26">
        <f ca="1"/>
        <v>6.5918032949576606</v>
      </c>
      <c r="R26">
        <f ca="1"/>
        <v>11.591803294957661</v>
      </c>
      <c r="S26">
        <f ca="1"/>
        <v>10.770491803278688</v>
      </c>
    </row>
    <row r="27" spans="3:19" x14ac:dyDescent="0.25">
      <c r="Q27">
        <f ca="1"/>
        <v>21.256896534356578</v>
      </c>
      <c r="R27">
        <f ca="1"/>
        <v>26.256896534356578</v>
      </c>
      <c r="S27">
        <f ca="1"/>
        <v>19.810344827586206</v>
      </c>
    </row>
    <row r="28" spans="3:19" x14ac:dyDescent="0.25">
      <c r="Q28">
        <f ca="1"/>
        <v>15.390476174652576</v>
      </c>
      <c r="R28">
        <f ca="1"/>
        <v>20.390476174652576</v>
      </c>
      <c r="S28">
        <f ca="1"/>
        <v>15.857142857142858</v>
      </c>
    </row>
    <row r="29" spans="3:19" x14ac:dyDescent="0.25">
      <c r="Q29">
        <f ca="1"/>
        <v>3.6475410029047826</v>
      </c>
      <c r="R29">
        <f ca="1"/>
        <v>8.6475410029047826</v>
      </c>
      <c r="S29">
        <f ca="1"/>
        <v>6.9672131147540988</v>
      </c>
    </row>
    <row r="30" spans="3:19" x14ac:dyDescent="0.25">
      <c r="Q30">
        <f ca="1"/>
        <v>-4.114285696120489</v>
      </c>
      <c r="R30">
        <f ca="1"/>
        <v>0.88571430387951078</v>
      </c>
      <c r="S30">
        <f ca="1"/>
        <v>2.1111111111111112</v>
      </c>
    </row>
    <row r="31" spans="3:19" x14ac:dyDescent="0.25">
      <c r="Q31">
        <f ca="1"/>
        <v>-3.1627118385444253</v>
      </c>
      <c r="R31">
        <f ca="1"/>
        <v>1.8372881614555747</v>
      </c>
      <c r="S31">
        <f ca="1"/>
        <v>3.4576271186440679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625" defaultRowHeight="15.75" x14ac:dyDescent="0.25"/>
  <cols>
    <col min="2" max="3" width="10.625" style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 x14ac:dyDescent="0.25">
      <c r="A2" s="2" cm="1">
        <f t="array" ref="A2:F30">_xlfn._xlws.SORT(_xlfn._xlws.FILTER('Accumulated Input Data'!A2:F134,('Accumulated Input Data'!D2:D134="A")+('Accumulated Input Data'!D2:D134="01")),1,-1)</f>
        <v>45728</v>
      </c>
      <c r="B2" s="1">
        <v>28</v>
      </c>
      <c r="C2" s="1">
        <v>73995</v>
      </c>
      <c r="D2" t="str">
        <v>A</v>
      </c>
      <c r="E2">
        <v>371</v>
      </c>
      <c r="F2">
        <v>16830</v>
      </c>
      <c r="G2">
        <f>IF(F3&gt;0,F2-F3,"")</f>
        <v>1064</v>
      </c>
      <c r="H2" s="2">
        <f>IF(A2&lt;&gt;"",DATE(YEAR(A2),MONTH(A2),DAY(A2)),"")</f>
        <v>45728</v>
      </c>
      <c r="I2">
        <f>IF(A3&gt;0,A2-A3,"")</f>
        <v>61</v>
      </c>
      <c r="J2">
        <f>I2</f>
        <v>61</v>
      </c>
      <c r="K2">
        <f>IF(AND($H3&gt;0,$H3&lt;&gt;""),VLOOKUP($H3,'Weather Data'!$L$2:$P$4170,'DDD Model Calculations'!$D$22,FALSE),"")</f>
        <v>48086.400010950863</v>
      </c>
      <c r="L2">
        <f>IF(AND($K2&gt;0,$K2&lt;&gt;""),VLOOKUP($H2,'Weather Data'!$L$2:$P$4170,'DDD Model Calculations'!$D$22,FALSE),"")</f>
        <v>49720.300008662045</v>
      </c>
      <c r="M2">
        <f>L2-K2</f>
        <v>1633.8999977111816</v>
      </c>
      <c r="N2">
        <f t="shared" ref="N2:N33" si="0">IF(AND($I2&gt;0,$I2&lt;&gt;""),G2/$I2,"")</f>
        <v>17.442622950819672</v>
      </c>
      <c r="O2">
        <f t="shared" ref="O2:O33" si="1">IF(AND($I2&gt;0,$I2&lt;&gt;""),$M2/$I2,"")</f>
        <v>26.785245864117734</v>
      </c>
      <c r="P2">
        <f>IF(AND($I2&gt;0,$I2&lt;&gt;""),$M2/$I2-5,"")</f>
        <v>21.785245864117734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-0.48676261910479823</v>
      </c>
      <c r="Y2">
        <f>IF(AND($N2&gt;0,$N2&lt;&gt;""),$N2-('DDD Model Calculations'!L$13+'DDD Model Calculations'!L$12*WorkingData!$P2),"")</f>
        <v>-1.2535012170522606</v>
      </c>
      <c r="Z2">
        <f>IF(AND($N2&gt;0,$N2&lt;&gt;""),$N2-('DDD Model Calculations'!M$13+'DDD Model Calculations'!M$12*WorkingData!$P2),"")</f>
        <v>-1.7446776214049038</v>
      </c>
      <c r="AA2">
        <f>IF(AND($N2&gt;0,$N2&lt;&gt;""),$N2-('DDD Model Calculations'!N$13+'DDD Model Calculations'!N$12*WorkingData!$P2),"")</f>
        <v>-2.0076462443271659</v>
      </c>
      <c r="AB2">
        <f>IF(X2&lt;&gt;"",X2/'DDD Model Calculations'!K$11,"")</f>
        <v>-0.60778345396003453</v>
      </c>
      <c r="AC2">
        <f>IF(Y2&lt;&gt;"",Y2/'DDD Model Calculations'!L$11,"")</f>
        <v>-1.2495620061264738</v>
      </c>
      <c r="AD2">
        <f>IF(Z2&lt;&gt;"",Z2/'DDD Model Calculations'!M$11,"")</f>
        <v>-1.8527364268119173</v>
      </c>
      <c r="AE2">
        <f>IF(AA2&lt;&gt;"",AA2/'DDD Model Calculations'!N$11,"")</f>
        <v>-2.2303876440806296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0</v>
      </c>
    </row>
    <row r="3" spans="1:35" x14ac:dyDescent="0.25">
      <c r="A3" s="2">
        <v>45667</v>
      </c>
      <c r="B3" s="1">
        <v>30</v>
      </c>
      <c r="C3" s="1">
        <v>72940</v>
      </c>
      <c r="D3" t="str">
        <v>A</v>
      </c>
      <c r="E3">
        <v>497</v>
      </c>
      <c r="F3">
        <v>15766</v>
      </c>
      <c r="G3">
        <f t="shared" ref="G3:G66" si="12">IF(F4&gt;0,F3-F4,"")</f>
        <v>938</v>
      </c>
      <c r="H3" s="2">
        <f t="shared" ref="H3:H66" si="13">IF(A3&lt;&gt;"",DATE(YEAR(A3),MONTH(A3),DAY(A3)),"")</f>
        <v>45667</v>
      </c>
      <c r="I3">
        <f t="shared" ref="I3:I66" si="14">IF(A4&gt;0,A3-A4,"")</f>
        <v>62</v>
      </c>
      <c r="J3">
        <f t="shared" ref="J3:J34" si="15">IF(AND(I3&gt;0,I3&lt;&gt;""),I3+J2,"")</f>
        <v>123</v>
      </c>
      <c r="K3">
        <f>IF(AND($H4&gt;0,$H4&lt;&gt;""),VLOOKUP($H4,'Weather Data'!$L$2:$P$4170,'DDD Model Calculations'!$D$22,FALSE),"")</f>
        <v>46765.600010663271</v>
      </c>
      <c r="L3">
        <f>IF(AND($K3&gt;0,$K3&lt;&gt;""),VLOOKUP($H3,'Weather Data'!$L$2:$P$4170,'DDD Model Calculations'!$D$22,FALSE),"")</f>
        <v>48086.400010950863</v>
      </c>
      <c r="M3">
        <f t="shared" ref="M3:M34" si="16">IF(AND(K3&gt;0,K3&lt;&gt;""),L3-K3,"")</f>
        <v>1320.8000002875924</v>
      </c>
      <c r="N3">
        <f t="shared" si="0"/>
        <v>15.129032258064516</v>
      </c>
      <c r="O3">
        <f t="shared" si="1"/>
        <v>21.303225811090201</v>
      </c>
      <c r="P3">
        <f t="shared" ref="P3:P34" si="17">IF(AND($I3&gt;0,$I3&lt;&gt;""),M3/$I3-5,"")</f>
        <v>16.303225811090201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0.40396340473062153</v>
      </c>
      <c r="Y3">
        <f>IF(AND($N3&gt;0,$N3&lt;&gt;""),$N3-('DDD Model Calculations'!L$13+'DDD Model Calculations'!L$12*WorkingData!$P3),"")</f>
        <v>-0.25546994715229232</v>
      </c>
      <c r="Z3">
        <f>IF(AND($N3&gt;0,$N3&lt;&gt;""),$N3-('DDD Model Calculations'!M$13+'DDD Model Calculations'!M$12*WorkingData!$P3),"")</f>
        <v>-0.52469791044499203</v>
      </c>
      <c r="AA3">
        <f>IF(AND($N3&gt;0,$N3&lt;&gt;""),$N3-('DDD Model Calculations'!N$13+'DDD Model Calculations'!N$12*WorkingData!$P3),"")</f>
        <v>-0.68315021733134884</v>
      </c>
      <c r="AB3">
        <f>IF(X3&lt;&gt;"",X3/'DDD Model Calculations'!K$11,"")</f>
        <v>0.50439837358951445</v>
      </c>
      <c r="AC3">
        <f>IF(Y3&lt;&gt;"",Y3/'DDD Model Calculations'!L$11,"")</f>
        <v>-0.25466711585596613</v>
      </c>
      <c r="AD3">
        <f>IF(Z3&lt;&gt;"",Z3/'DDD Model Calculations'!M$11,"")</f>
        <v>-0.55719573623620366</v>
      </c>
      <c r="AE3">
        <f>IF(AA3&lt;&gt;"",AA3/'DDD Model Calculations'!N$11,"")</f>
        <v>-0.7589433686797149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 x14ac:dyDescent="0.25">
      <c r="A4" s="2">
        <v>45605</v>
      </c>
      <c r="B4" s="1">
        <v>29</v>
      </c>
      <c r="C4" s="1">
        <v>72010</v>
      </c>
      <c r="D4" t="str">
        <v>A</v>
      </c>
      <c r="E4">
        <v>255</v>
      </c>
      <c r="F4">
        <v>14828</v>
      </c>
      <c r="G4">
        <f t="shared" si="12"/>
        <v>320</v>
      </c>
      <c r="H4" s="2">
        <f t="shared" si="13"/>
        <v>45605</v>
      </c>
      <c r="I4">
        <f t="shared" si="14"/>
        <v>58</v>
      </c>
      <c r="J4">
        <f t="shared" si="15"/>
        <v>181</v>
      </c>
      <c r="K4">
        <f>IF(AND($H5&gt;0,$H5&lt;&gt;""),VLOOKUP($H5,'Weather Data'!$L$2:$P$4170,'DDD Model Calculations'!$D$22,FALSE),"")</f>
        <v>46382.000009208918</v>
      </c>
      <c r="L4">
        <f>IF(AND($K4&gt;0,$K4&lt;&gt;""),VLOOKUP($H4,'Weather Data'!$L$2:$P$4170,'DDD Model Calculations'!$D$22,FALSE),"")</f>
        <v>46765.600010663271</v>
      </c>
      <c r="M4">
        <f t="shared" si="16"/>
        <v>383.60000145435333</v>
      </c>
      <c r="N4">
        <f t="shared" si="0"/>
        <v>5.5172413793103452</v>
      </c>
      <c r="O4">
        <f t="shared" si="1"/>
        <v>6.6137931285233336</v>
      </c>
      <c r="P4">
        <f t="shared" si="17"/>
        <v>1.6137931285233336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-0.6216504358738959</v>
      </c>
      <c r="Y4">
        <f>IF(AND($N4&gt;0,$N4&lt;&gt;""),$N4-('DDD Model Calculations'!L$13+'DDD Model Calculations'!L$12*WorkingData!$P4),"")</f>
        <v>-0.99355233524398567</v>
      </c>
      <c r="Z4">
        <f>IF(AND($N4&gt;0,$N4&lt;&gt;""),$N4-('DDD Model Calculations'!M$13+'DDD Model Calculations'!M$12*WorkingData!$P4),"")</f>
        <v>-0.66805487753969928</v>
      </c>
      <c r="AA4">
        <f>IF(AND($N4&gt;0,$N4&lt;&gt;""),$N4-('DDD Model Calculations'!N$13+'DDD Model Calculations'!N$12*WorkingData!$P4),"")</f>
        <v>-0.54644885304665536</v>
      </c>
      <c r="AB4">
        <f>IF(X4&lt;&gt;"",X4/'DDD Model Calculations'!K$11,"")</f>
        <v>-0.77620760970934832</v>
      </c>
      <c r="AC4">
        <f>IF(Y4&lt;&gt;"",Y4/'DDD Model Calculations'!L$11,"")</f>
        <v>-0.99043003096450688</v>
      </c>
      <c r="AD4">
        <f>IF(Z4&lt;&gt;"",Z4/'DDD Model Calculations'!M$11,"")</f>
        <v>-0.70943169760525282</v>
      </c>
      <c r="AE4">
        <f>IF(AA4&lt;&gt;"",AA4/'DDD Model Calculations'!N$11,"")</f>
        <v>-0.60707546132747747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 x14ac:dyDescent="0.25">
      <c r="A5" s="2">
        <v>45547</v>
      </c>
      <c r="B5" s="1">
        <v>30</v>
      </c>
      <c r="C5" s="1">
        <v>71692</v>
      </c>
      <c r="D5" t="str">
        <v>A</v>
      </c>
      <c r="E5">
        <v>78</v>
      </c>
      <c r="F5">
        <v>14508</v>
      </c>
      <c r="G5">
        <f t="shared" si="12"/>
        <v>155</v>
      </c>
      <c r="H5" s="2">
        <f t="shared" si="13"/>
        <v>45547</v>
      </c>
      <c r="I5">
        <f t="shared" si="14"/>
        <v>64</v>
      </c>
      <c r="J5">
        <f t="shared" si="15"/>
        <v>245</v>
      </c>
      <c r="K5">
        <f>IF(AND($H6&gt;0,$H6&lt;&gt;""),VLOOKUP($H6,'Weather Data'!$L$2:$P$4170,'DDD Model Calculations'!$D$22,FALSE),"")</f>
        <v>46326.900009781122</v>
      </c>
      <c r="L5">
        <f>IF(AND($K5&gt;0,$K5&lt;&gt;""),VLOOKUP($H5,'Weather Data'!$L$2:$P$4170,'DDD Model Calculations'!$D$22,FALSE),"")</f>
        <v>46382.000009208918</v>
      </c>
      <c r="M5">
        <f t="shared" si="16"/>
        <v>55.09999942779541</v>
      </c>
      <c r="N5">
        <f t="shared" si="0"/>
        <v>2.421875</v>
      </c>
      <c r="O5">
        <f t="shared" si="1"/>
        <v>0.86093749105930328</v>
      </c>
      <c r="P5">
        <f t="shared" si="17"/>
        <v>-4.1390625089406967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-0.35439294497824481</v>
      </c>
      <c r="Y5">
        <f>IF(AND($N5&gt;0,$N5&lt;&gt;""),$N5-('DDD Model Calculations'!L$13+'DDD Model Calculations'!L$12*WorkingData!$P5),"")</f>
        <v>-0.61368825338722077</v>
      </c>
      <c r="Z5">
        <f>IF(AND($N5&gt;0,$N5&lt;&gt;""),$N5-('DDD Model Calculations'!M$13+'DDD Model Calculations'!M$12*WorkingData!$P5),"")</f>
        <v>-5.5277138303498674E-2</v>
      </c>
      <c r="AA5">
        <f>IF(AND($N5&gt;0,$N5&lt;&gt;""),$N5-('DDD Model Calculations'!N$13+'DDD Model Calculations'!N$12*WorkingData!$P5),"")</f>
        <v>0.17600876187370496</v>
      </c>
      <c r="AB5">
        <f>IF(X5&lt;&gt;"",X5/'DDD Model Calculations'!K$11,"")</f>
        <v>-0.4425035113708527</v>
      </c>
      <c r="AC5">
        <f>IF(Y5&lt;&gt;"",Y5/'DDD Model Calculations'!L$11,"")</f>
        <v>-0.61175969724392887</v>
      </c>
      <c r="AD5">
        <f>IF(Z5&lt;&gt;"",Z5/'DDD Model Calculations'!M$11,"")</f>
        <v>-5.8700797470161471E-2</v>
      </c>
      <c r="AE5">
        <f>IF(AA5&lt;&gt;"",AA5/'DDD Model Calculations'!N$11,"")</f>
        <v>0.19553632461011819</v>
      </c>
      <c r="AF5">
        <f t="shared" si="8"/>
        <v>1</v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 x14ac:dyDescent="0.25">
      <c r="A6" s="2">
        <v>45483</v>
      </c>
      <c r="B6" s="1">
        <v>28</v>
      </c>
      <c r="C6" s="1">
        <v>71539</v>
      </c>
      <c r="D6" t="str">
        <v>A</v>
      </c>
      <c r="E6">
        <v>93</v>
      </c>
      <c r="F6">
        <v>14353</v>
      </c>
      <c r="G6">
        <f t="shared" si="12"/>
        <v>175</v>
      </c>
      <c r="H6" s="2">
        <f t="shared" si="13"/>
        <v>45483</v>
      </c>
      <c r="I6">
        <f t="shared" si="14"/>
        <v>61</v>
      </c>
      <c r="J6">
        <f t="shared" si="15"/>
        <v>306</v>
      </c>
      <c r="K6">
        <f>IF(AND($H7&gt;0,$H7&lt;&gt;""),VLOOKUP($H7,'Weather Data'!$L$2:$P$4170,'DDD Model Calculations'!$D$22,FALSE),"")</f>
        <v>46248.500009208918</v>
      </c>
      <c r="L6">
        <f>IF(AND($K6&gt;0,$K6&lt;&gt;""),VLOOKUP($H6,'Weather Data'!$L$2:$P$4170,'DDD Model Calculations'!$D$22,FALSE),"")</f>
        <v>46326.900009781122</v>
      </c>
      <c r="M6">
        <f t="shared" si="16"/>
        <v>78.40000057220459</v>
      </c>
      <c r="N6">
        <f t="shared" si="0"/>
        <v>2.8688524590163933</v>
      </c>
      <c r="O6">
        <f t="shared" si="1"/>
        <v>1.2852459110197474</v>
      </c>
      <c r="P6">
        <f t="shared" si="17"/>
        <v>-3.7147540889802526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-0.1554296394888004</v>
      </c>
      <c r="Y6">
        <f>IF(AND($N6&gt;0,$N6&lt;&gt;""),$N6-('DDD Model Calculations'!L$13+'DDD Model Calculations'!L$12*WorkingData!$P6),"")</f>
        <v>-0.42303037527139065</v>
      </c>
      <c r="Z6">
        <f>IF(AND($N6&gt;0,$N6&lt;&gt;""),$N6-('DDD Model Calculations'!M$13+'DDD Model Calculations'!M$12*WorkingData!$P6),"")</f>
        <v>0.11820192772702764</v>
      </c>
      <c r="AA6">
        <f>IF(AND($N6&gt;0,$N6&lt;&gt;""),$N6-('DDD Model Calculations'!N$13+'DDD Model Calculations'!N$12*WorkingData!$P6),"")</f>
        <v>0.34139826374935556</v>
      </c>
      <c r="AB6">
        <f>IF(X6&lt;&gt;"",X6/'DDD Model Calculations'!K$11,"")</f>
        <v>-0.19407316714254008</v>
      </c>
      <c r="AC6">
        <f>IF(Y6&lt;&gt;"",Y6/'DDD Model Calculations'!L$11,"")</f>
        <v>-0.4217009741878181</v>
      </c>
      <c r="AD6">
        <f>IF(Z6&lt;&gt;"",Z6/'DDD Model Calculations'!M$11,"")</f>
        <v>0.125522912962514</v>
      </c>
      <c r="AE6">
        <f>IF(AA6&lt;&gt;"",AA6/'DDD Model Calculations'!N$11,"")</f>
        <v>0.3792752190923615</v>
      </c>
      <c r="AF6">
        <f t="shared" si="8"/>
        <v>1</v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 x14ac:dyDescent="0.25">
      <c r="A7" s="2">
        <v>45422</v>
      </c>
      <c r="B7" s="1">
        <v>29</v>
      </c>
      <c r="C7" s="1">
        <v>71366</v>
      </c>
      <c r="D7" t="str">
        <v>A</v>
      </c>
      <c r="E7">
        <v>238</v>
      </c>
      <c r="F7">
        <v>14178</v>
      </c>
      <c r="G7">
        <f t="shared" si="12"/>
        <v>604</v>
      </c>
      <c r="H7" s="2">
        <f t="shared" si="13"/>
        <v>45422</v>
      </c>
      <c r="I7">
        <f t="shared" si="14"/>
        <v>60</v>
      </c>
      <c r="J7">
        <f t="shared" si="15"/>
        <v>366</v>
      </c>
      <c r="K7">
        <f>IF(AND($H8&gt;0,$H8&lt;&gt;""),VLOOKUP($H8,'Weather Data'!$L$2:$P$4170,'DDD Model Calculations'!$D$22,FALSE),"")</f>
        <v>45520.800008684397</v>
      </c>
      <c r="L7">
        <f>IF(AND($K7&gt;0,$K7&lt;&gt;""),VLOOKUP($H7,'Weather Data'!$L$2:$P$4170,'DDD Model Calculations'!$D$22,FALSE),"")</f>
        <v>46248.500009208918</v>
      </c>
      <c r="M7">
        <f t="shared" si="16"/>
        <v>727.70000052452087</v>
      </c>
      <c r="N7">
        <f t="shared" si="0"/>
        <v>10.066666666666666</v>
      </c>
      <c r="O7">
        <f t="shared" si="1"/>
        <v>12.128333342075347</v>
      </c>
      <c r="P7">
        <f t="shared" si="17"/>
        <v>7.1283333420753472</v>
      </c>
      <c r="Q7">
        <f t="shared" si="2"/>
        <v>1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0.70444965024808326</v>
      </c>
      <c r="Y7">
        <f>IF(AND($N7&gt;0,$N7&lt;&gt;""),$N7-('DDD Model Calculations'!L$13+'DDD Model Calculations'!L$12*WorkingData!$P7),"")</f>
        <v>0.22460595409064865</v>
      </c>
      <c r="Z7">
        <f>IF(AND($N7&gt;0,$N7&lt;&gt;""),$N7-('DDD Model Calculations'!M$13+'DDD Model Calculations'!M$12*WorkingData!$P7),"")</f>
        <v>0.32683833948198426</v>
      </c>
      <c r="AA7">
        <f>IF(AND($N7&gt;0,$N7&lt;&gt;""),$N7-('DDD Model Calculations'!N$13+'DDD Model Calculations'!N$12*WorkingData!$P7),"")</f>
        <v>0.34330804156518724</v>
      </c>
      <c r="AB7">
        <f>IF(X7&lt;&gt;"",X7/'DDD Model Calculations'!K$11,"")</f>
        <v>0.87959269007988183</v>
      </c>
      <c r="AC7">
        <f>IF(Y7&lt;&gt;"",Y7/'DDD Model Calculations'!L$11,"")</f>
        <v>0.22390011494481096</v>
      </c>
      <c r="AD7">
        <f>IF(Z7&lt;&gt;"",Z7/'DDD Model Calculations'!M$11,"")</f>
        <v>0.34708148359774105</v>
      </c>
      <c r="AE7">
        <f>IF(AA7&lt;&gt;"",AA7/'DDD Model Calculations'!N$11,"")</f>
        <v>0.381396880144654</v>
      </c>
      <c r="AF7">
        <f t="shared" si="8"/>
        <v>1</v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 x14ac:dyDescent="0.25">
      <c r="A8" s="2">
        <v>45362</v>
      </c>
      <c r="B8" s="1">
        <v>30</v>
      </c>
      <c r="C8" s="1">
        <v>70766</v>
      </c>
      <c r="D8" t="str">
        <v>A</v>
      </c>
      <c r="E8">
        <v>477</v>
      </c>
      <c r="F8">
        <v>13574</v>
      </c>
      <c r="G8">
        <f t="shared" si="12"/>
        <v>991</v>
      </c>
      <c r="H8" s="2">
        <f t="shared" si="13"/>
        <v>45362</v>
      </c>
      <c r="I8">
        <f t="shared" si="14"/>
        <v>60</v>
      </c>
      <c r="J8">
        <f t="shared" si="15"/>
        <v>426</v>
      </c>
      <c r="K8">
        <f>IF(AND($H9&gt;0,$H9&lt;&gt;""),VLOOKUP($H9,'Weather Data'!$L$2:$P$4170,'DDD Model Calculations'!$D$22,FALSE),"")</f>
        <v>44224.700007587671</v>
      </c>
      <c r="L8">
        <f>IF(AND($K8&gt;0,$K8&lt;&gt;""),VLOOKUP($H8,'Weather Data'!$L$2:$P$4170,'DDD Model Calculations'!$D$22,FALSE),"")</f>
        <v>45520.800008684397</v>
      </c>
      <c r="M8">
        <f t="shared" si="16"/>
        <v>1296.1000010967255</v>
      </c>
      <c r="N8">
        <f t="shared" si="0"/>
        <v>16.516666666666666</v>
      </c>
      <c r="O8">
        <f t="shared" si="1"/>
        <v>21.601666684945425</v>
      </c>
      <c r="P8">
        <f t="shared" si="17"/>
        <v>16.601666684945425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1.617154985368277</v>
      </c>
      <c r="Y8">
        <f>IF(AND($N8&gt;0,$N8&lt;&gt;""),$N8-('DDD Model Calculations'!L$13+'DDD Model Calculations'!L$12*WorkingData!$P8),"")</f>
        <v>0.95187994171937262</v>
      </c>
      <c r="Z8">
        <f>IF(AND($N8&gt;0,$N8&lt;&gt;""),$N8-('DDD Model Calculations'!M$13+'DDD Model Calculations'!M$12*WorkingData!$P8),"")</f>
        <v>0.6705691173535655</v>
      </c>
      <c r="AA8">
        <f>IF(AND($N8&gt;0,$N8&lt;&gt;""),$N8-('DDD Model Calculations'!N$13+'DDD Model Calculations'!N$12*WorkingData!$P8),"")</f>
        <v>0.50642694790045795</v>
      </c>
      <c r="AB8">
        <f>IF(X8&lt;&gt;"",X8/'DDD Model Calculations'!K$11,"")</f>
        <v>2.0192184116426781</v>
      </c>
      <c r="AC8">
        <f>IF(Y8&lt;&gt;"",Y8/'DDD Model Calculations'!L$11,"")</f>
        <v>0.9488885957075387</v>
      </c>
      <c r="AD8">
        <f>IF(Z8&lt;&gt;"",Z8/'DDD Model Calculations'!M$11,"")</f>
        <v>0.71210166002796094</v>
      </c>
      <c r="AE8">
        <f>IF(AA8&lt;&gt;"",AA8/'DDD Model Calculations'!N$11,"")</f>
        <v>0.56261326437277381</v>
      </c>
      <c r="AF8">
        <f t="shared" si="8"/>
        <v>0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 x14ac:dyDescent="0.25">
      <c r="A9" s="2">
        <v>45302</v>
      </c>
      <c r="B9" s="1">
        <v>31</v>
      </c>
      <c r="C9" s="1">
        <v>69783</v>
      </c>
      <c r="D9" t="str">
        <v>A</v>
      </c>
      <c r="E9">
        <v>485</v>
      </c>
      <c r="F9">
        <v>12583</v>
      </c>
      <c r="G9">
        <f t="shared" si="12"/>
        <v>896</v>
      </c>
      <c r="H9" s="2">
        <f t="shared" si="13"/>
        <v>45302</v>
      </c>
      <c r="I9">
        <f t="shared" si="14"/>
        <v>59</v>
      </c>
      <c r="J9">
        <f t="shared" si="15"/>
        <v>485</v>
      </c>
      <c r="K9">
        <f>IF(AND($H10&gt;0,$H10&lt;&gt;""),VLOOKUP($H10,'Weather Data'!$L$2:$P$4170,'DDD Model Calculations'!$D$22,FALSE),"")</f>
        <v>43033.500008873641</v>
      </c>
      <c r="L9">
        <f>IF(AND($K9&gt;0,$K9&lt;&gt;""),VLOOKUP($H9,'Weather Data'!$L$2:$P$4170,'DDD Model Calculations'!$D$22,FALSE),"")</f>
        <v>44224.700007587671</v>
      </c>
      <c r="M9">
        <f t="shared" si="16"/>
        <v>1191.1999987140298</v>
      </c>
      <c r="N9">
        <f t="shared" si="0"/>
        <v>15.186440677966102</v>
      </c>
      <c r="O9">
        <f t="shared" si="1"/>
        <v>20.189830486678471</v>
      </c>
      <c r="P9">
        <f t="shared" si="17"/>
        <v>15.189830486678471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1.1121668264155371</v>
      </c>
      <c r="Y9">
        <f>IF(AND($N9&gt;0,$N9&lt;&gt;""),$N9-('DDD Model Calculations'!L$13+'DDD Model Calculations'!L$12*WorkingData!$P9),"")</f>
        <v>0.47452711229706601</v>
      </c>
      <c r="Z9">
        <f>IF(AND($N9&gt;0,$N9&lt;&gt;""),$N9-('DDD Model Calculations'!M$13+'DDD Model Calculations'!M$12*WorkingData!$P9),"")</f>
        <v>0.25037675801459791</v>
      </c>
      <c r="AA9">
        <f>IF(AND($N9&gt;0,$N9&lt;&gt;""),$N9-('DDD Model Calculations'!N$13+'DDD Model Calculations'!N$12*WorkingData!$P9),"")</f>
        <v>0.11315165870382415</v>
      </c>
      <c r="AB9">
        <f>IF(X9&lt;&gt;"",X9/'DDD Model Calculations'!K$11,"")</f>
        <v>1.3886781125094454</v>
      </c>
      <c r="AC9">
        <f>IF(Y9&lt;&gt;"",Y9/'DDD Model Calculations'!L$11,"")</f>
        <v>0.47303587929312968</v>
      </c>
      <c r="AD9">
        <f>IF(Z9&lt;&gt;"",Z9/'DDD Model Calculations'!M$11,"")</f>
        <v>0.26588415780055491</v>
      </c>
      <c r="AE9">
        <f>IF(AA9&lt;&gt;"",AA9/'DDD Model Calculations'!N$11,"")</f>
        <v>0.1257054434730939</v>
      </c>
      <c r="AF9">
        <f t="shared" si="8"/>
        <v>1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 x14ac:dyDescent="0.25">
      <c r="A10" s="2">
        <v>45243</v>
      </c>
      <c r="B10" s="1">
        <v>28</v>
      </c>
      <c r="C10" s="1">
        <v>68894</v>
      </c>
      <c r="D10" t="str">
        <v>A</v>
      </c>
      <c r="E10">
        <v>339</v>
      </c>
      <c r="F10">
        <v>11687</v>
      </c>
      <c r="G10">
        <f t="shared" si="12"/>
        <v>423</v>
      </c>
      <c r="H10" s="2">
        <f t="shared" si="13"/>
        <v>45243</v>
      </c>
      <c r="I10">
        <f t="shared" si="14"/>
        <v>62</v>
      </c>
      <c r="J10">
        <f t="shared" si="15"/>
        <v>547</v>
      </c>
      <c r="K10">
        <f>IF(AND($H11&gt;0,$H11&lt;&gt;""),VLOOKUP($H11,'Weather Data'!$L$2:$P$4170,'DDD Model Calculations'!$D$22,FALSE),"")</f>
        <v>42535.900012217462</v>
      </c>
      <c r="L10">
        <f>IF(AND($K10&gt;0,$K10&lt;&gt;""),VLOOKUP($H10,'Weather Data'!$L$2:$P$4170,'DDD Model Calculations'!$D$22,FALSE),"")</f>
        <v>43033.500008873641</v>
      </c>
      <c r="M10">
        <f t="shared" si="16"/>
        <v>497.59999665617943</v>
      </c>
      <c r="N10">
        <f t="shared" si="0"/>
        <v>6.82258064516129</v>
      </c>
      <c r="O10">
        <f t="shared" si="1"/>
        <v>8.0258063976803129</v>
      </c>
      <c r="P10">
        <f t="shared" si="17"/>
        <v>3.0258063976803129</v>
      </c>
      <c r="Q10">
        <f t="shared" si="2"/>
        <v>1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1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-0.14165250016067432</v>
      </c>
      <c r="Y10">
        <f>IF(AND($N10&gt;0,$N10&lt;&gt;""),$N10-('DDD Model Calculations'!L$13+'DDD Model Calculations'!L$12*WorkingData!$P10),"")</f>
        <v>-0.54119319505279417</v>
      </c>
      <c r="Z10">
        <f>IF(AND($N10&gt;0,$N10&lt;&gt;""),$N10-('DDD Model Calculations'!M$13+'DDD Model Calculations'!M$12*WorkingData!$P10),"")</f>
        <v>-0.27286337643298531</v>
      </c>
      <c r="AA10">
        <f>IF(AND($N10&gt;0,$N10&lt;&gt;""),$N10-('DDD Model Calculations'!N$13+'DDD Model Calculations'!N$12*WorkingData!$P10),"")</f>
        <v>-0.17817779799058986</v>
      </c>
      <c r="AB10">
        <f>IF(X10&lt;&gt;"",X10/'DDD Model Calculations'!K$11,"")</f>
        <v>-0.17687070130418797</v>
      </c>
      <c r="AC10">
        <f>IF(Y10&lt;&gt;"",Y10/'DDD Model Calculations'!L$11,"")</f>
        <v>-0.53949245945085611</v>
      </c>
      <c r="AD10">
        <f>IF(Z10&lt;&gt;"",Z10/'DDD Model Calculations'!M$11,"")</f>
        <v>-0.2897635132461861</v>
      </c>
      <c r="AE10">
        <f>IF(AA10&lt;&gt;"",AA10/'DDD Model Calculations'!N$11,"")</f>
        <v>-0.19794600777433821</v>
      </c>
      <c r="AF10">
        <f t="shared" si="8"/>
        <v>1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 x14ac:dyDescent="0.25">
      <c r="A11" s="2">
        <v>45181</v>
      </c>
      <c r="B11" s="1">
        <v>29</v>
      </c>
      <c r="C11" s="1">
        <v>68474</v>
      </c>
      <c r="D11" t="str">
        <v>A</v>
      </c>
      <c r="E11">
        <v>58</v>
      </c>
      <c r="F11">
        <v>11264</v>
      </c>
      <c r="G11">
        <f t="shared" si="12"/>
        <v>140</v>
      </c>
      <c r="H11" s="2">
        <f t="shared" si="13"/>
        <v>45181</v>
      </c>
      <c r="I11">
        <f t="shared" si="14"/>
        <v>62</v>
      </c>
      <c r="J11">
        <f t="shared" si="15"/>
        <v>609</v>
      </c>
      <c r="K11">
        <f>IF(AND($H12&gt;0,$H12&lt;&gt;""),VLOOKUP($H12,'Weather Data'!$L$2:$P$4170,'DDD Model Calculations'!$D$22,FALSE),"")</f>
        <v>42509.400010310113</v>
      </c>
      <c r="L11">
        <f>IF(AND($K11&gt;0,$K11&lt;&gt;""),VLOOKUP($H11,'Weather Data'!$L$2:$P$4170,'DDD Model Calculations'!$D$22,FALSE),"")</f>
        <v>42535.900012217462</v>
      </c>
      <c r="M11">
        <f t="shared" si="16"/>
        <v>26.500001907348633</v>
      </c>
      <c r="N11">
        <f t="shared" si="0"/>
        <v>2.2580645161290325</v>
      </c>
      <c r="O11">
        <f t="shared" si="1"/>
        <v>0.42741938560239728</v>
      </c>
      <c r="P11">
        <f t="shared" si="17"/>
        <v>-4.5725806143976024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1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-0.26480608647847959</v>
      </c>
      <c r="Y11">
        <f>IF(AND($N11&gt;0,$N11&lt;&gt;""),$N11-('DDD Model Calculations'!L$13+'DDD Model Calculations'!L$12*WorkingData!$P11),"")</f>
        <v>-0.51561569681821995</v>
      </c>
      <c r="Z11">
        <f>IF(AND($N11&gt;0,$N11&lt;&gt;""),$N11-('DDD Model Calculations'!M$13+'DDD Model Calculations'!M$12*WorkingData!$P11),"")</f>
        <v>6.0347099351433897E-2</v>
      </c>
      <c r="AA11">
        <f>IF(AND($N11&gt;0,$N11&lt;&gt;""),$N11-('DDD Model Calculations'!N$13+'DDD Model Calculations'!N$12*WorkingData!$P11),"")</f>
        <v>0.29989814903172984</v>
      </c>
      <c r="AB11">
        <f>IF(X11&lt;&gt;"",X11/'DDD Model Calculations'!K$11,"")</f>
        <v>-0.33064321612354358</v>
      </c>
      <c r="AC11">
        <f>IF(Y11&lt;&gt;"",Y11/'DDD Model Calculations'!L$11,"")</f>
        <v>-0.51399534020525239</v>
      </c>
      <c r="AD11">
        <f>IF(Z11&lt;&gt;"",Z11/'DDD Model Calculations'!M$11,"")</f>
        <v>6.4084772939774673E-2</v>
      </c>
      <c r="AE11">
        <f>IF(AA11&lt;&gt;"",AA11/'DDD Model Calculations'!N$11,"")</f>
        <v>0.33317081033227058</v>
      </c>
      <c r="AF11">
        <f t="shared" si="8"/>
        <v>1</v>
      </c>
      <c r="AG11">
        <f t="shared" si="9"/>
        <v>1</v>
      </c>
      <c r="AH11">
        <f t="shared" si="10"/>
        <v>1</v>
      </c>
      <c r="AI11">
        <f t="shared" si="11"/>
        <v>1</v>
      </c>
    </row>
    <row r="12" spans="1:35" x14ac:dyDescent="0.25">
      <c r="A12" s="2">
        <v>45119</v>
      </c>
      <c r="B12" s="1">
        <v>29</v>
      </c>
      <c r="C12" s="1">
        <v>68335</v>
      </c>
      <c r="D12" t="str">
        <v>A</v>
      </c>
      <c r="E12">
        <v>131</v>
      </c>
      <c r="F12">
        <v>11124</v>
      </c>
      <c r="G12">
        <f t="shared" si="12"/>
        <v>214</v>
      </c>
      <c r="H12" s="2">
        <f t="shared" si="13"/>
        <v>45119</v>
      </c>
      <c r="I12">
        <f t="shared" si="14"/>
        <v>62</v>
      </c>
      <c r="J12">
        <f t="shared" si="15"/>
        <v>671</v>
      </c>
      <c r="K12">
        <f>IF(AND($H13&gt;0,$H13&lt;&gt;""),VLOOKUP($H13,'Weather Data'!$L$2:$P$4170,'DDD Model Calculations'!$D$22,FALSE),"")</f>
        <v>42381.200012885034</v>
      </c>
      <c r="L12">
        <f>IF(AND($K12&gt;0,$K12&lt;&gt;""),VLOOKUP($H12,'Weather Data'!$L$2:$P$4170,'DDD Model Calculations'!$D$22,FALSE),"")</f>
        <v>42509.400010310113</v>
      </c>
      <c r="M12">
        <f t="shared" si="16"/>
        <v>128.19999742507935</v>
      </c>
      <c r="N12">
        <f t="shared" si="0"/>
        <v>3.4516129032258065</v>
      </c>
      <c r="O12">
        <f t="shared" si="1"/>
        <v>2.0677418939528929</v>
      </c>
      <c r="P12">
        <f t="shared" si="17"/>
        <v>-2.9322581060471071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1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-3.0048944810387557E-2</v>
      </c>
      <c r="Y12">
        <f>IF(AND($N12&gt;0,$N12&lt;&gt;""),$N12-('DDD Model Calculations'!L$13+'DDD Model Calculations'!L$12*WorkingData!$P12),"")</f>
        <v>-0.3129662834475746</v>
      </c>
      <c r="Z12">
        <f>IF(AND($N12&gt;0,$N12&lt;&gt;""),$N12-('DDD Model Calculations'!M$13+'DDD Model Calculations'!M$12*WorkingData!$P12),"")</f>
        <v>0.19658540512993028</v>
      </c>
      <c r="AA12">
        <f>IF(AND($N12&gt;0,$N12&lt;&gt;""),$N12-('DDD Model Calculations'!N$13+'DDD Model Calculations'!N$12*WorkingData!$P12),"")</f>
        <v>0.40486322632415206</v>
      </c>
      <c r="AB12">
        <f>IF(X12&lt;&gt;"",X12/'DDD Model Calculations'!K$11,"")</f>
        <v>-3.7519831531639847E-2</v>
      </c>
      <c r="AC12">
        <f>IF(Y12&lt;&gt;"",Y12/'DDD Model Calculations'!L$11,"")</f>
        <v>-0.31198276609123832</v>
      </c>
      <c r="AD12">
        <f>IF(Z12&lt;&gt;"",Z12/'DDD Model Calculations'!M$11,"")</f>
        <v>0.20876116974006398</v>
      </c>
      <c r="AE12">
        <f>IF(AA12&lt;&gt;"",AA12/'DDD Model Calculations'!N$11,"")</f>
        <v>0.44978139953069102</v>
      </c>
      <c r="AF12">
        <f t="shared" si="8"/>
        <v>1</v>
      </c>
      <c r="AG12">
        <f t="shared" si="9"/>
        <v>1</v>
      </c>
      <c r="AH12">
        <f t="shared" si="10"/>
        <v>1</v>
      </c>
      <c r="AI12">
        <f t="shared" si="11"/>
        <v>1</v>
      </c>
    </row>
    <row r="13" spans="1:35" x14ac:dyDescent="0.25">
      <c r="A13" s="2">
        <v>45057</v>
      </c>
      <c r="B13" s="1">
        <v>28</v>
      </c>
      <c r="C13" s="1">
        <v>68123</v>
      </c>
      <c r="D13" t="str">
        <v>A</v>
      </c>
      <c r="E13">
        <v>261</v>
      </c>
      <c r="F13">
        <v>10910</v>
      </c>
      <c r="G13">
        <f t="shared" si="12"/>
        <v>656</v>
      </c>
      <c r="H13" s="2">
        <f t="shared" si="13"/>
        <v>45057</v>
      </c>
      <c r="I13">
        <f t="shared" si="14"/>
        <v>58</v>
      </c>
      <c r="J13">
        <f t="shared" si="15"/>
        <v>729</v>
      </c>
      <c r="K13">
        <f>IF(AND($H14&gt;0,$H14&lt;&gt;""),VLOOKUP($H14,'Weather Data'!$L$2:$P$4170,'DDD Model Calculations'!$D$22,FALSE),"")</f>
        <v>41670.500011786819</v>
      </c>
      <c r="L13">
        <f>IF(AND($K13&gt;0,$K13&lt;&gt;""),VLOOKUP($H13,'Weather Data'!$L$2:$P$4170,'DDD Model Calculations'!$D$22,FALSE),"")</f>
        <v>42381.200012885034</v>
      </c>
      <c r="M13">
        <f t="shared" si="16"/>
        <v>710.70000109821558</v>
      </c>
      <c r="N13">
        <f t="shared" si="0"/>
        <v>11.310344827586206</v>
      </c>
      <c r="O13">
        <f t="shared" si="1"/>
        <v>12.25344829479682</v>
      </c>
      <c r="P13">
        <f t="shared" si="17"/>
        <v>7.2534482947968204</v>
      </c>
      <c r="Q13">
        <f t="shared" si="2"/>
        <v>1</v>
      </c>
      <c r="R13">
        <f t="shared" si="3"/>
        <v>2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0</v>
      </c>
      <c r="U13">
        <f t="shared" si="5"/>
        <v>1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1.8749963868709436</v>
      </c>
      <c r="Y13">
        <f>IF(AND($N13&gt;0,$N13&lt;&gt;""),$N13-('DDD Model Calculations'!L$13+'DDD Model Calculations'!L$12*WorkingData!$P13),"")</f>
        <v>1.3927036863942508</v>
      </c>
      <c r="Z13">
        <f>IF(AND($N13&gt;0,$N13&lt;&gt;""),$N13-('DDD Model Calculations'!M$13+'DDD Model Calculations'!M$12*WorkingData!$P13),"")</f>
        <v>1.4898705907327603</v>
      </c>
      <c r="AA13">
        <f>IF(AND($N13&gt;0,$N13&lt;&gt;""),$N13-('DDD Model Calculations'!N$13+'DDD Model Calculations'!N$12*WorkingData!$P13),"")</f>
        <v>1.5039549396408631</v>
      </c>
      <c r="AB13">
        <f>IF(X13&lt;&gt;"",X13/'DDD Model Calculations'!K$11,"")</f>
        <v>2.3411653554474308</v>
      </c>
      <c r="AC13">
        <f>IF(Y13&lt;&gt;"",Y13/'DDD Model Calculations'!L$11,"")</f>
        <v>1.388327022452329</v>
      </c>
      <c r="AD13">
        <f>IF(Z13&lt;&gt;"",Z13/'DDD Model Calculations'!M$11,"")</f>
        <v>1.5821476018381033</v>
      </c>
      <c r="AE13">
        <f>IF(AA13&lt;&gt;"",AA13/'DDD Model Calculations'!N$11,"")</f>
        <v>1.67081353306503</v>
      </c>
      <c r="AF13">
        <f t="shared" si="8"/>
        <v>0</v>
      </c>
      <c r="AG13">
        <f t="shared" si="9"/>
        <v>1</v>
      </c>
      <c r="AH13">
        <f t="shared" si="10"/>
        <v>1</v>
      </c>
      <c r="AI13">
        <f t="shared" si="11"/>
        <v>1</v>
      </c>
    </row>
    <row r="14" spans="1:35" x14ac:dyDescent="0.25">
      <c r="A14" s="2">
        <v>44999</v>
      </c>
      <c r="B14" s="1">
        <v>32</v>
      </c>
      <c r="C14" s="1">
        <v>67472</v>
      </c>
      <c r="D14" t="str">
        <v>A</v>
      </c>
      <c r="E14">
        <v>494</v>
      </c>
      <c r="F14">
        <v>10254</v>
      </c>
      <c r="G14">
        <f t="shared" si="12"/>
        <v>1057</v>
      </c>
      <c r="H14" s="2">
        <f t="shared" si="13"/>
        <v>44999</v>
      </c>
      <c r="I14">
        <f t="shared" si="14"/>
        <v>61</v>
      </c>
      <c r="J14">
        <f t="shared" si="15"/>
        <v>790</v>
      </c>
      <c r="K14">
        <f>IF(AND($H15&gt;0,$H15&lt;&gt;""),VLOOKUP($H15,'Weather Data'!$L$2:$P$4170,'DDD Model Calculations'!$D$22,FALSE),"")</f>
        <v>40181.900012217462</v>
      </c>
      <c r="L14">
        <f>IF(AND($K14&gt;0,$K14&lt;&gt;""),VLOOKUP($H14,'Weather Data'!$L$2:$P$4170,'DDD Model Calculations'!$D$22,FALSE),"")</f>
        <v>41670.500011786819</v>
      </c>
      <c r="M14">
        <f t="shared" si="16"/>
        <v>1488.5999995693564</v>
      </c>
      <c r="N14">
        <f t="shared" si="0"/>
        <v>17.327868852459016</v>
      </c>
      <c r="O14">
        <f t="shared" si="1"/>
        <v>24.403278681464858</v>
      </c>
      <c r="P14">
        <f t="shared" si="17"/>
        <v>19.403278681464858</v>
      </c>
      <c r="Q14">
        <f t="shared" si="2"/>
        <v>1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1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0.7907761212901363</v>
      </c>
      <c r="Y14">
        <f>IF(AND($N14&gt;0,$N14&lt;&gt;""),$N14-('DDD Model Calculations'!L$13+'DDD Model Calculations'!L$12*WorkingData!$P14),"")</f>
        <v>7.0662229596909043E-2</v>
      </c>
      <c r="Z14">
        <f>IF(AND($N14&gt;0,$N14&lt;&gt;""),$N14-('DDD Model Calculations'!M$13+'DDD Model Calculations'!M$12*WorkingData!$P14),"")</f>
        <v>-0.32407638399030603</v>
      </c>
      <c r="AA14">
        <f>IF(AND($N14&gt;0,$N14&lt;&gt;""),$N14-('DDD Model Calculations'!N$13+'DDD Model Calculations'!N$12*WorkingData!$P14),"")</f>
        <v>-0.54163210574818521</v>
      </c>
      <c r="AB14">
        <f>IF(X14&lt;&gt;"",X14/'DDD Model Calculations'!K$11,"")</f>
        <v>0.98738198752965944</v>
      </c>
      <c r="AC14">
        <f>IF(Y14&lt;&gt;"",Y14/'DDD Model Calculations'!L$11,"")</f>
        <v>7.0440168841736275E-2</v>
      </c>
      <c r="AD14">
        <f>IF(Z14&lt;&gt;"",Z14/'DDD Model Calculations'!M$11,"")</f>
        <v>-0.34414846291478823</v>
      </c>
      <c r="AE14">
        <f>IF(AA14&lt;&gt;"",AA14/'DDD Model Calculations'!N$11,"")</f>
        <v>-0.60172431259322079</v>
      </c>
      <c r="AF14">
        <f t="shared" si="8"/>
        <v>1</v>
      </c>
      <c r="AG14">
        <f t="shared" si="9"/>
        <v>1</v>
      </c>
      <c r="AH14">
        <f t="shared" si="10"/>
        <v>1</v>
      </c>
      <c r="AI14">
        <f t="shared" si="11"/>
        <v>1</v>
      </c>
    </row>
    <row r="15" spans="1:35" x14ac:dyDescent="0.25">
      <c r="A15" s="2">
        <v>44938</v>
      </c>
      <c r="B15" s="1">
        <v>31</v>
      </c>
      <c r="C15" s="1">
        <v>66424</v>
      </c>
      <c r="D15" t="str">
        <v>A</v>
      </c>
      <c r="E15">
        <v>483</v>
      </c>
      <c r="F15">
        <v>9197</v>
      </c>
      <c r="G15">
        <f t="shared" si="12"/>
        <v>953</v>
      </c>
      <c r="H15" s="2">
        <f t="shared" si="13"/>
        <v>44938</v>
      </c>
      <c r="I15">
        <f t="shared" si="14"/>
        <v>64</v>
      </c>
      <c r="J15">
        <f t="shared" si="15"/>
        <v>854</v>
      </c>
      <c r="K15">
        <f>IF(AND($H16&gt;0,$H16&lt;&gt;""),VLOOKUP($H16,'Weather Data'!$L$2:$P$4170,'DDD Model Calculations'!$D$22,FALSE),"")</f>
        <v>38901.900012984872</v>
      </c>
      <c r="L15">
        <f>IF(AND($K15&gt;0,$K15&lt;&gt;""),VLOOKUP($H15,'Weather Data'!$L$2:$P$4170,'DDD Model Calculations'!$D$22,FALSE),"")</f>
        <v>40181.900012217462</v>
      </c>
      <c r="M15">
        <f t="shared" si="16"/>
        <v>1279.9999992325902</v>
      </c>
      <c r="N15">
        <f t="shared" si="0"/>
        <v>14.890625</v>
      </c>
      <c r="O15">
        <f t="shared" si="1"/>
        <v>19.999999988009222</v>
      </c>
      <c r="P15">
        <f t="shared" si="17"/>
        <v>14.999999988009222</v>
      </c>
      <c r="Q15">
        <f t="shared" si="2"/>
        <v>1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1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0.92730970648474553</v>
      </c>
      <c r="Y15">
        <f>IF(AND($N15&gt;0,$N15&lt;&gt;""),$N15-('DDD Model Calculations'!L$13+'DDD Model Calculations'!L$12*WorkingData!$P15),"")</f>
        <v>0.29338574097230463</v>
      </c>
      <c r="Z15">
        <f>IF(AND($N15&gt;0,$N15&lt;&gt;""),$N15-('DDD Model Calculations'!M$13+'DDD Model Calculations'!M$12*WorkingData!$P15),"")</f>
        <v>7.6920981203851824E-2</v>
      </c>
      <c r="AA15">
        <f>IF(AND($N15&gt;0,$N15&lt;&gt;""),$N15-('DDD Model Calculations'!N$13+'DDD Model Calculations'!N$12*WorkingData!$P15),"")</f>
        <v>-5.6684944116266678E-2</v>
      </c>
      <c r="AB15">
        <f>IF(X15&lt;&gt;"",X15/'DDD Model Calculations'!K$11,"")</f>
        <v>1.1578610891166701</v>
      </c>
      <c r="AC15">
        <f>IF(Y15&lt;&gt;"",Y15/'DDD Model Calculations'!L$11,"")</f>
        <v>0.29246375677269937</v>
      </c>
      <c r="AD15">
        <f>IF(Z15&lt;&gt;"",Z15/'DDD Model Calculations'!M$11,"")</f>
        <v>8.1685179034812899E-2</v>
      </c>
      <c r="AE15">
        <f>IF(AA15&lt;&gt;"",AA15/'DDD Model Calculations'!N$11,"")</f>
        <v>-6.2973942406219674E-2</v>
      </c>
      <c r="AF15">
        <f t="shared" si="8"/>
        <v>1</v>
      </c>
      <c r="AG15">
        <f t="shared" si="9"/>
        <v>1</v>
      </c>
      <c r="AH15">
        <f t="shared" si="10"/>
        <v>1</v>
      </c>
      <c r="AI15">
        <f t="shared" si="11"/>
        <v>1</v>
      </c>
    </row>
    <row r="16" spans="1:35" x14ac:dyDescent="0.25">
      <c r="A16" s="2">
        <v>44874</v>
      </c>
      <c r="B16" s="1">
        <v>26</v>
      </c>
      <c r="C16" s="1">
        <v>65479</v>
      </c>
      <c r="D16" t="str">
        <v>A</v>
      </c>
      <c r="E16">
        <v>125</v>
      </c>
      <c r="F16">
        <v>8244</v>
      </c>
      <c r="G16">
        <f t="shared" si="12"/>
        <v>329</v>
      </c>
      <c r="H16" s="2">
        <f t="shared" si="13"/>
        <v>44874</v>
      </c>
      <c r="I16">
        <f t="shared" si="14"/>
        <v>57</v>
      </c>
      <c r="J16">
        <f t="shared" si="15"/>
        <v>911</v>
      </c>
      <c r="K16">
        <f>IF(AND($H17&gt;0,$H17&lt;&gt;""),VLOOKUP($H17,'Weather Data'!$L$2:$P$4170,'DDD Model Calculations'!$D$22,FALSE),"")</f>
        <v>38456.500014439225</v>
      </c>
      <c r="L16">
        <f>IF(AND($K16&gt;0,$K16&lt;&gt;""),VLOOKUP($H16,'Weather Data'!$L$2:$P$4170,'DDD Model Calculations'!$D$22,FALSE),"")</f>
        <v>38901.900012984872</v>
      </c>
      <c r="M16">
        <f t="shared" si="16"/>
        <v>445.39999854564667</v>
      </c>
      <c r="N16">
        <f t="shared" si="0"/>
        <v>5.7719298245614032</v>
      </c>
      <c r="O16">
        <f t="shared" si="1"/>
        <v>7.8140350622043275</v>
      </c>
      <c r="P16">
        <f t="shared" si="17"/>
        <v>2.8140350622043275</v>
      </c>
      <c r="Q16">
        <f t="shared" si="2"/>
        <v>1</v>
      </c>
      <c r="R16">
        <f t="shared" si="3"/>
        <v>3</v>
      </c>
      <c r="S16">
        <f>IF('DDD Model Calculations'!$D$23=1,WorkingData!AF16,IF('DDD Model Calculations'!$D$23=2,WorkingData!AG16,IF('DDD Model Calculations'!$D$23=4,WorkingData!AH16,WorkingData!AI16)))</f>
        <v>1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-1.0685200394524861</v>
      </c>
      <c r="Y16">
        <f>IF(AND($N16&gt;0,$N16&lt;&gt;""),$N16-('DDD Model Calculations'!L$13+'DDD Model Calculations'!L$12*WorkingData!$P16),"")</f>
        <v>-1.4639155150563044</v>
      </c>
      <c r="Z16">
        <f>IF(AND($N16&gt;0,$N16&lt;&gt;""),$N16-('DDD Model Calculations'!M$13+'DDD Model Calculations'!M$12*WorkingData!$P16),"")</f>
        <v>-1.1870117916868921</v>
      </c>
      <c r="AA16">
        <f>IF(AND($N16&gt;0,$N16&lt;&gt;""),$N16-('DDD Model Calculations'!N$13+'DDD Model Calculations'!N$12*WorkingData!$P16),"")</f>
        <v>-1.088288730781489</v>
      </c>
      <c r="AB16">
        <f>IF(X16&lt;&gt;"",X16/'DDD Model Calculations'!K$11,"")</f>
        <v>-1.3341796898831393</v>
      </c>
      <c r="AC16">
        <f>IF(Y16&lt;&gt;"",Y16/'DDD Model Calculations'!L$11,"")</f>
        <v>-1.4593150632076022</v>
      </c>
      <c r="AD16">
        <f>IF(Z16&lt;&gt;"",Z16/'DDD Model Calculations'!M$11,"")</f>
        <v>-1.2605308617088009</v>
      </c>
      <c r="AE16">
        <f>IF(AA16&lt;&gt;"",AA16/'DDD Model Calculations'!N$11,"")</f>
        <v>-1.2090305974898985</v>
      </c>
      <c r="AF16">
        <f t="shared" si="8"/>
        <v>1</v>
      </c>
      <c r="AG16">
        <f t="shared" si="9"/>
        <v>1</v>
      </c>
      <c r="AH16">
        <f t="shared" si="10"/>
        <v>1</v>
      </c>
      <c r="AI16">
        <f t="shared" si="11"/>
        <v>1</v>
      </c>
    </row>
    <row r="17" spans="1:35" x14ac:dyDescent="0.25">
      <c r="A17" s="2">
        <v>44817</v>
      </c>
      <c r="B17" s="1">
        <v>29</v>
      </c>
      <c r="C17" s="1">
        <v>65153</v>
      </c>
      <c r="D17" t="str">
        <v>A</v>
      </c>
      <c r="E17">
        <v>50</v>
      </c>
      <c r="F17">
        <v>7915</v>
      </c>
      <c r="G17">
        <f t="shared" si="12"/>
        <v>133</v>
      </c>
      <c r="H17" s="2">
        <f t="shared" si="13"/>
        <v>44817</v>
      </c>
      <c r="I17">
        <f t="shared" si="14"/>
        <v>62</v>
      </c>
      <c r="J17">
        <f t="shared" si="15"/>
        <v>973</v>
      </c>
      <c r="K17">
        <f>IF(AND($H18&gt;0,$H18&lt;&gt;""),VLOOKUP($H18,'Weather Data'!$L$2:$P$4170,'DDD Model Calculations'!$D$22,FALSE),"")</f>
        <v>38438.800010815263</v>
      </c>
      <c r="L17">
        <f>IF(AND($K17&gt;0,$K17&lt;&gt;""),VLOOKUP($H17,'Weather Data'!$L$2:$P$4170,'DDD Model Calculations'!$D$22,FALSE),"")</f>
        <v>38456.500014439225</v>
      </c>
      <c r="M17">
        <f t="shared" si="16"/>
        <v>17.700003623962402</v>
      </c>
      <c r="N17">
        <f t="shared" si="0"/>
        <v>2.1451612903225805</v>
      </c>
      <c r="O17">
        <f t="shared" si="1"/>
        <v>0.28548392941874845</v>
      </c>
      <c r="P17">
        <f t="shared" si="17"/>
        <v>-4.7145160705812517</v>
      </c>
      <c r="Q17">
        <f t="shared" si="2"/>
        <v>0</v>
      </c>
      <c r="R17">
        <f t="shared" si="3"/>
        <v>3</v>
      </c>
      <c r="S17">
        <f>IF('DDD Model Calculations'!$D$23=1,WorkingData!AF17,IF('DDD Model Calculations'!$D$23=2,WorkingData!AG17,IF('DDD Model Calculations'!$D$23=4,WorkingData!AH17,WorkingData!AI17)))</f>
        <v>1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-0.29474607053702861</v>
      </c>
      <c r="Y17">
        <f>IF(AND($N17&gt;0,$N17&lt;&gt;""),$N17-('DDD Model Calculations'!L$13+'DDD Model Calculations'!L$12*WorkingData!$P17),"")</f>
        <v>-0.54277743145342727</v>
      </c>
      <c r="Z17">
        <f>IF(AND($N17&gt;0,$N17&lt;&gt;""),$N17-('DDD Model Calculations'!M$13+'DDD Model Calculations'!M$12*WorkingData!$P17),"")</f>
        <v>3.8931851034476495E-2</v>
      </c>
      <c r="AA17">
        <f>IF(AND($N17&gt;0,$N17&lt;&gt;""),$N17-('DDD Model Calculations'!N$13+'DDD Model Calculations'!N$12*WorkingData!$P17),"")</f>
        <v>0.28118894170909448</v>
      </c>
      <c r="AB17">
        <f>IF(X17&lt;&gt;"",X17/'DDD Model Calculations'!K$11,"")</f>
        <v>-0.36802699665311533</v>
      </c>
      <c r="AC17">
        <f>IF(Y17&lt;&gt;"",Y17/'DDD Model Calculations'!L$11,"")</f>
        <v>-0.54107171728325687</v>
      </c>
      <c r="AD17">
        <f>IF(Z17&lt;&gt;"",Z17/'DDD Model Calculations'!M$11,"")</f>
        <v>4.1343144251891471E-2</v>
      </c>
      <c r="AE17">
        <f>IF(AA17&lt;&gt;"",AA17/'DDD Model Calculations'!N$11,"")</f>
        <v>0.31238588123390065</v>
      </c>
      <c r="AF17">
        <f t="shared" si="8"/>
        <v>1</v>
      </c>
      <c r="AG17">
        <f t="shared" si="9"/>
        <v>1</v>
      </c>
      <c r="AH17">
        <f t="shared" si="10"/>
        <v>1</v>
      </c>
      <c r="AI17">
        <f t="shared" si="11"/>
        <v>1</v>
      </c>
    </row>
    <row r="18" spans="1:35" x14ac:dyDescent="0.25">
      <c r="A18" s="2">
        <v>44755</v>
      </c>
      <c r="B18" s="1">
        <v>30</v>
      </c>
      <c r="C18" s="1">
        <v>65021</v>
      </c>
      <c r="D18" t="str">
        <v>A</v>
      </c>
      <c r="E18">
        <v>102</v>
      </c>
      <c r="F18">
        <v>7782</v>
      </c>
      <c r="G18">
        <f t="shared" si="12"/>
        <v>185</v>
      </c>
      <c r="H18" s="2">
        <f t="shared" si="13"/>
        <v>44755</v>
      </c>
      <c r="I18">
        <f t="shared" si="14"/>
        <v>63</v>
      </c>
      <c r="J18">
        <f t="shared" si="15"/>
        <v>1036</v>
      </c>
      <c r="K18">
        <f>IF(AND($H19&gt;0,$H19&lt;&gt;""),VLOOKUP($H19,'Weather Data'!$L$2:$P$4170,'DDD Model Calculations'!$D$22,FALSE),"")</f>
        <v>38352.600011959672</v>
      </c>
      <c r="L18">
        <f>IF(AND($K18&gt;0,$K18&lt;&gt;""),VLOOKUP($H18,'Weather Data'!$L$2:$P$4170,'DDD Model Calculations'!$D$22,FALSE),"")</f>
        <v>38438.800010815263</v>
      </c>
      <c r="M18">
        <f t="shared" si="16"/>
        <v>86.19999885559082</v>
      </c>
      <c r="N18">
        <f t="shared" si="0"/>
        <v>2.9365079365079363</v>
      </c>
      <c r="O18">
        <f t="shared" si="1"/>
        <v>1.3682539500887432</v>
      </c>
      <c r="P18">
        <f t="shared" si="17"/>
        <v>-3.631746049911257</v>
      </c>
      <c r="Q18">
        <f t="shared" si="2"/>
        <v>0</v>
      </c>
      <c r="R18">
        <f t="shared" si="3"/>
        <v>3</v>
      </c>
      <c r="S18">
        <f>IF('DDD Model Calculations'!$D$23=1,WorkingData!AF18,IF('DDD Model Calculations'!$D$23=2,WorkingData!AG18,IF('DDD Model Calculations'!$D$23=4,WorkingData!AH18,WorkingData!AI18)))</f>
        <v>1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-0.13629351154857705</v>
      </c>
      <c r="Y18">
        <f>IF(AND($N18&gt;0,$N18&lt;&gt;""),$N18-('DDD Model Calculations'!L$13+'DDD Model Calculations'!L$12*WorkingData!$P18),"")</f>
        <v>-0.40551904949742612</v>
      </c>
      <c r="Z18">
        <f>IF(AND($N18&gt;0,$N18&lt;&gt;""),$N18-('DDD Model Calculations'!M$13+'DDD Model Calculations'!M$12*WorkingData!$P18),"")</f>
        <v>0.13235253889422349</v>
      </c>
      <c r="AA18">
        <f>IF(AND($N18&gt;0,$N18&lt;&gt;""),$N18-('DDD Model Calculations'!N$13+'DDD Model Calculations'!N$12*WorkingData!$P18),"")</f>
        <v>0.35396630236830573</v>
      </c>
      <c r="AB18">
        <f>IF(X18&lt;&gt;"",X18/'DDD Model Calculations'!K$11,"")</f>
        <v>-0.170179339887851</v>
      </c>
      <c r="AC18">
        <f>IF(Y18&lt;&gt;"",Y18/'DDD Model Calculations'!L$11,"")</f>
        <v>-0.40424467891950883</v>
      </c>
      <c r="AD18">
        <f>IF(Z18&lt;&gt;"",Z18/'DDD Model Calculations'!M$11,"")</f>
        <v>0.14054996005102066</v>
      </c>
      <c r="AE18">
        <f>IF(AA18&lt;&gt;"",AA18/'DDD Model Calculations'!N$11,"")</f>
        <v>0.39323763808188278</v>
      </c>
      <c r="AF18">
        <f t="shared" si="8"/>
        <v>1</v>
      </c>
      <c r="AG18">
        <f t="shared" si="9"/>
        <v>1</v>
      </c>
      <c r="AH18">
        <f t="shared" si="10"/>
        <v>1</v>
      </c>
      <c r="AI18">
        <f t="shared" si="11"/>
        <v>1</v>
      </c>
    </row>
    <row r="19" spans="1:35" x14ac:dyDescent="0.25">
      <c r="A19" s="2">
        <v>44692</v>
      </c>
      <c r="B19" s="1">
        <v>29</v>
      </c>
      <c r="C19" s="1">
        <v>64838</v>
      </c>
      <c r="D19" t="str">
        <v>A</v>
      </c>
      <c r="E19">
        <v>303</v>
      </c>
      <c r="F19">
        <v>7597</v>
      </c>
      <c r="G19">
        <f t="shared" si="12"/>
        <v>1886</v>
      </c>
      <c r="H19" s="2">
        <f t="shared" si="13"/>
        <v>44692</v>
      </c>
      <c r="I19">
        <f t="shared" si="14"/>
        <v>118</v>
      </c>
      <c r="J19">
        <f t="shared" si="15"/>
        <v>1154</v>
      </c>
      <c r="K19">
        <f>IF(AND($H20&gt;0,$H20&lt;&gt;""),VLOOKUP($H20,'Weather Data'!$L$2:$P$4170,'DDD Model Calculations'!$D$22,FALSE),"")</f>
        <v>35917.200010098517</v>
      </c>
      <c r="L19">
        <f>IF(AND($K19&gt;0,$K19&lt;&gt;""),VLOOKUP($H19,'Weather Data'!$L$2:$P$4170,'DDD Model Calculations'!$D$22,FALSE),"")</f>
        <v>38352.600011959672</v>
      </c>
      <c r="M19">
        <f t="shared" si="16"/>
        <v>2435.400001861155</v>
      </c>
      <c r="N19">
        <f t="shared" si="0"/>
        <v>15.983050847457626</v>
      </c>
      <c r="O19">
        <f t="shared" si="1"/>
        <v>20.638983066619957</v>
      </c>
      <c r="P19">
        <f t="shared" si="17"/>
        <v>15.638983066619957</v>
      </c>
      <c r="Q19">
        <f t="shared" si="2"/>
        <v>1</v>
      </c>
      <c r="R19">
        <f t="shared" si="3"/>
        <v>4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4"/>
        <v>0</v>
      </c>
      <c r="U19">
        <f t="shared" si="5"/>
        <v>0</v>
      </c>
      <c r="V19">
        <f t="shared" si="6"/>
        <v>1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1.6462410864640695</v>
      </c>
      <c r="Y19">
        <f>IF(AND($N19&gt;0,$N19&lt;&gt;""),$N19-('DDD Model Calculations'!L$13+'DDD Model Calculations'!L$12*WorkingData!$P19),"")</f>
        <v>0.9998096445436353</v>
      </c>
      <c r="Z19">
        <f>IF(AND($N19&gt;0,$N19&lt;&gt;""),$N19-('DDD Model Calculations'!M$13+'DDD Model Calculations'!M$12*WorkingData!$P19),"")</f>
        <v>0.75747462220964934</v>
      </c>
      <c r="AA19">
        <f>IF(AND($N19&gt;0,$N19&lt;&gt;""),$N19-('DDD Model Calculations'!N$13+'DDD Model Calculations'!N$12*WorkingData!$P19),"")</f>
        <v>0.61168629756598136</v>
      </c>
      <c r="AB19">
        <f>IF(X19&lt;&gt;"",X19/'DDD Model Calculations'!K$11,"")</f>
        <v>2.055536013472381</v>
      </c>
      <c r="AC19">
        <f>IF(Y19&lt;&gt;"",Y19/'DDD Model Calculations'!L$11,"")</f>
        <v>0.99666767625360442</v>
      </c>
      <c r="AD19">
        <f>IF(Z19&lt;&gt;"",Z19/'DDD Model Calculations'!M$11,"")</f>
        <v>0.8043897667600749</v>
      </c>
      <c r="AE19">
        <f>IF(AA19&lt;&gt;"",AA19/'DDD Model Calculations'!N$11,"")</f>
        <v>0.6795507744452346</v>
      </c>
      <c r="AF19">
        <f t="shared" si="8"/>
        <v>0</v>
      </c>
      <c r="AG19">
        <f t="shared" si="9"/>
        <v>1</v>
      </c>
      <c r="AH19">
        <f t="shared" si="10"/>
        <v>1</v>
      </c>
      <c r="AI19">
        <f t="shared" si="11"/>
        <v>1</v>
      </c>
    </row>
    <row r="20" spans="1:35" x14ac:dyDescent="0.25">
      <c r="A20" s="2">
        <v>44574</v>
      </c>
      <c r="B20" s="1">
        <v>31</v>
      </c>
      <c r="C20" s="1">
        <v>62967</v>
      </c>
      <c r="D20" t="str">
        <v>A</v>
      </c>
      <c r="E20">
        <v>608</v>
      </c>
      <c r="F20">
        <v>5711</v>
      </c>
      <c r="G20">
        <f t="shared" si="12"/>
        <v>1074</v>
      </c>
      <c r="H20" s="2">
        <f t="shared" si="13"/>
        <v>44574</v>
      </c>
      <c r="I20">
        <f t="shared" si="14"/>
        <v>63</v>
      </c>
      <c r="J20">
        <f t="shared" si="15"/>
        <v>1217</v>
      </c>
      <c r="K20">
        <f>IF(AND($H21&gt;0,$H21&lt;&gt;""),VLOOKUP($H21,'Weather Data'!$L$2:$P$4170,'DDD Model Calculations'!$D$22,FALSE),"")</f>
        <v>34490.900007836521</v>
      </c>
      <c r="L20">
        <f>IF(AND($K20&gt;0,$K20&lt;&gt;""),VLOOKUP($H20,'Weather Data'!$L$2:$P$4170,'DDD Model Calculations'!$D$22,FALSE),"")</f>
        <v>35917.200010098517</v>
      </c>
      <c r="M20">
        <f t="shared" si="16"/>
        <v>1426.3000022619963</v>
      </c>
      <c r="N20">
        <f t="shared" si="0"/>
        <v>17.047619047619047</v>
      </c>
      <c r="O20">
        <f t="shared" si="1"/>
        <v>22.639682575587241</v>
      </c>
      <c r="P20">
        <f t="shared" si="17"/>
        <v>17.639682575587241</v>
      </c>
      <c r="Q20">
        <f t="shared" si="2"/>
        <v>1</v>
      </c>
      <c r="R20">
        <f t="shared" si="3"/>
        <v>4</v>
      </c>
      <c r="S20">
        <f>IF('DDD Model Calculations'!$D$23=1,WorkingData!AF20,IF('DDD Model Calculations'!$D$23=2,WorkingData!AG20,IF('DDD Model Calculations'!$D$23=4,WorkingData!AH20,WorkingData!AI20)))</f>
        <v>1</v>
      </c>
      <c r="T20">
        <f t="shared" si="4"/>
        <v>0</v>
      </c>
      <c r="U20">
        <f t="shared" si="5"/>
        <v>0</v>
      </c>
      <c r="V20">
        <f t="shared" si="6"/>
        <v>1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1.5413726885382744</v>
      </c>
      <c r="Y20">
        <f>IF(AND($N20&gt;0,$N20&lt;&gt;""),$N20-('DDD Model Calculations'!L$13+'DDD Model Calculations'!L$12*WorkingData!$P20),"")</f>
        <v>0.85577948671285853</v>
      </c>
      <c r="Z20">
        <f>IF(AND($N20&gt;0,$N20&lt;&gt;""),$N20-('DDD Model Calculations'!M$13+'DDD Model Calculations'!M$12*WorkingData!$P20),"")</f>
        <v>0.53244291152985568</v>
      </c>
      <c r="AA20">
        <f>IF(AND($N20&gt;0,$N20&lt;&gt;""),$N20-('DDD Model Calculations'!N$13+'DDD Model Calculations'!N$12*WorkingData!$P20),"")</f>
        <v>0.34851066545769527</v>
      </c>
      <c r="AB20">
        <f>IF(X20&lt;&gt;"",X20/'DDD Model Calculations'!K$11,"")</f>
        <v>1.9245948224256777</v>
      </c>
      <c r="AC20">
        <f>IF(Y20&lt;&gt;"",Y20/'DDD Model Calculations'!L$11,"")</f>
        <v>0.85309014277105444</v>
      </c>
      <c r="AD20">
        <f>IF(Z20&lt;&gt;"",Z20/'DDD Model Calculations'!M$11,"")</f>
        <v>0.56542043371588468</v>
      </c>
      <c r="AE20">
        <f>IF(AA20&lt;&gt;"",AA20/'DDD Model Calculations'!N$11,"")</f>
        <v>0.38717671714504026</v>
      </c>
      <c r="AF20">
        <f t="shared" si="8"/>
        <v>1</v>
      </c>
      <c r="AG20">
        <f t="shared" si="9"/>
        <v>1</v>
      </c>
      <c r="AH20">
        <f t="shared" si="10"/>
        <v>1</v>
      </c>
      <c r="AI20">
        <f t="shared" si="11"/>
        <v>1</v>
      </c>
    </row>
    <row r="21" spans="1:35" x14ac:dyDescent="0.25">
      <c r="A21" s="2">
        <v>44511</v>
      </c>
      <c r="B21" s="1">
        <v>29</v>
      </c>
      <c r="C21" s="1">
        <v>61902</v>
      </c>
      <c r="D21" t="str">
        <v>A</v>
      </c>
      <c r="E21">
        <v>261</v>
      </c>
      <c r="F21">
        <v>4637</v>
      </c>
      <c r="G21">
        <f t="shared" si="12"/>
        <v>331</v>
      </c>
      <c r="H21" s="2">
        <f t="shared" si="13"/>
        <v>44511</v>
      </c>
      <c r="I21">
        <f t="shared" si="14"/>
        <v>59</v>
      </c>
      <c r="J21">
        <f t="shared" si="15"/>
        <v>1276</v>
      </c>
      <c r="K21">
        <f>IF(AND($H22&gt;0,$H22&lt;&gt;""),VLOOKUP($H22,'Weather Data'!$L$2:$P$4170,'DDD Model Calculations'!$D$22,FALSE),"")</f>
        <v>34083.800007037818</v>
      </c>
      <c r="L21">
        <f>IF(AND($K21&gt;0,$K21&lt;&gt;""),VLOOKUP($H21,'Weather Data'!$L$2:$P$4170,'DDD Model Calculations'!$D$22,FALSE),"")</f>
        <v>34490.900007836521</v>
      </c>
      <c r="M21">
        <f t="shared" si="16"/>
        <v>407.10000079870224</v>
      </c>
      <c r="N21">
        <f t="shared" si="0"/>
        <v>5.6101694915254239</v>
      </c>
      <c r="O21">
        <f t="shared" si="1"/>
        <v>6.9000000135373263</v>
      </c>
      <c r="P21">
        <f t="shared" si="17"/>
        <v>1.9000000135373263</v>
      </c>
      <c r="Q21">
        <f t="shared" si="2"/>
        <v>1</v>
      </c>
      <c r="R21">
        <f t="shared" si="3"/>
        <v>4</v>
      </c>
      <c r="S21">
        <f>IF('DDD Model Calculations'!$D$23=1,WorkingData!AF21,IF('DDD Model Calculations'!$D$23=2,WorkingData!AG21,IF('DDD Model Calculations'!$D$23=4,WorkingData!AH21,WorkingData!AI21)))</f>
        <v>1</v>
      </c>
      <c r="T21">
        <f t="shared" si="4"/>
        <v>0</v>
      </c>
      <c r="U21">
        <f t="shared" si="5"/>
        <v>0</v>
      </c>
      <c r="V21">
        <f t="shared" si="6"/>
        <v>1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-0.6960142155495026</v>
      </c>
      <c r="Y21">
        <f>IF(AND($N21&gt;0,$N21&lt;&gt;""),$N21-('DDD Model Calculations'!L$13+'DDD Model Calculations'!L$12*WorkingData!$P21),"")</f>
        <v>-1.0735183381739262</v>
      </c>
      <c r="Z21">
        <f>IF(AND($N21&gt;0,$N21&lt;&gt;""),$N21-('DDD Model Calculations'!M$13+'DDD Model Calculations'!M$12*WorkingData!$P21),"")</f>
        <v>-0.7596084287337872</v>
      </c>
      <c r="AA21">
        <f>IF(AND($N21&gt;0,$N21&lt;&gt;""),$N21-('DDD Model Calculations'!N$13+'DDD Model Calculations'!N$12*WorkingData!$P21),"")</f>
        <v>-0.64345902223126927</v>
      </c>
      <c r="AB21">
        <f>IF(X21&lt;&gt;"",X21/'DDD Model Calculations'!K$11,"")</f>
        <v>-0.86906000446366394</v>
      </c>
      <c r="AC21">
        <f>IF(Y21&lt;&gt;"",Y21/'DDD Model Calculations'!L$11,"")</f>
        <v>-1.0701447354129239</v>
      </c>
      <c r="AD21">
        <f>IF(Z21&lt;&gt;"",Z21/'DDD Model Calculations'!M$11,"")</f>
        <v>-0.80665573327820772</v>
      </c>
      <c r="AE21">
        <f>IF(AA21&lt;&gt;"",AA21/'DDD Model Calculations'!N$11,"")</f>
        <v>-0.71484857290573156</v>
      </c>
      <c r="AF21">
        <f t="shared" si="8"/>
        <v>1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 x14ac:dyDescent="0.25">
      <c r="A22" s="2">
        <v>44452</v>
      </c>
      <c r="B22" s="1">
        <v>32</v>
      </c>
      <c r="C22" s="1">
        <v>61573</v>
      </c>
      <c r="D22" t="str">
        <v>A</v>
      </c>
      <c r="E22">
        <v>60</v>
      </c>
      <c r="F22">
        <v>4306</v>
      </c>
      <c r="G22">
        <f t="shared" si="12"/>
        <v>131</v>
      </c>
      <c r="H22" s="2">
        <f t="shared" si="13"/>
        <v>44452</v>
      </c>
      <c r="I22">
        <f t="shared" si="14"/>
        <v>62</v>
      </c>
      <c r="J22">
        <f t="shared" si="15"/>
        <v>1338</v>
      </c>
      <c r="K22">
        <f>IF(AND($H23&gt;0,$H23&lt;&gt;""),VLOOKUP($H23,'Weather Data'!$L$2:$P$4170,'DDD Model Calculations'!$D$22,FALSE),"")</f>
        <v>34054.100005321205</v>
      </c>
      <c r="L22">
        <f>IF(AND($K22&gt;0,$K22&lt;&gt;""),VLOOKUP($H22,'Weather Data'!$L$2:$P$4170,'DDD Model Calculations'!$D$22,FALSE),"")</f>
        <v>34083.800007037818</v>
      </c>
      <c r="M22">
        <f t="shared" si="16"/>
        <v>29.70000171661377</v>
      </c>
      <c r="N22">
        <f t="shared" si="0"/>
        <v>2.1129032258064515</v>
      </c>
      <c r="O22">
        <f t="shared" si="1"/>
        <v>0.47903228575183499</v>
      </c>
      <c r="P22">
        <f t="shared" si="17"/>
        <v>-4.5209677142481652</v>
      </c>
      <c r="Q22">
        <f t="shared" si="2"/>
        <v>0</v>
      </c>
      <c r="R22">
        <f t="shared" si="3"/>
        <v>4</v>
      </c>
      <c r="S22">
        <f>IF('DDD Model Calculations'!$D$23=1,WorkingData!AF22,IF('DDD Model Calculations'!$D$23=2,WorkingData!AG22,IF('DDD Model Calculations'!$D$23=4,WorkingData!AH22,WorkingData!AI22)))</f>
        <v>1</v>
      </c>
      <c r="T22">
        <f t="shared" si="4"/>
        <v>0</v>
      </c>
      <c r="U22">
        <f t="shared" si="5"/>
        <v>0</v>
      </c>
      <c r="V22">
        <f t="shared" si="6"/>
        <v>1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-0.4401358324325253</v>
      </c>
      <c r="Y22">
        <f>IF(AND($N22&gt;0,$N22&lt;&gt;""),$N22-('DDD Model Calculations'!L$13+'DDD Model Calculations'!L$12*WorkingData!$P22),"")</f>
        <v>-0.69195571542670109</v>
      </c>
      <c r="Z22">
        <f>IF(AND($N22&gt;0,$N22&lt;&gt;""),$N22-('DDD Model Calculations'!M$13+'DDD Model Calculations'!M$12*WorkingData!$P22),"")</f>
        <v>-0.11808255092857367</v>
      </c>
      <c r="AA22">
        <f>IF(AND($N22&gt;0,$N22&lt;&gt;""),$N22-('DDD Model Calculations'!N$13+'DDD Model Calculations'!N$12*WorkingData!$P22),"")</f>
        <v>0.12048448371139564</v>
      </c>
      <c r="AB22">
        <f>IF(X22&lt;&gt;"",X22/'DDD Model Calculations'!K$11,"")</f>
        <v>-0.5495641323883621</v>
      </c>
      <c r="AC22">
        <f>IF(Y22&lt;&gt;"",Y22/'DDD Model Calculations'!L$11,"")</f>
        <v>-0.68978119857957798</v>
      </c>
      <c r="AD22">
        <f>IF(Z22&lt;&gt;"",Z22/'DDD Model Calculations'!M$11,"")</f>
        <v>-0.12539614241172667</v>
      </c>
      <c r="AE22">
        <f>IF(AA22&lt;&gt;"",AA22/'DDD Model Calculations'!N$11,"")</f>
        <v>0.13385182002688467</v>
      </c>
      <c r="AF22">
        <f t="shared" si="8"/>
        <v>1</v>
      </c>
      <c r="AG22">
        <f t="shared" si="9"/>
        <v>1</v>
      </c>
      <c r="AH22">
        <f t="shared" si="10"/>
        <v>1</v>
      </c>
      <c r="AI22">
        <f t="shared" si="11"/>
        <v>1</v>
      </c>
    </row>
    <row r="23" spans="1:35" x14ac:dyDescent="0.25">
      <c r="A23" s="2">
        <v>44390</v>
      </c>
      <c r="B23" s="1">
        <v>32</v>
      </c>
      <c r="C23" s="1">
        <v>61443</v>
      </c>
      <c r="D23" t="str">
        <v>A</v>
      </c>
      <c r="E23">
        <v>100</v>
      </c>
      <c r="F23">
        <v>4175</v>
      </c>
      <c r="G23">
        <f t="shared" si="12"/>
        <v>171</v>
      </c>
      <c r="H23" s="2">
        <f t="shared" si="13"/>
        <v>44390</v>
      </c>
      <c r="I23">
        <f t="shared" si="14"/>
        <v>62</v>
      </c>
      <c r="J23">
        <f t="shared" si="15"/>
        <v>1400</v>
      </c>
      <c r="K23">
        <f>IF(AND($H24&gt;0,$H24&lt;&gt;""),VLOOKUP($H24,'Weather Data'!$L$2:$P$4170,'DDD Model Calculations'!$D$22,FALSE),"")</f>
        <v>33975.600003413856</v>
      </c>
      <c r="L23">
        <f>IF(AND($K23&gt;0,$K23&lt;&gt;""),VLOOKUP($H23,'Weather Data'!$L$2:$P$4170,'DDD Model Calculations'!$D$22,FALSE),"")</f>
        <v>34054.100005321205</v>
      </c>
      <c r="M23">
        <f t="shared" si="16"/>
        <v>78.500001907348633</v>
      </c>
      <c r="N23">
        <f t="shared" si="0"/>
        <v>2.7580645161290325</v>
      </c>
      <c r="O23">
        <f t="shared" si="1"/>
        <v>1.2661290630217521</v>
      </c>
      <c r="P23">
        <f t="shared" si="17"/>
        <v>-3.7338709369782479</v>
      </c>
      <c r="Q23">
        <f t="shared" si="2"/>
        <v>0</v>
      </c>
      <c r="R23">
        <f t="shared" si="3"/>
        <v>4</v>
      </c>
      <c r="S23">
        <f>IF('DDD Model Calculations'!$D$23=1,WorkingData!AF23,IF('DDD Model Calculations'!$D$23=2,WorkingData!AG23,IF('DDD Model Calculations'!$D$23=4,WorkingData!AH23,WorkingData!AI23)))</f>
        <v>1</v>
      </c>
      <c r="T23">
        <f t="shared" si="4"/>
        <v>0</v>
      </c>
      <c r="U23">
        <f t="shared" si="5"/>
        <v>0</v>
      </c>
      <c r="V23">
        <f t="shared" si="6"/>
        <v>1</v>
      </c>
      <c r="W23">
        <f t="shared" si="7"/>
        <v>1</v>
      </c>
      <c r="X23">
        <f>IF(AND($N23&gt;0,$N23&lt;&gt;"",'DDD Model Calculations'!$K$3&gt;=3),$N23-('DDD Model Calculations'!K$13+'DDD Model Calculations'!K$12*WorkingData!$P23),"")</f>
        <v>-0.25504351971021633</v>
      </c>
      <c r="Y23">
        <f>IF(AND($N23&gt;0,$N23&lt;&gt;""),$N23-('DDD Model Calculations'!L$13+'DDD Model Calculations'!L$12*WorkingData!$P23),"")</f>
        <v>-0.52227006166305756</v>
      </c>
      <c r="Z23">
        <f>IF(AND($N23&gt;0,$N23&lt;&gt;""),$N23-('DDD Model Calculations'!M$13+'DDD Model Calculations'!M$12*WorkingData!$P23),"")</f>
        <v>1.9736217820323088E-2</v>
      </c>
      <c r="AA23">
        <f>IF(AND($N23&gt;0,$N23&lt;&gt;""),$N23-('DDD Model Calculations'!N$13+'DDD Model Calculations'!N$12*WorkingData!$P23),"")</f>
        <v>0.24329702214222726</v>
      </c>
      <c r="AB23">
        <f>IF(X23&lt;&gt;"",X23/'DDD Model Calculations'!K$11,"")</f>
        <v>-0.3184534416481683</v>
      </c>
      <c r="AC23">
        <f>IF(Y23&lt;&gt;"",Y23/'DDD Model Calculations'!L$11,"")</f>
        <v>-0.52062879326608502</v>
      </c>
      <c r="AD23">
        <f>IF(Z23&lt;&gt;"",Z23/'DDD Model Calculations'!M$11,"")</f>
        <v>2.0958605323178423E-2</v>
      </c>
      <c r="AE23">
        <f>IF(AA23&lt;&gt;"",AA23/'DDD Model Calculations'!N$11,"")</f>
        <v>0.27028998438392488</v>
      </c>
      <c r="AF23">
        <f t="shared" si="8"/>
        <v>1</v>
      </c>
      <c r="AG23">
        <f t="shared" si="9"/>
        <v>1</v>
      </c>
      <c r="AH23">
        <f t="shared" si="10"/>
        <v>1</v>
      </c>
      <c r="AI23">
        <f t="shared" si="11"/>
        <v>1</v>
      </c>
    </row>
    <row r="24" spans="1:35" x14ac:dyDescent="0.25">
      <c r="A24" s="2">
        <v>44328</v>
      </c>
      <c r="B24" s="1">
        <v>29</v>
      </c>
      <c r="C24" s="1">
        <v>61273</v>
      </c>
      <c r="D24" t="str">
        <v>A</v>
      </c>
      <c r="E24">
        <v>332</v>
      </c>
      <c r="F24">
        <v>4004</v>
      </c>
      <c r="G24">
        <f t="shared" si="12"/>
        <v>657</v>
      </c>
      <c r="H24" s="2">
        <f t="shared" si="13"/>
        <v>44328</v>
      </c>
      <c r="I24">
        <f t="shared" si="14"/>
        <v>61</v>
      </c>
      <c r="J24">
        <f t="shared" si="15"/>
        <v>1461</v>
      </c>
      <c r="K24">
        <f>IF(AND($H25&gt;0,$H25&lt;&gt;""),VLOOKUP($H25,'Weather Data'!$L$2:$P$4170,'DDD Model Calculations'!$D$22,FALSE),"")</f>
        <v>33268.500002421439</v>
      </c>
      <c r="L24">
        <f>IF(AND($K24&gt;0,$K24&lt;&gt;""),VLOOKUP($H24,'Weather Data'!$L$2:$P$4170,'DDD Model Calculations'!$D$22,FALSE),"")</f>
        <v>33975.600003413856</v>
      </c>
      <c r="M24">
        <f t="shared" si="16"/>
        <v>707.10000099241734</v>
      </c>
      <c r="N24">
        <f t="shared" si="0"/>
        <v>10.770491803278688</v>
      </c>
      <c r="O24">
        <f t="shared" si="1"/>
        <v>11.591803294957661</v>
      </c>
      <c r="P24">
        <f t="shared" si="17"/>
        <v>6.5918032949576606</v>
      </c>
      <c r="Q24">
        <f t="shared" si="2"/>
        <v>1</v>
      </c>
      <c r="R24">
        <f t="shared" si="3"/>
        <v>4</v>
      </c>
      <c r="S24">
        <f>IF('DDD Model Calculations'!$D$23=1,WorkingData!AF24,IF('DDD Model Calculations'!$D$23=2,WorkingData!AG24,IF('DDD Model Calculations'!$D$23=4,WorkingData!AH24,WorkingData!AI24)))</f>
        <v>0</v>
      </c>
      <c r="T24">
        <f t="shared" si="4"/>
        <v>0</v>
      </c>
      <c r="U24">
        <f t="shared" si="5"/>
        <v>0</v>
      </c>
      <c r="V24">
        <f t="shared" si="6"/>
        <v>1</v>
      </c>
      <c r="W24">
        <f t="shared" si="7"/>
        <v>1</v>
      </c>
      <c r="X24">
        <f>IF(AND($N24&gt;0,$N24&lt;&gt;"",'DDD Model Calculations'!$K$3&gt;=3),$N24-('DDD Model Calculations'!K$13+'DDD Model Calculations'!K$12*WorkingData!$P24),"")</f>
        <v>1.7218840371551423</v>
      </c>
      <c r="Y24">
        <f>IF(AND($N24&gt;0,$N24&lt;&gt;""),$N24-('DDD Model Calculations'!L$13+'DDD Model Calculations'!L$12*WorkingData!$P24),"")</f>
        <v>1.252542398299596</v>
      </c>
      <c r="Z24">
        <f>IF(AND($N24&gt;0,$N24&lt;&gt;""),$N24-('DDD Model Calculations'!M$13+'DDD Model Calculations'!M$12*WorkingData!$P24),"")</f>
        <v>1.3764970697073444</v>
      </c>
      <c r="AA24">
        <f>IF(AND($N24&gt;0,$N24&lt;&gt;""),$N24-('DDD Model Calculations'!N$13+'DDD Model Calculations'!N$12*WorkingData!$P24),"")</f>
        <v>1.4031958740967951</v>
      </c>
      <c r="AB24">
        <f>IF(X24&lt;&gt;"",X24/'DDD Model Calculations'!K$11,"")</f>
        <v>2.1499856117658989</v>
      </c>
      <c r="AC24">
        <f>IF(Y24&lt;&gt;"",Y24/'DDD Model Calculations'!L$11,"")</f>
        <v>1.2486062005254959</v>
      </c>
      <c r="AD24">
        <f>IF(Z24&lt;&gt;"",Z24/'DDD Model Calculations'!M$11,"")</f>
        <v>1.4617521490262706</v>
      </c>
      <c r="AE24">
        <f>IF(AA24&lt;&gt;"",AA24/'DDD Model Calculations'!N$11,"")</f>
        <v>1.5588755980560089</v>
      </c>
      <c r="AF24">
        <f t="shared" si="8"/>
        <v>0</v>
      </c>
      <c r="AG24">
        <f t="shared" si="9"/>
        <v>1</v>
      </c>
      <c r="AH24">
        <f t="shared" si="10"/>
        <v>1</v>
      </c>
      <c r="AI24">
        <f t="shared" si="11"/>
        <v>1</v>
      </c>
    </row>
    <row r="25" spans="1:35" x14ac:dyDescent="0.25">
      <c r="A25" s="2">
        <v>44267</v>
      </c>
      <c r="B25" s="1">
        <v>28</v>
      </c>
      <c r="C25" s="1">
        <v>60622</v>
      </c>
      <c r="D25" t="str">
        <v>A</v>
      </c>
      <c r="E25">
        <v>562</v>
      </c>
      <c r="F25">
        <v>3347</v>
      </c>
      <c r="G25">
        <f t="shared" si="12"/>
        <v>1149</v>
      </c>
      <c r="H25" s="2">
        <f t="shared" si="13"/>
        <v>44267</v>
      </c>
      <c r="I25">
        <f t="shared" si="14"/>
        <v>58</v>
      </c>
      <c r="J25">
        <f t="shared" si="15"/>
        <v>1519</v>
      </c>
      <c r="K25">
        <f>IF(AND($H26&gt;0,$H26&lt;&gt;""),VLOOKUP($H26,'Weather Data'!$L$2:$P$4170,'DDD Model Calculations'!$D$22,FALSE),"")</f>
        <v>31745.600003428757</v>
      </c>
      <c r="L25">
        <f>IF(AND($K25&gt;0,$K25&lt;&gt;""),VLOOKUP($H25,'Weather Data'!$L$2:$P$4170,'DDD Model Calculations'!$D$22,FALSE),"")</f>
        <v>33268.500002421439</v>
      </c>
      <c r="M25">
        <f t="shared" si="16"/>
        <v>1522.8999989926815</v>
      </c>
      <c r="N25">
        <f t="shared" si="0"/>
        <v>19.810344827586206</v>
      </c>
      <c r="O25">
        <f t="shared" si="1"/>
        <v>26.256896534356578</v>
      </c>
      <c r="P25">
        <f t="shared" si="17"/>
        <v>21.256896534356578</v>
      </c>
      <c r="Q25">
        <f t="shared" si="2"/>
        <v>1</v>
      </c>
      <c r="R25">
        <f t="shared" si="3"/>
        <v>5</v>
      </c>
      <c r="S25">
        <f>IF('DDD Model Calculations'!$D$23=1,WorkingData!AF25,IF('DDD Model Calculations'!$D$23=2,WorkingData!AG25,IF('DDD Model Calculations'!$D$23=4,WorkingData!AH25,WorkingData!AI25)))</f>
        <v>0</v>
      </c>
      <c r="T25">
        <f t="shared" si="4"/>
        <v>0</v>
      </c>
      <c r="U25">
        <f t="shared" si="5"/>
        <v>0</v>
      </c>
      <c r="V25">
        <f t="shared" si="6"/>
        <v>0</v>
      </c>
      <c r="W25">
        <f t="shared" si="7"/>
        <v>1</v>
      </c>
      <c r="X25">
        <f>IF(AND($N25&gt;0,$N25&lt;&gt;"",'DDD Model Calculations'!$K$3&gt;=3),$N25-('DDD Model Calculations'!K$13+'DDD Model Calculations'!K$12*WorkingData!$P25),"")</f>
        <v>2.1897867652550573</v>
      </c>
      <c r="Y25">
        <f>IF(AND($N25&gt;0,$N25&lt;&gt;""),$N25-('DDD Model Calculations'!L$13+'DDD Model Calculations'!L$12*WorkingData!$P25),"")</f>
        <v>1.4333900949710561</v>
      </c>
      <c r="Z25">
        <f>IF(AND($N25&gt;0,$N25&lt;&gt;""),$N25-('DDD Model Calculations'!M$13+'DDD Model Calculations'!M$12*WorkingData!$P25),"")</f>
        <v>0.96360476707220855</v>
      </c>
      <c r="AA25">
        <f>IF(AND($N25&gt;0,$N25&lt;&gt;""),$N25-('DDD Model Calculations'!N$13+'DDD Model Calculations'!N$12*WorkingData!$P25),"")</f>
        <v>0.71070927868658273</v>
      </c>
      <c r="AB25">
        <f>IF(X25&lt;&gt;"",X25/'DDD Model Calculations'!K$11,"")</f>
        <v>2.7342201545187854</v>
      </c>
      <c r="AC25">
        <f>IF(Y25&lt;&gt;"",Y25/'DDD Model Calculations'!L$11,"")</f>
        <v>1.4288855712847506</v>
      </c>
      <c r="AD25">
        <f>IF(Z25&lt;&gt;"",Z25/'DDD Model Calculations'!M$11,"")</f>
        <v>1.0232868417069934</v>
      </c>
      <c r="AE25">
        <f>IF(AA25&lt;&gt;"",AA25/'DDD Model Calculations'!N$11,"")</f>
        <v>0.78956001247483409</v>
      </c>
      <c r="AF25">
        <f t="shared" si="8"/>
        <v>0</v>
      </c>
      <c r="AG25">
        <f t="shared" si="9"/>
        <v>1</v>
      </c>
      <c r="AH25">
        <f t="shared" si="10"/>
        <v>1</v>
      </c>
      <c r="AI25">
        <f t="shared" si="11"/>
        <v>1</v>
      </c>
    </row>
    <row r="26" spans="1:35" x14ac:dyDescent="0.25">
      <c r="A26" s="2">
        <v>44209</v>
      </c>
      <c r="B26" s="1">
        <v>33</v>
      </c>
      <c r="C26" s="1">
        <v>59483</v>
      </c>
      <c r="D26" t="str">
        <v>A</v>
      </c>
      <c r="E26">
        <v>593</v>
      </c>
      <c r="F26">
        <v>2198</v>
      </c>
      <c r="G26">
        <f t="shared" si="12"/>
        <v>999</v>
      </c>
      <c r="H26" s="2">
        <f t="shared" si="13"/>
        <v>44209</v>
      </c>
      <c r="I26">
        <f t="shared" si="14"/>
        <v>63</v>
      </c>
      <c r="J26">
        <f t="shared" si="15"/>
        <v>1582</v>
      </c>
      <c r="K26">
        <f>IF(AND($H27&gt;0,$H27&lt;&gt;""),VLOOKUP($H27,'Weather Data'!$L$2:$P$4170,'DDD Model Calculations'!$D$22,FALSE),"")</f>
        <v>30461.000004425645</v>
      </c>
      <c r="L26">
        <f>IF(AND($K26&gt;0,$K26&lt;&gt;""),VLOOKUP($H26,'Weather Data'!$L$2:$P$4170,'DDD Model Calculations'!$D$22,FALSE),"")</f>
        <v>31745.600003428757</v>
      </c>
      <c r="M26">
        <f t="shared" si="16"/>
        <v>1284.5999990031123</v>
      </c>
      <c r="N26">
        <f t="shared" si="0"/>
        <v>15.857142857142858</v>
      </c>
      <c r="O26">
        <f t="shared" si="1"/>
        <v>20.390476174652576</v>
      </c>
      <c r="P26">
        <f t="shared" si="17"/>
        <v>15.390476174652576</v>
      </c>
      <c r="Q26">
        <f t="shared" si="2"/>
        <v>1</v>
      </c>
      <c r="R26">
        <f t="shared" si="3"/>
        <v>5</v>
      </c>
      <c r="S26">
        <f>IF('DDD Model Calculations'!$D$23=1,WorkingData!AF26,IF('DDD Model Calculations'!$D$23=2,WorkingData!AG26,IF('DDD Model Calculations'!$D$23=4,WorkingData!AH26,WorkingData!AI26)))</f>
        <v>0</v>
      </c>
      <c r="T26">
        <f t="shared" si="4"/>
        <v>0</v>
      </c>
      <c r="U26">
        <f t="shared" si="5"/>
        <v>0</v>
      </c>
      <c r="V26">
        <f t="shared" si="6"/>
        <v>0</v>
      </c>
      <c r="W26">
        <f t="shared" si="7"/>
        <v>1</v>
      </c>
      <c r="X26">
        <f>IF(AND($N26&gt;0,$N26&lt;&gt;"",'DDD Model Calculations'!$K$3&gt;=3),$N26-('DDD Model Calculations'!K$13+'DDD Model Calculations'!K$12*WorkingData!$P26),"")</f>
        <v>1.6655888194805719</v>
      </c>
      <c r="Y26">
        <f>IF(AND($N26&gt;0,$N26&lt;&gt;""),$N26-('DDD Model Calculations'!L$13+'DDD Model Calculations'!L$12*WorkingData!$P26),"")</f>
        <v>1.0240216598745668</v>
      </c>
      <c r="Z26">
        <f>IF(AND($N26&gt;0,$N26&lt;&gt;""),$N26-('DDD Model Calculations'!M$13+'DDD Model Calculations'!M$12*WorkingData!$P26),"")</f>
        <v>0.79174784066119841</v>
      </c>
      <c r="AA26">
        <f>IF(AND($N26&gt;0,$N26&lt;&gt;""),$N26-('DDD Model Calculations'!N$13+'DDD Model Calculations'!N$12*WorkingData!$P26),"")</f>
        <v>0.65069737261176641</v>
      </c>
      <c r="AB26">
        <f>IF(X26&lt;&gt;"",X26/'DDD Model Calculations'!K$11,"")</f>
        <v>2.0796940558888113</v>
      </c>
      <c r="AC26">
        <f>IF(Y26&lt;&gt;"",Y26/'DDD Model Calculations'!L$11,"")</f>
        <v>1.0208036037163875</v>
      </c>
      <c r="AD26">
        <f>IF(Z26&lt;&gt;"",Z26/'DDD Model Calculations'!M$11,"")</f>
        <v>0.84078574015379237</v>
      </c>
      <c r="AE26">
        <f>IF(AA26&lt;&gt;"",AA26/'DDD Model Calculations'!N$11,"")</f>
        <v>0.72288999319967273</v>
      </c>
      <c r="AF26">
        <f t="shared" si="8"/>
        <v>0</v>
      </c>
      <c r="AG26">
        <f t="shared" si="9"/>
        <v>1</v>
      </c>
      <c r="AH26">
        <f t="shared" si="10"/>
        <v>1</v>
      </c>
      <c r="AI26">
        <f t="shared" si="11"/>
        <v>1</v>
      </c>
    </row>
    <row r="27" spans="1:35" x14ac:dyDescent="0.25">
      <c r="A27" s="2">
        <v>44146</v>
      </c>
      <c r="B27" s="1">
        <v>28</v>
      </c>
      <c r="C27" s="1">
        <v>58492</v>
      </c>
      <c r="D27" t="str">
        <v>A</v>
      </c>
      <c r="E27">
        <v>259</v>
      </c>
      <c r="F27">
        <v>1199</v>
      </c>
      <c r="G27">
        <f t="shared" si="12"/>
        <v>425</v>
      </c>
      <c r="H27" s="2">
        <f t="shared" si="13"/>
        <v>44146</v>
      </c>
      <c r="I27">
        <f t="shared" si="14"/>
        <v>61</v>
      </c>
      <c r="J27">
        <f t="shared" si="15"/>
        <v>1643</v>
      </c>
      <c r="K27">
        <f>IF(AND($H28&gt;0,$H28&lt;&gt;""),VLOOKUP($H28,'Weather Data'!$L$2:$P$4170,'DDD Model Calculations'!$D$22,FALSE),"")</f>
        <v>29933.500003248453</v>
      </c>
      <c r="L27">
        <f>IF(AND($K27&gt;0,$K27&lt;&gt;""),VLOOKUP($H27,'Weather Data'!$L$2:$P$4170,'DDD Model Calculations'!$D$22,FALSE),"")</f>
        <v>30461.000004425645</v>
      </c>
      <c r="M27">
        <f t="shared" si="16"/>
        <v>527.50000117719173</v>
      </c>
      <c r="N27">
        <f t="shared" si="0"/>
        <v>6.9672131147540988</v>
      </c>
      <c r="O27">
        <f t="shared" si="1"/>
        <v>8.6475410029047826</v>
      </c>
      <c r="P27">
        <f t="shared" si="17"/>
        <v>3.6475410029047826</v>
      </c>
      <c r="Q27">
        <f t="shared" si="2"/>
        <v>1</v>
      </c>
      <c r="R27">
        <f t="shared" si="3"/>
        <v>5</v>
      </c>
      <c r="S27">
        <f>IF('DDD Model Calculations'!$D$23=1,WorkingData!AF27,IF('DDD Model Calculations'!$D$23=2,WorkingData!AG27,IF('DDD Model Calculations'!$D$23=4,WorkingData!AH27,WorkingData!AI27)))</f>
        <v>1</v>
      </c>
      <c r="T27">
        <f t="shared" si="4"/>
        <v>0</v>
      </c>
      <c r="U27">
        <f t="shared" si="5"/>
        <v>0</v>
      </c>
      <c r="V27">
        <f t="shared" si="6"/>
        <v>0</v>
      </c>
      <c r="W27">
        <f t="shared" si="7"/>
        <v>1</v>
      </c>
      <c r="X27">
        <f>IF(AND($N27&gt;0,$N27&lt;&gt;"",'DDD Model Calculations'!$K$3&gt;=3),$N27-('DDD Model Calculations'!K$13+'DDD Model Calculations'!K$12*WorkingData!$P27),"")</f>
        <v>-0.36043252624149336</v>
      </c>
      <c r="Y27">
        <f>IF(AND($N27&gt;0,$N27&lt;&gt;""),$N27-('DDD Model Calculations'!L$13+'DDD Model Calculations'!L$12*WorkingData!$P27),"")</f>
        <v>-0.77214307533974846</v>
      </c>
      <c r="Z27">
        <f>IF(AND($N27&gt;0,$N27&lt;&gt;""),$N27-('DDD Model Calculations'!M$13+'DDD Model Calculations'!M$12*WorkingData!$P27),"")</f>
        <v>-0.52898518696605201</v>
      </c>
      <c r="AA27">
        <f>IF(AND($N27&gt;0,$N27&lt;&gt;""),$N27-('DDD Model Calculations'!N$13+'DDD Model Calculations'!N$12*WorkingData!$P27),"")</f>
        <v>-0.44615316065617883</v>
      </c>
      <c r="AB27">
        <f>IF(X27&lt;&gt;"",X27/'DDD Model Calculations'!K$11,"")</f>
        <v>-0.45004467705732298</v>
      </c>
      <c r="AC27">
        <f>IF(Y27&lt;&gt;"",Y27/'DDD Model Calculations'!L$11,"")</f>
        <v>-0.76971656438206337</v>
      </c>
      <c r="AD27">
        <f>IF(Z27&lt;&gt;"",Z27/'DDD Model Calculations'!M$11,"")</f>
        <v>-0.56174855062720108</v>
      </c>
      <c r="AE27">
        <f>IF(AA27&lt;&gt;"",AA27/'DDD Model Calculations'!N$11,"")</f>
        <v>-0.4956523091191064</v>
      </c>
      <c r="AF27">
        <f t="shared" si="8"/>
        <v>1</v>
      </c>
      <c r="AG27">
        <f t="shared" si="9"/>
        <v>1</v>
      </c>
      <c r="AH27">
        <f t="shared" si="10"/>
        <v>1</v>
      </c>
      <c r="AI27">
        <f t="shared" si="11"/>
        <v>1</v>
      </c>
    </row>
    <row r="28" spans="1:35" x14ac:dyDescent="0.25">
      <c r="A28" s="2">
        <v>44085</v>
      </c>
      <c r="B28" s="1">
        <v>29</v>
      </c>
      <c r="C28" s="1">
        <v>58071</v>
      </c>
      <c r="D28" t="str">
        <v>A</v>
      </c>
      <c r="E28">
        <v>44</v>
      </c>
      <c r="F28">
        <v>774</v>
      </c>
      <c r="G28">
        <f t="shared" si="12"/>
        <v>133</v>
      </c>
      <c r="H28" s="2">
        <f t="shared" si="13"/>
        <v>44085</v>
      </c>
      <c r="I28">
        <f t="shared" si="14"/>
        <v>63</v>
      </c>
      <c r="J28">
        <f t="shared" si="15"/>
        <v>1706</v>
      </c>
      <c r="K28">
        <f>IF(AND($H29&gt;0,$H29&lt;&gt;""),VLOOKUP($H29,'Weather Data'!$L$2:$P$4170,'DDD Model Calculations'!$D$22,FALSE),"")</f>
        <v>29877.700002104044</v>
      </c>
      <c r="L28">
        <f>IF(AND($K28&gt;0,$K28&lt;&gt;""),VLOOKUP($H28,'Weather Data'!$L$2:$P$4170,'DDD Model Calculations'!$D$22,FALSE),"")</f>
        <v>29933.500003248453</v>
      </c>
      <c r="M28">
        <f t="shared" si="16"/>
        <v>55.80000114440918</v>
      </c>
      <c r="N28">
        <f t="shared" si="0"/>
        <v>2.1111111111111112</v>
      </c>
      <c r="O28">
        <f t="shared" si="1"/>
        <v>0.88571430387951078</v>
      </c>
      <c r="P28">
        <f t="shared" si="17"/>
        <v>-4.114285696120489</v>
      </c>
      <c r="Q28">
        <f t="shared" si="2"/>
        <v>0</v>
      </c>
      <c r="R28">
        <f t="shared" si="3"/>
        <v>5</v>
      </c>
      <c r="S28">
        <f>IF('DDD Model Calculations'!$D$23=1,WorkingData!AF28,IF('DDD Model Calculations'!$D$23=2,WorkingData!AG28,IF('DDD Model Calculations'!$D$23=4,WorkingData!AH28,WorkingData!AI28)))</f>
        <v>1</v>
      </c>
      <c r="T28">
        <f t="shared" si="4"/>
        <v>0</v>
      </c>
      <c r="U28">
        <f t="shared" si="5"/>
        <v>0</v>
      </c>
      <c r="V28">
        <f t="shared" si="6"/>
        <v>0</v>
      </c>
      <c r="W28">
        <f t="shared" si="7"/>
        <v>1</v>
      </c>
      <c r="X28">
        <f>IF(AND($N28&gt;0,$N28&lt;&gt;"",'DDD Model Calculations'!$K$3&gt;=3),$N28-('DDD Model Calculations'!K$13+'DDD Model Calculations'!K$12*WorkingData!$P28),"")</f>
        <v>-0.67963922443405256</v>
      </c>
      <c r="Y28">
        <f>IF(AND($N28&gt;0,$N28&lt;&gt;""),$N28-('DDD Model Calculations'!L$13+'DDD Model Calculations'!L$12*WorkingData!$P28),"")</f>
        <v>-0.93941951501577714</v>
      </c>
      <c r="Z28">
        <f>IF(AND($N28&gt;0,$N28&lt;&gt;""),$N28-('DDD Model Calculations'!M$13+'DDD Model Calculations'!M$12*WorkingData!$P28),"")</f>
        <v>-0.38201152923962489</v>
      </c>
      <c r="AA28">
        <f>IF(AND($N28&gt;0,$N28&lt;&gt;""),$N28-('DDD Model Calculations'!N$13+'DDD Model Calculations'!N$12*WorkingData!$P28),"")</f>
        <v>-0.15119800624711432</v>
      </c>
      <c r="AB28">
        <f>IF(X28&lt;&gt;"",X28/'DDD Model Calculations'!K$11,"")</f>
        <v>-0.84861379871964726</v>
      </c>
      <c r="AC28">
        <f>IF(Y28&lt;&gt;"",Y28/'DDD Model Calculations'!L$11,"")</f>
        <v>-0.93646732672341171</v>
      </c>
      <c r="AD28">
        <f>IF(Z28&lt;&gt;"",Z28/'DDD Model Calculations'!M$11,"")</f>
        <v>-0.40567189433796308</v>
      </c>
      <c r="AE28">
        <f>IF(AA28&lt;&gt;"",AA28/'DDD Model Calculations'!N$11,"")</f>
        <v>-0.16797290154880226</v>
      </c>
      <c r="AF28">
        <f t="shared" si="8"/>
        <v>1</v>
      </c>
      <c r="AG28">
        <f t="shared" si="9"/>
        <v>1</v>
      </c>
      <c r="AH28">
        <f t="shared" si="10"/>
        <v>1</v>
      </c>
      <c r="AI28">
        <f t="shared" si="11"/>
        <v>1</v>
      </c>
    </row>
    <row r="29" spans="1:35" x14ac:dyDescent="0.25">
      <c r="A29" s="2">
        <v>44022</v>
      </c>
      <c r="B29" s="1">
        <v>28</v>
      </c>
      <c r="C29" s="1">
        <v>57939</v>
      </c>
      <c r="D29" t="str">
        <v>A</v>
      </c>
      <c r="E29">
        <v>123</v>
      </c>
      <c r="F29">
        <v>641</v>
      </c>
      <c r="G29">
        <f t="shared" si="12"/>
        <v>204</v>
      </c>
      <c r="H29" s="2">
        <f t="shared" si="13"/>
        <v>44022</v>
      </c>
      <c r="I29">
        <f t="shared" si="14"/>
        <v>59</v>
      </c>
      <c r="J29">
        <f t="shared" si="15"/>
        <v>1765</v>
      </c>
      <c r="K29">
        <f>IF(AND($H30&gt;0,$H30&lt;&gt;""),VLOOKUP($H30,'Weather Data'!$L$2:$P$4170,'DDD Model Calculations'!$D$22,FALSE),"")</f>
        <v>29769.300000578165</v>
      </c>
      <c r="L29">
        <f>IF(AND($K29&gt;0,$K29&lt;&gt;""),VLOOKUP($H29,'Weather Data'!$L$2:$P$4170,'DDD Model Calculations'!$D$22,FALSE),"")</f>
        <v>29877.700002104044</v>
      </c>
      <c r="M29">
        <f t="shared" si="16"/>
        <v>108.40000152587891</v>
      </c>
      <c r="N29">
        <f t="shared" si="0"/>
        <v>3.4576271186440679</v>
      </c>
      <c r="O29">
        <f t="shared" si="1"/>
        <v>1.8372881614555747</v>
      </c>
      <c r="P29">
        <f t="shared" si="17"/>
        <v>-3.1627118385444253</v>
      </c>
      <c r="Q29">
        <f t="shared" si="2"/>
        <v>0</v>
      </c>
      <c r="R29">
        <f t="shared" si="3"/>
        <v>5</v>
      </c>
      <c r="S29">
        <f>IF('DDD Model Calculations'!$D$23=1,WorkingData!AF29,IF('DDD Model Calculations'!$D$23=2,WorkingData!AG29,IF('DDD Model Calculations'!$D$23=4,WorkingData!AH29,WorkingData!AI29)))</f>
        <v>1</v>
      </c>
      <c r="T29">
        <f t="shared" si="4"/>
        <v>0</v>
      </c>
      <c r="U29">
        <f t="shared" si="5"/>
        <v>0</v>
      </c>
      <c r="V29">
        <f t="shared" si="6"/>
        <v>0</v>
      </c>
      <c r="W29">
        <f t="shared" si="7"/>
        <v>1</v>
      </c>
      <c r="X29">
        <f>IF(AND($N29&gt;0,$N29&lt;&gt;"",'DDD Model Calculations'!$K$3&gt;=3),$N29-('DDD Model Calculations'!K$13+'DDD Model Calculations'!K$12*WorkingData!$P29),"")</f>
        <v>0.11066867196337116</v>
      </c>
      <c r="Y29">
        <f>IF(AND($N29&gt;0,$N29&lt;&gt;""),$N29-('DDD Model Calculations'!L$13+'DDD Model Calculations'!L$12*WorkingData!$P29),"")</f>
        <v>-0.16773775751388742</v>
      </c>
      <c r="Z29">
        <f>IF(AND($N29&gt;0,$N29&lt;&gt;""),$N29-('DDD Model Calculations'!M$13+'DDD Model Calculations'!M$12*WorkingData!$P29),"")</f>
        <v>0.35114422284829994</v>
      </c>
      <c r="AA29">
        <f>IF(AND($N29&gt;0,$N29&lt;&gt;""),$N29-('DDD Model Calculations'!N$13+'DDD Model Calculations'!N$12*WorkingData!$P29),"")</f>
        <v>0.56381571187013968</v>
      </c>
      <c r="AB29">
        <f>IF(X29&lt;&gt;"",X29/'DDD Model Calculations'!K$11,"")</f>
        <v>0.13818355200481483</v>
      </c>
      <c r="AC29">
        <f>IF(Y29&lt;&gt;"",Y29/'DDD Model Calculations'!L$11,"")</f>
        <v>-0.16721063045722645</v>
      </c>
      <c r="AD29">
        <f>IF(Z29&lt;&gt;"",Z29/'DDD Model Calculations'!M$11,"")</f>
        <v>0.37289278245669727</v>
      </c>
      <c r="AE29">
        <f>IF(AA29&lt;&gt;"",AA29/'DDD Model Calculations'!N$11,"")</f>
        <v>0.6263691130083161</v>
      </c>
      <c r="AF29">
        <f t="shared" si="8"/>
        <v>1</v>
      </c>
      <c r="AG29">
        <f t="shared" si="9"/>
        <v>1</v>
      </c>
      <c r="AH29">
        <f t="shared" si="10"/>
        <v>1</v>
      </c>
      <c r="AI29">
        <f t="shared" si="11"/>
        <v>1</v>
      </c>
    </row>
    <row r="30" spans="1:35" x14ac:dyDescent="0.25">
      <c r="A30" s="2">
        <v>43963</v>
      </c>
      <c r="B30" s="1">
        <v>28</v>
      </c>
      <c r="C30" s="1">
        <v>57737</v>
      </c>
      <c r="D30" t="str">
        <v>A</v>
      </c>
      <c r="E30">
        <v>437</v>
      </c>
      <c r="F30">
        <v>437</v>
      </c>
      <c r="G30" t="str">
        <f t="shared" si="12"/>
        <v/>
      </c>
      <c r="H30" s="2">
        <f t="shared" si="13"/>
        <v>43963</v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2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2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2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2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2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2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2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2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2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2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2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2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2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2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2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2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2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2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2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2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2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2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2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2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2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2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2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2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2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2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2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2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2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2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2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2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2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2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2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2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2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2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2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2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2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2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2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2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2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2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2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2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2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2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2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2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2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2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2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2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2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2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2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2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2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2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2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2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2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2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2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75" x14ac:dyDescent="0.25"/>
  <cols>
    <col min="1" max="1" width="10.875" style="20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 x14ac:dyDescent="0.25">
      <c r="A2" s="20" cm="1">
        <f t="array" ref="A2:E133">_xlfn._xlws.SORT('Consumption Data Input'!C3:G134,1,1)</f>
        <v>43963</v>
      </c>
      <c r="B2">
        <v>28</v>
      </c>
      <c r="C2">
        <v>57737</v>
      </c>
      <c r="D2" t="str">
        <v>A</v>
      </c>
      <c r="E2">
        <v>437</v>
      </c>
      <c r="F2">
        <f>E2</f>
        <v>437</v>
      </c>
    </row>
    <row r="3" spans="1:6" x14ac:dyDescent="0.25">
      <c r="A3" s="20">
        <v>43994</v>
      </c>
      <c r="B3">
        <v>31</v>
      </c>
      <c r="C3">
        <v>57817</v>
      </c>
      <c r="D3" t="str">
        <v>E</v>
      </c>
      <c r="E3">
        <v>81</v>
      </c>
      <c r="F3">
        <f>E3+F2</f>
        <v>518</v>
      </c>
    </row>
    <row r="4" spans="1:6" x14ac:dyDescent="0.25">
      <c r="A4" s="20">
        <v>44022</v>
      </c>
      <c r="B4">
        <v>28</v>
      </c>
      <c r="C4">
        <v>57939</v>
      </c>
      <c r="D4" t="str">
        <v>A</v>
      </c>
      <c r="E4">
        <v>123</v>
      </c>
      <c r="F4">
        <f t="shared" ref="F4:F67" si="0">E4+F3</f>
        <v>641</v>
      </c>
    </row>
    <row r="5" spans="1:6" x14ac:dyDescent="0.25">
      <c r="A5" s="20">
        <v>44056</v>
      </c>
      <c r="B5">
        <v>34</v>
      </c>
      <c r="C5">
        <v>58027</v>
      </c>
      <c r="D5" t="str">
        <v>E</v>
      </c>
      <c r="E5">
        <v>89</v>
      </c>
      <c r="F5">
        <f t="shared" si="0"/>
        <v>730</v>
      </c>
    </row>
    <row r="6" spans="1:6" x14ac:dyDescent="0.25">
      <c r="A6" s="20">
        <v>44085</v>
      </c>
      <c r="B6">
        <v>29</v>
      </c>
      <c r="C6">
        <v>58071</v>
      </c>
      <c r="D6" t="str">
        <v>A</v>
      </c>
      <c r="E6">
        <v>44</v>
      </c>
      <c r="F6">
        <f t="shared" si="0"/>
        <v>774</v>
      </c>
    </row>
    <row r="7" spans="1:6" x14ac:dyDescent="0.25">
      <c r="A7" s="20">
        <v>44118</v>
      </c>
      <c r="B7">
        <v>33</v>
      </c>
      <c r="C7">
        <v>58235</v>
      </c>
      <c r="D7" t="str">
        <v>E</v>
      </c>
      <c r="E7">
        <v>166</v>
      </c>
      <c r="F7">
        <f t="shared" si="0"/>
        <v>940</v>
      </c>
    </row>
    <row r="8" spans="1:6" x14ac:dyDescent="0.25">
      <c r="A8" s="20">
        <v>44146</v>
      </c>
      <c r="B8">
        <v>28</v>
      </c>
      <c r="C8">
        <v>58492</v>
      </c>
      <c r="D8" t="str">
        <v>A</v>
      </c>
      <c r="E8">
        <v>259</v>
      </c>
      <c r="F8">
        <f t="shared" si="0"/>
        <v>1199</v>
      </c>
    </row>
    <row r="9" spans="1:6" x14ac:dyDescent="0.25">
      <c r="A9" s="20">
        <v>44176</v>
      </c>
      <c r="B9">
        <v>30</v>
      </c>
      <c r="C9">
        <v>58895</v>
      </c>
      <c r="D9" t="str">
        <v>E</v>
      </c>
      <c r="E9">
        <v>406</v>
      </c>
      <c r="F9">
        <f t="shared" si="0"/>
        <v>1605</v>
      </c>
    </row>
    <row r="10" spans="1:6" x14ac:dyDescent="0.25">
      <c r="A10" s="20">
        <v>44209</v>
      </c>
      <c r="B10">
        <v>33</v>
      </c>
      <c r="C10">
        <v>59483</v>
      </c>
      <c r="D10" t="str">
        <v>A</v>
      </c>
      <c r="E10">
        <v>593</v>
      </c>
      <c r="F10">
        <f t="shared" si="0"/>
        <v>2198</v>
      </c>
    </row>
    <row r="11" spans="1:6" x14ac:dyDescent="0.25">
      <c r="A11" s="20">
        <v>44239</v>
      </c>
      <c r="B11">
        <v>30</v>
      </c>
      <c r="C11">
        <v>60065</v>
      </c>
      <c r="D11" t="str">
        <v>E</v>
      </c>
      <c r="E11">
        <v>587</v>
      </c>
      <c r="F11">
        <f t="shared" si="0"/>
        <v>2785</v>
      </c>
    </row>
    <row r="12" spans="1:6" x14ac:dyDescent="0.25">
      <c r="A12" s="20">
        <v>44267</v>
      </c>
      <c r="B12">
        <v>28</v>
      </c>
      <c r="C12">
        <v>60622</v>
      </c>
      <c r="D12" t="str">
        <v>A</v>
      </c>
      <c r="E12">
        <v>562</v>
      </c>
      <c r="F12">
        <f t="shared" si="0"/>
        <v>3347</v>
      </c>
    </row>
    <row r="13" spans="1:6" x14ac:dyDescent="0.25">
      <c r="A13" s="20">
        <v>44299</v>
      </c>
      <c r="B13">
        <v>32</v>
      </c>
      <c r="C13">
        <v>60944</v>
      </c>
      <c r="D13" t="str">
        <v>E</v>
      </c>
      <c r="E13">
        <v>325</v>
      </c>
      <c r="F13">
        <f t="shared" si="0"/>
        <v>3672</v>
      </c>
    </row>
    <row r="14" spans="1:6" x14ac:dyDescent="0.25">
      <c r="A14" s="20">
        <v>44328</v>
      </c>
      <c r="B14">
        <v>29</v>
      </c>
      <c r="C14">
        <v>61273</v>
      </c>
      <c r="D14" t="str">
        <v>A</v>
      </c>
      <c r="E14">
        <v>332</v>
      </c>
      <c r="F14">
        <f t="shared" si="0"/>
        <v>4004</v>
      </c>
    </row>
    <row r="15" spans="1:6" x14ac:dyDescent="0.25">
      <c r="A15" s="20">
        <v>44358</v>
      </c>
      <c r="B15">
        <v>30</v>
      </c>
      <c r="C15">
        <v>61343</v>
      </c>
      <c r="D15" t="str">
        <v>E</v>
      </c>
      <c r="E15">
        <v>71</v>
      </c>
      <c r="F15">
        <f t="shared" si="0"/>
        <v>4075</v>
      </c>
    </row>
    <row r="16" spans="1:6" x14ac:dyDescent="0.25">
      <c r="A16" s="20">
        <v>44390</v>
      </c>
      <c r="B16">
        <v>32</v>
      </c>
      <c r="C16">
        <v>61443</v>
      </c>
      <c r="D16" t="str">
        <v>A</v>
      </c>
      <c r="E16">
        <v>100</v>
      </c>
      <c r="F16">
        <f t="shared" si="0"/>
        <v>4175</v>
      </c>
    </row>
    <row r="17" spans="1:6" x14ac:dyDescent="0.25">
      <c r="A17" s="20">
        <v>44420</v>
      </c>
      <c r="B17">
        <v>30</v>
      </c>
      <c r="C17">
        <v>61513</v>
      </c>
      <c r="D17" t="str">
        <v>E</v>
      </c>
      <c r="E17">
        <v>71</v>
      </c>
      <c r="F17">
        <f t="shared" si="0"/>
        <v>4246</v>
      </c>
    </row>
    <row r="18" spans="1:6" x14ac:dyDescent="0.25">
      <c r="A18" s="20">
        <v>44452</v>
      </c>
      <c r="B18">
        <v>32</v>
      </c>
      <c r="C18">
        <v>61573</v>
      </c>
      <c r="D18" t="str">
        <v>A</v>
      </c>
      <c r="E18">
        <v>60</v>
      </c>
      <c r="F18">
        <f t="shared" si="0"/>
        <v>4306</v>
      </c>
    </row>
    <row r="19" spans="1:6" x14ac:dyDescent="0.25">
      <c r="A19" s="20">
        <v>44482</v>
      </c>
      <c r="B19">
        <v>30</v>
      </c>
      <c r="C19">
        <v>61643</v>
      </c>
      <c r="D19" t="str">
        <v>E</v>
      </c>
      <c r="E19">
        <v>70</v>
      </c>
      <c r="F19">
        <f t="shared" si="0"/>
        <v>4376</v>
      </c>
    </row>
    <row r="20" spans="1:6" x14ac:dyDescent="0.25">
      <c r="A20" s="20">
        <v>44511</v>
      </c>
      <c r="B20">
        <v>29</v>
      </c>
      <c r="C20">
        <v>61902</v>
      </c>
      <c r="D20" t="str">
        <v>A</v>
      </c>
      <c r="E20">
        <v>261</v>
      </c>
      <c r="F20">
        <f t="shared" si="0"/>
        <v>4637</v>
      </c>
    </row>
    <row r="21" spans="1:6" x14ac:dyDescent="0.25">
      <c r="A21" s="20">
        <v>44543</v>
      </c>
      <c r="B21">
        <v>32</v>
      </c>
      <c r="C21">
        <v>62364</v>
      </c>
      <c r="D21" t="str">
        <v>E</v>
      </c>
      <c r="E21">
        <v>466</v>
      </c>
      <c r="F21">
        <f t="shared" si="0"/>
        <v>5103</v>
      </c>
    </row>
    <row r="22" spans="1:6" x14ac:dyDescent="0.25">
      <c r="A22" s="20">
        <v>44574</v>
      </c>
      <c r="B22">
        <v>31</v>
      </c>
      <c r="C22">
        <v>62967</v>
      </c>
      <c r="D22" t="str">
        <v>A</v>
      </c>
      <c r="E22">
        <v>608</v>
      </c>
      <c r="F22">
        <f t="shared" si="0"/>
        <v>5711</v>
      </c>
    </row>
    <row r="23" spans="1:6" x14ac:dyDescent="0.25">
      <c r="A23" s="20">
        <v>44602</v>
      </c>
      <c r="B23">
        <v>28</v>
      </c>
      <c r="C23">
        <v>63597</v>
      </c>
      <c r="D23" t="str">
        <v>E</v>
      </c>
      <c r="E23">
        <v>635</v>
      </c>
      <c r="F23">
        <f t="shared" si="0"/>
        <v>6346</v>
      </c>
    </row>
    <row r="24" spans="1:6" x14ac:dyDescent="0.25">
      <c r="A24" s="20">
        <v>44634</v>
      </c>
      <c r="B24">
        <v>32</v>
      </c>
      <c r="C24">
        <v>64180</v>
      </c>
      <c r="D24" t="str">
        <v>E</v>
      </c>
      <c r="E24">
        <v>588</v>
      </c>
      <c r="F24">
        <f t="shared" si="0"/>
        <v>6934</v>
      </c>
    </row>
    <row r="25" spans="1:6" x14ac:dyDescent="0.25">
      <c r="A25" s="20">
        <v>44663</v>
      </c>
      <c r="B25">
        <v>29</v>
      </c>
      <c r="C25">
        <v>64537</v>
      </c>
      <c r="D25" t="str">
        <v>E</v>
      </c>
      <c r="E25">
        <v>360</v>
      </c>
      <c r="F25">
        <f t="shared" si="0"/>
        <v>7294</v>
      </c>
    </row>
    <row r="26" spans="1:6" x14ac:dyDescent="0.25">
      <c r="A26" s="20">
        <v>44692</v>
      </c>
      <c r="B26">
        <v>29</v>
      </c>
      <c r="C26">
        <v>64838</v>
      </c>
      <c r="D26" t="str">
        <v>A</v>
      </c>
      <c r="E26">
        <v>303</v>
      </c>
      <c r="F26">
        <f t="shared" si="0"/>
        <v>7597</v>
      </c>
    </row>
    <row r="27" spans="1:6" x14ac:dyDescent="0.25">
      <c r="A27" s="20">
        <v>44725</v>
      </c>
      <c r="B27">
        <v>33</v>
      </c>
      <c r="C27">
        <v>64920</v>
      </c>
      <c r="D27" t="str">
        <v>E</v>
      </c>
      <c r="E27">
        <v>83</v>
      </c>
      <c r="F27">
        <f t="shared" si="0"/>
        <v>7680</v>
      </c>
    </row>
    <row r="28" spans="1:6" x14ac:dyDescent="0.25">
      <c r="A28" s="20">
        <v>44755</v>
      </c>
      <c r="B28">
        <v>30</v>
      </c>
      <c r="C28">
        <v>65021</v>
      </c>
      <c r="D28" t="str">
        <v>A</v>
      </c>
      <c r="E28">
        <v>102</v>
      </c>
      <c r="F28">
        <f t="shared" si="0"/>
        <v>7782</v>
      </c>
    </row>
    <row r="29" spans="1:6" x14ac:dyDescent="0.25">
      <c r="A29" s="20">
        <v>44788</v>
      </c>
      <c r="B29">
        <v>33</v>
      </c>
      <c r="C29">
        <v>65103</v>
      </c>
      <c r="D29" t="str">
        <v>E</v>
      </c>
      <c r="E29">
        <v>83</v>
      </c>
      <c r="F29">
        <f t="shared" si="0"/>
        <v>7865</v>
      </c>
    </row>
    <row r="30" spans="1:6" x14ac:dyDescent="0.25">
      <c r="A30" s="20">
        <v>44817</v>
      </c>
      <c r="B30">
        <v>29</v>
      </c>
      <c r="C30">
        <v>65153</v>
      </c>
      <c r="D30" t="str">
        <v>A</v>
      </c>
      <c r="E30">
        <v>50</v>
      </c>
      <c r="F30">
        <f t="shared" si="0"/>
        <v>7915</v>
      </c>
    </row>
    <row r="31" spans="1:6" x14ac:dyDescent="0.25">
      <c r="A31" s="20">
        <v>44848</v>
      </c>
      <c r="B31">
        <v>31</v>
      </c>
      <c r="C31">
        <v>65355</v>
      </c>
      <c r="D31" t="str">
        <v>E</v>
      </c>
      <c r="E31">
        <v>204</v>
      </c>
      <c r="F31">
        <f t="shared" si="0"/>
        <v>8119</v>
      </c>
    </row>
    <row r="32" spans="1:6" x14ac:dyDescent="0.25">
      <c r="A32" s="20">
        <v>44874</v>
      </c>
      <c r="B32">
        <v>26</v>
      </c>
      <c r="C32">
        <v>65479</v>
      </c>
      <c r="D32" t="str">
        <v>A</v>
      </c>
      <c r="E32">
        <v>125</v>
      </c>
      <c r="F32">
        <f t="shared" si="0"/>
        <v>8244</v>
      </c>
    </row>
    <row r="33" spans="1:6" x14ac:dyDescent="0.25">
      <c r="A33" s="20">
        <v>44907</v>
      </c>
      <c r="B33">
        <v>33</v>
      </c>
      <c r="C33">
        <v>65945</v>
      </c>
      <c r="D33" t="str">
        <v>E</v>
      </c>
      <c r="E33">
        <v>470</v>
      </c>
      <c r="F33">
        <f t="shared" si="0"/>
        <v>8714</v>
      </c>
    </row>
    <row r="34" spans="1:6" x14ac:dyDescent="0.25">
      <c r="A34" s="20">
        <v>44938</v>
      </c>
      <c r="B34">
        <v>31</v>
      </c>
      <c r="C34">
        <v>66424</v>
      </c>
      <c r="D34" t="str">
        <v>A</v>
      </c>
      <c r="E34">
        <v>483</v>
      </c>
      <c r="F34">
        <f t="shared" si="0"/>
        <v>9197</v>
      </c>
    </row>
    <row r="35" spans="1:6" x14ac:dyDescent="0.25">
      <c r="A35" s="20">
        <v>44967</v>
      </c>
      <c r="B35">
        <v>29</v>
      </c>
      <c r="C35">
        <v>66982</v>
      </c>
      <c r="D35" t="str">
        <v>E</v>
      </c>
      <c r="E35">
        <v>563</v>
      </c>
      <c r="F35">
        <f t="shared" si="0"/>
        <v>9760</v>
      </c>
    </row>
    <row r="36" spans="1:6" x14ac:dyDescent="0.25">
      <c r="A36" s="20">
        <v>44999</v>
      </c>
      <c r="B36">
        <v>32</v>
      </c>
      <c r="C36">
        <v>67472</v>
      </c>
      <c r="D36" t="str">
        <v>A</v>
      </c>
      <c r="E36">
        <v>494</v>
      </c>
      <c r="F36">
        <f t="shared" si="0"/>
        <v>10254</v>
      </c>
    </row>
    <row r="37" spans="1:6" x14ac:dyDescent="0.25">
      <c r="A37" s="20">
        <v>45029</v>
      </c>
      <c r="B37">
        <v>30</v>
      </c>
      <c r="C37">
        <v>67864</v>
      </c>
      <c r="D37" t="str">
        <v>E</v>
      </c>
      <c r="E37">
        <v>395</v>
      </c>
      <c r="F37">
        <f t="shared" si="0"/>
        <v>10649</v>
      </c>
    </row>
    <row r="38" spans="1:6" x14ac:dyDescent="0.25">
      <c r="A38" s="20">
        <v>45057</v>
      </c>
      <c r="B38">
        <v>28</v>
      </c>
      <c r="C38">
        <v>68123</v>
      </c>
      <c r="D38" t="str">
        <v>A</v>
      </c>
      <c r="E38">
        <v>261</v>
      </c>
      <c r="F38">
        <f t="shared" si="0"/>
        <v>10910</v>
      </c>
    </row>
    <row r="39" spans="1:6" x14ac:dyDescent="0.25">
      <c r="A39" s="20">
        <v>45090</v>
      </c>
      <c r="B39">
        <v>33</v>
      </c>
      <c r="C39">
        <v>68205</v>
      </c>
      <c r="D39" t="str">
        <v>E</v>
      </c>
      <c r="E39">
        <v>83</v>
      </c>
      <c r="F39">
        <f t="shared" si="0"/>
        <v>10993</v>
      </c>
    </row>
    <row r="40" spans="1:6" x14ac:dyDescent="0.25">
      <c r="A40" s="20">
        <v>45119</v>
      </c>
      <c r="B40">
        <v>29</v>
      </c>
      <c r="C40">
        <v>68335</v>
      </c>
      <c r="D40" t="str">
        <v>A</v>
      </c>
      <c r="E40">
        <v>131</v>
      </c>
      <c r="F40">
        <f t="shared" si="0"/>
        <v>11124</v>
      </c>
    </row>
    <row r="41" spans="1:6" x14ac:dyDescent="0.25">
      <c r="A41" s="20">
        <v>45152</v>
      </c>
      <c r="B41">
        <v>33</v>
      </c>
      <c r="C41">
        <v>68416</v>
      </c>
      <c r="D41" t="str">
        <v>E</v>
      </c>
      <c r="E41">
        <v>82</v>
      </c>
      <c r="F41">
        <f t="shared" si="0"/>
        <v>11206</v>
      </c>
    </row>
    <row r="42" spans="1:6" x14ac:dyDescent="0.25">
      <c r="A42" s="20">
        <v>45181</v>
      </c>
      <c r="B42">
        <v>29</v>
      </c>
      <c r="C42">
        <v>68474</v>
      </c>
      <c r="D42" t="str">
        <v>A</v>
      </c>
      <c r="E42">
        <v>58</v>
      </c>
      <c r="F42">
        <f t="shared" si="0"/>
        <v>11264</v>
      </c>
    </row>
    <row r="43" spans="1:6" x14ac:dyDescent="0.25">
      <c r="A43" s="20">
        <v>45215</v>
      </c>
      <c r="B43">
        <v>34</v>
      </c>
      <c r="C43">
        <v>68558</v>
      </c>
      <c r="D43" t="str">
        <v>E</v>
      </c>
      <c r="E43">
        <v>84</v>
      </c>
      <c r="F43">
        <f t="shared" si="0"/>
        <v>11348</v>
      </c>
    </row>
    <row r="44" spans="1:6" x14ac:dyDescent="0.25">
      <c r="A44" s="20">
        <v>45243</v>
      </c>
      <c r="B44">
        <v>28</v>
      </c>
      <c r="C44">
        <v>68894</v>
      </c>
      <c r="D44" t="str">
        <v>A</v>
      </c>
      <c r="E44">
        <v>339</v>
      </c>
      <c r="F44">
        <f t="shared" si="0"/>
        <v>11687</v>
      </c>
    </row>
    <row r="45" spans="1:6" x14ac:dyDescent="0.25">
      <c r="A45" s="20">
        <v>45271</v>
      </c>
      <c r="B45">
        <v>28</v>
      </c>
      <c r="C45">
        <v>69302</v>
      </c>
      <c r="D45" t="str">
        <v>E</v>
      </c>
      <c r="E45">
        <v>411</v>
      </c>
      <c r="F45">
        <f t="shared" si="0"/>
        <v>12098</v>
      </c>
    </row>
    <row r="46" spans="1:6" x14ac:dyDescent="0.25">
      <c r="A46" s="20">
        <v>45302</v>
      </c>
      <c r="B46">
        <v>31</v>
      </c>
      <c r="C46">
        <v>69783</v>
      </c>
      <c r="D46" t="str">
        <v>A</v>
      </c>
      <c r="E46">
        <v>485</v>
      </c>
      <c r="F46">
        <f t="shared" si="0"/>
        <v>12583</v>
      </c>
    </row>
    <row r="47" spans="1:6" x14ac:dyDescent="0.25">
      <c r="A47" s="20">
        <v>45332</v>
      </c>
      <c r="B47">
        <v>30</v>
      </c>
      <c r="C47">
        <v>70293</v>
      </c>
      <c r="D47" t="str">
        <v>E</v>
      </c>
      <c r="E47">
        <v>514</v>
      </c>
      <c r="F47">
        <f t="shared" si="0"/>
        <v>13097</v>
      </c>
    </row>
    <row r="48" spans="1:6" x14ac:dyDescent="0.25">
      <c r="A48" s="20">
        <v>45362</v>
      </c>
      <c r="B48">
        <v>30</v>
      </c>
      <c r="C48">
        <v>70766</v>
      </c>
      <c r="D48" t="str">
        <v>A</v>
      </c>
      <c r="E48">
        <v>477</v>
      </c>
      <c r="F48">
        <f t="shared" si="0"/>
        <v>13574</v>
      </c>
    </row>
    <row r="49" spans="1:6" x14ac:dyDescent="0.25">
      <c r="A49" s="20">
        <v>45393</v>
      </c>
      <c r="B49">
        <v>31</v>
      </c>
      <c r="C49">
        <v>71129</v>
      </c>
      <c r="D49" t="str">
        <v>E</v>
      </c>
      <c r="E49">
        <v>366</v>
      </c>
      <c r="F49">
        <f t="shared" si="0"/>
        <v>13940</v>
      </c>
    </row>
    <row r="50" spans="1:6" x14ac:dyDescent="0.25">
      <c r="A50" s="20">
        <v>45422</v>
      </c>
      <c r="B50">
        <v>29</v>
      </c>
      <c r="C50">
        <v>71366</v>
      </c>
      <c r="D50" t="str">
        <v>A</v>
      </c>
      <c r="E50">
        <v>238</v>
      </c>
      <c r="F50">
        <f t="shared" si="0"/>
        <v>14178</v>
      </c>
    </row>
    <row r="51" spans="1:6" x14ac:dyDescent="0.25">
      <c r="A51" s="20">
        <v>45455</v>
      </c>
      <c r="B51">
        <v>33</v>
      </c>
      <c r="C51">
        <v>71447</v>
      </c>
      <c r="D51" t="str">
        <v>E</v>
      </c>
      <c r="E51">
        <v>82</v>
      </c>
      <c r="F51">
        <f t="shared" si="0"/>
        <v>14260</v>
      </c>
    </row>
    <row r="52" spans="1:6" x14ac:dyDescent="0.25">
      <c r="A52" s="20">
        <v>45483</v>
      </c>
      <c r="B52">
        <v>28</v>
      </c>
      <c r="C52">
        <v>71539</v>
      </c>
      <c r="D52" t="str">
        <v>A</v>
      </c>
      <c r="E52">
        <v>93</v>
      </c>
      <c r="F52">
        <f t="shared" si="0"/>
        <v>14353</v>
      </c>
    </row>
    <row r="53" spans="1:6" x14ac:dyDescent="0.25">
      <c r="A53" s="20">
        <v>45517</v>
      </c>
      <c r="B53">
        <v>34</v>
      </c>
      <c r="C53">
        <v>71615</v>
      </c>
      <c r="D53" t="str">
        <v>E</v>
      </c>
      <c r="E53">
        <v>77</v>
      </c>
      <c r="F53">
        <f t="shared" si="0"/>
        <v>14430</v>
      </c>
    </row>
    <row r="54" spans="1:6" x14ac:dyDescent="0.25">
      <c r="A54" s="20">
        <v>45547</v>
      </c>
      <c r="B54">
        <v>30</v>
      </c>
      <c r="C54">
        <v>71692</v>
      </c>
      <c r="D54" t="str">
        <v>A</v>
      </c>
      <c r="E54">
        <v>78</v>
      </c>
      <c r="F54">
        <f t="shared" si="0"/>
        <v>14508</v>
      </c>
    </row>
    <row r="55" spans="1:6" x14ac:dyDescent="0.25">
      <c r="A55" s="20">
        <v>45576</v>
      </c>
      <c r="B55">
        <v>29</v>
      </c>
      <c r="C55">
        <v>71757</v>
      </c>
      <c r="D55" t="str">
        <v>E</v>
      </c>
      <c r="E55">
        <v>65</v>
      </c>
      <c r="F55">
        <f t="shared" si="0"/>
        <v>14573</v>
      </c>
    </row>
    <row r="56" spans="1:6" x14ac:dyDescent="0.25">
      <c r="A56" s="20">
        <v>45605</v>
      </c>
      <c r="B56">
        <v>29</v>
      </c>
      <c r="C56">
        <v>72010</v>
      </c>
      <c r="D56" t="str">
        <v>A</v>
      </c>
      <c r="E56">
        <v>255</v>
      </c>
      <c r="F56">
        <f t="shared" si="0"/>
        <v>14828</v>
      </c>
    </row>
    <row r="57" spans="1:6" x14ac:dyDescent="0.25">
      <c r="A57" s="20">
        <v>45637</v>
      </c>
      <c r="B57">
        <v>32</v>
      </c>
      <c r="C57">
        <v>72447</v>
      </c>
      <c r="D57" t="str">
        <v>E</v>
      </c>
      <c r="E57">
        <v>441</v>
      </c>
      <c r="F57">
        <f t="shared" si="0"/>
        <v>15269</v>
      </c>
    </row>
    <row r="58" spans="1:6" x14ac:dyDescent="0.25">
      <c r="A58" s="20">
        <v>45667</v>
      </c>
      <c r="B58">
        <v>30</v>
      </c>
      <c r="C58">
        <v>72940</v>
      </c>
      <c r="D58" t="str">
        <v>A</v>
      </c>
      <c r="E58">
        <v>497</v>
      </c>
      <c r="F58">
        <f t="shared" si="0"/>
        <v>15766</v>
      </c>
    </row>
    <row r="59" spans="1:6" x14ac:dyDescent="0.25">
      <c r="A59" s="20">
        <v>45700</v>
      </c>
      <c r="B59">
        <v>33</v>
      </c>
      <c r="C59">
        <v>73627</v>
      </c>
      <c r="D59" t="str">
        <v>E</v>
      </c>
      <c r="E59">
        <v>693</v>
      </c>
      <c r="F59">
        <f t="shared" si="0"/>
        <v>16459</v>
      </c>
    </row>
    <row r="60" spans="1:6" x14ac:dyDescent="0.25">
      <c r="A60" s="20">
        <v>45728</v>
      </c>
      <c r="B60">
        <v>28</v>
      </c>
      <c r="C60">
        <v>73995</v>
      </c>
      <c r="D60" t="str">
        <v>A</v>
      </c>
      <c r="E60">
        <v>371</v>
      </c>
      <c r="F60">
        <f t="shared" si="0"/>
        <v>16830</v>
      </c>
    </row>
    <row r="61" spans="1:6" x14ac:dyDescent="0.25">
      <c r="A61" s="20">
        <v>45758</v>
      </c>
      <c r="B61">
        <v>30</v>
      </c>
      <c r="C61">
        <v>74392</v>
      </c>
      <c r="D61" t="str">
        <v>E</v>
      </c>
      <c r="E61">
        <v>400</v>
      </c>
      <c r="F61">
        <f t="shared" si="0"/>
        <v>17230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17230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17230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17230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17230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17230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17230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17230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17230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17230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17230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17230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17230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17230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17230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17230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17230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17230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17230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17230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17230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17230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17230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17230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17230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17230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17230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17230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17230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17230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17230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17230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17230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17230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17230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17230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17230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17230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17230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17230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17230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17230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17230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17230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17230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17230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17230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17230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17230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17230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17230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17230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17230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17230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17230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17230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17230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17230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17230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17230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17230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17230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17230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17230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17230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17230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17230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17230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17230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17230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17230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17230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17230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I4155" sqref="I4155"/>
    </sheetView>
  </sheetViews>
  <sheetFormatPr defaultColWidth="8.875" defaultRowHeight="15.75" x14ac:dyDescent="0.25"/>
  <cols>
    <col min="1" max="1" width="6.625" bestFit="1" customWidth="1"/>
    <col min="2" max="2" width="8.625" bestFit="1" customWidth="1"/>
    <col min="3" max="3" width="6.125" bestFit="1" customWidth="1"/>
    <col min="4" max="4" width="24.875" bestFit="1" customWidth="1"/>
    <col min="5" max="5" width="21.625" bestFit="1" customWidth="1"/>
    <col min="6" max="7" width="24.375" bestFit="1" customWidth="1"/>
  </cols>
  <sheetData>
    <row r="1" spans="1:16" x14ac:dyDescent="0.25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3FIN+oqsxwDL5OyMECN+AUXU6edNvZilI80d0VM3+1G4EJ2yXGzyIb7bRsAZeyFJVMqIlS7DK6tVgs+k1rQZug==" saltValue="cMgg3b6sORKFAryG0J8F5A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Undertaking xmlns="f2f4215f-2a30-4ada-8344-25359f31a5ac" xsi:nil="true"/>
    <_dlc_DocId xmlns="bc9be6ef-036f-4d38-ab45-2a4da0c93cb0">C6U45NHNYSXQ-1603545759-322</_dlc_DocId>
    <_dlc_DocIdUrl xmlns="bc9be6ef-036f-4d38-ab45-2a4da0c93cb0">
      <Url>https://enbridge.sharepoint.com/teams/EB-2022-02002024Rebasing/_layouts/15/DocIdRedir.aspx?ID=C6U45NHNYSXQ-1603545759-322</Url>
      <Description>C6U45NHNYSXQ-1603545759-322</Description>
    </_dlc_DocIdUrl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A20D935-555A-4DCF-A397-32C5CB7B06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E6AA8D-D16D-40E6-89F0-8B1AF8E08E6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65A51F9-1F9F-4F03-99F5-2F4CD8E36B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c9be6ef-036f-4d38-ab45-2a4da0c93cb0"/>
    <ds:schemaRef ds:uri="f2f4215f-2a30-4ada-8344-25359f31a5a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97CCD83-C89A-4D85-BE1B-596D3462B7E8}">
  <ds:schemaRefs>
    <ds:schemaRef ds:uri="http://schemas.microsoft.com/office/2006/metadata/properties"/>
    <ds:schemaRef ds:uri="http://purl.org/dc/terms/"/>
    <ds:schemaRef ds:uri="http://schemas.microsoft.com/sharepoint/v3"/>
    <ds:schemaRef ds:uri="f2f4215f-2a30-4ada-8344-25359f31a5ac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bc9be6ef-036f-4d38-ab45-2a4da0c93cb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Monica Renaud</cp:lastModifiedBy>
  <cp:revision/>
  <dcterms:created xsi:type="dcterms:W3CDTF">2025-04-16T14:14:55Z</dcterms:created>
  <dcterms:modified xsi:type="dcterms:W3CDTF">2025-08-01T13:41:34Z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0x010100B6953C2E73E7484291599BAF42EEC68E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7bd77060-6b1f-4bfe-9922-1b5397d54c88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