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lrca365-my.sharepoint.com/personal/atbozzo_lrca_com/Documents/"/>
    </mc:Choice>
  </mc:AlternateContent>
  <xr:revisionPtr revIDLastSave="0" documentId="8_{0FC87C70-B280-704B-AACE-15CE79E30EDB}" xr6:coauthVersionLast="47" xr6:coauthVersionMax="47" xr10:uidLastSave="{00000000-0000-0000-0000-000000000000}"/>
  <bookViews>
    <workbookView xWindow="0" yWindow="760" windowWidth="29040" windowHeight="15720" firstSheet="1" activeTab="1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K59" i="4" s="1"/>
  <c r="L59" i="4" s="1"/>
  <c r="H59" i="4"/>
  <c r="K58" i="4" s="1"/>
  <c r="L58" i="4" s="1"/>
  <c r="H58" i="4"/>
  <c r="K57" i="4" s="1"/>
  <c r="L57" i="4" s="1"/>
  <c r="H57" i="4"/>
  <c r="K56" i="4" s="1"/>
  <c r="L56" i="4" s="1"/>
  <c r="H56" i="4"/>
  <c r="K55" i="4" s="1"/>
  <c r="L55" i="4" s="1"/>
  <c r="H55" i="4"/>
  <c r="K54" i="4" s="1"/>
  <c r="L54" i="4" s="1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M59" i="4"/>
  <c r="N58" i="4"/>
  <c r="N56" i="4"/>
  <c r="N55" i="4"/>
  <c r="N54" i="4"/>
  <c r="J54" i="4"/>
  <c r="R54" i="4" s="1"/>
  <c r="U54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4" i="3"/>
  <c r="C17" i="6" s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58" i="4"/>
  <c r="P58" i="4" s="1"/>
  <c r="Q58" i="4" s="1"/>
  <c r="M106" i="4"/>
  <c r="M54" i="4"/>
  <c r="P54" i="4" s="1"/>
  <c r="Q54" i="4" s="1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M57" i="4"/>
  <c r="O57" i="4" s="1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N60" i="4"/>
  <c r="AA60" i="4" s="1"/>
  <c r="AE60" i="4" s="1"/>
  <c r="AI60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W60" i="4"/>
  <c r="V60" i="4"/>
  <c r="T60" i="4"/>
  <c r="U60" i="4"/>
  <c r="O69" i="4"/>
  <c r="P69" i="4"/>
  <c r="Q69" i="4" s="1"/>
  <c r="N69" i="4"/>
  <c r="M56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M62" i="4"/>
  <c r="N57" i="4"/>
  <c r="P57" i="4"/>
  <c r="Q57" i="4" s="1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J55" i="4"/>
  <c r="R55" i="4" s="1"/>
  <c r="P89" i="4"/>
  <c r="Q89" i="4" s="1"/>
  <c r="N89" i="4"/>
  <c r="T90" i="4"/>
  <c r="M110" i="4"/>
  <c r="W130" i="4"/>
  <c r="V130" i="4"/>
  <c r="T130" i="4"/>
  <c r="M55" i="4"/>
  <c r="O55" i="4" s="1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T54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T125" i="4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O54" i="4" l="1"/>
  <c r="J56" i="4"/>
  <c r="W92" i="4"/>
  <c r="V107" i="4"/>
  <c r="G49" i="4"/>
  <c r="G35" i="4"/>
  <c r="I40" i="4"/>
  <c r="H45" i="4"/>
  <c r="K44" i="4" s="1"/>
  <c r="G48" i="4"/>
  <c r="G34" i="4"/>
  <c r="I53" i="4"/>
  <c r="N53" i="4" s="1"/>
  <c r="I39" i="4"/>
  <c r="H44" i="4"/>
  <c r="K43" i="4" s="1"/>
  <c r="G47" i="4"/>
  <c r="G33" i="4"/>
  <c r="I52" i="4"/>
  <c r="N52" i="4" s="1"/>
  <c r="I38" i="4"/>
  <c r="H43" i="4"/>
  <c r="K42" i="4" s="1"/>
  <c r="G46" i="4"/>
  <c r="G32" i="4"/>
  <c r="I51" i="4"/>
  <c r="N51" i="4" s="1"/>
  <c r="I37" i="4"/>
  <c r="H42" i="4"/>
  <c r="K41" i="4" s="1"/>
  <c r="G45" i="4"/>
  <c r="G31" i="4"/>
  <c r="I50" i="4"/>
  <c r="I36" i="4"/>
  <c r="N36" i="4" s="1"/>
  <c r="H41" i="4"/>
  <c r="K40" i="4" s="1"/>
  <c r="L40" i="4" s="1"/>
  <c r="M40" i="4" s="1"/>
  <c r="P40" i="4" s="1"/>
  <c r="Q40" i="4" s="1"/>
  <c r="G38" i="4"/>
  <c r="G44" i="4"/>
  <c r="I49" i="4"/>
  <c r="I35" i="4"/>
  <c r="N35" i="4" s="1"/>
  <c r="H54" i="4"/>
  <c r="K53" i="4" s="1"/>
  <c r="H40" i="4"/>
  <c r="K39" i="4" s="1"/>
  <c r="G43" i="4"/>
  <c r="I48" i="4"/>
  <c r="I34" i="4"/>
  <c r="N34" i="4" s="1"/>
  <c r="H53" i="4"/>
  <c r="K52" i="4" s="1"/>
  <c r="H39" i="4"/>
  <c r="K38" i="4" s="1"/>
  <c r="L38" i="4" s="1"/>
  <c r="G52" i="4"/>
  <c r="G42" i="4"/>
  <c r="I47" i="4"/>
  <c r="I33" i="4"/>
  <c r="N33" i="4" s="1"/>
  <c r="H52" i="4"/>
  <c r="K51" i="4" s="1"/>
  <c r="H38" i="4"/>
  <c r="K37" i="4" s="1"/>
  <c r="G41" i="4"/>
  <c r="I46" i="4"/>
  <c r="N46" i="4" s="1"/>
  <c r="I32" i="4"/>
  <c r="N32" i="4" s="1"/>
  <c r="H51" i="4"/>
  <c r="K50" i="4" s="1"/>
  <c r="H37" i="4"/>
  <c r="K36" i="4" s="1"/>
  <c r="G53" i="4"/>
  <c r="G39" i="4"/>
  <c r="I44" i="4"/>
  <c r="H49" i="4"/>
  <c r="K48" i="4" s="1"/>
  <c r="H35" i="4"/>
  <c r="K34" i="4" s="1"/>
  <c r="I43" i="4"/>
  <c r="N43" i="4" s="1"/>
  <c r="H48" i="4"/>
  <c r="K47" i="4" s="1"/>
  <c r="H34" i="4"/>
  <c r="K33" i="4" s="1"/>
  <c r="L33" i="4" s="1"/>
  <c r="M33" i="4" s="1"/>
  <c r="P33" i="4" s="1"/>
  <c r="Q33" i="4" s="1"/>
  <c r="G51" i="4"/>
  <c r="G37" i="4"/>
  <c r="I42" i="4"/>
  <c r="H47" i="4"/>
  <c r="K46" i="4" s="1"/>
  <c r="H33" i="4"/>
  <c r="K32" i="4" s="1"/>
  <c r="G50" i="4"/>
  <c r="G36" i="4"/>
  <c r="I41" i="4"/>
  <c r="H46" i="4"/>
  <c r="K45" i="4" s="1"/>
  <c r="H32" i="4"/>
  <c r="K31" i="4" s="1"/>
  <c r="G40" i="4"/>
  <c r="I45" i="4"/>
  <c r="I31" i="4"/>
  <c r="H50" i="4"/>
  <c r="K49" i="4" s="1"/>
  <c r="H36" i="4"/>
  <c r="K35" i="4" s="1"/>
  <c r="W96" i="4"/>
  <c r="U120" i="4"/>
  <c r="O52" i="4"/>
  <c r="P53" i="4"/>
  <c r="Q53" i="4" s="1"/>
  <c r="P51" i="4"/>
  <c r="Q51" i="4" s="1"/>
  <c r="W123" i="4"/>
  <c r="U92" i="4"/>
  <c r="T120" i="4"/>
  <c r="T123" i="4"/>
  <c r="V92" i="4"/>
  <c r="U64" i="4"/>
  <c r="V120" i="4"/>
  <c r="T107" i="4"/>
  <c r="W64" i="4"/>
  <c r="W107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H22" i="4"/>
  <c r="K21" i="4" s="1"/>
  <c r="G23" i="4"/>
  <c r="I28" i="4"/>
  <c r="G22" i="4"/>
  <c r="I27" i="4"/>
  <c r="G21" i="4"/>
  <c r="I26" i="4"/>
  <c r="H31" i="4"/>
  <c r="K30" i="4" s="1"/>
  <c r="I25" i="4"/>
  <c r="H30" i="4"/>
  <c r="K29" i="4" s="1"/>
  <c r="I24" i="4"/>
  <c r="H29" i="4"/>
  <c r="K28" i="4" s="1"/>
  <c r="G30" i="4"/>
  <c r="I23" i="4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G12" i="4"/>
  <c r="I17" i="4"/>
  <c r="I3" i="4"/>
  <c r="H10" i="4"/>
  <c r="K9" i="4" s="1"/>
  <c r="G11" i="4"/>
  <c r="I16" i="4"/>
  <c r="H9" i="4"/>
  <c r="K8" i="4" s="1"/>
  <c r="G10" i="4"/>
  <c r="I15" i="4"/>
  <c r="G2" i="4"/>
  <c r="H8" i="4"/>
  <c r="K7" i="4" s="1"/>
  <c r="G9" i="4"/>
  <c r="I14" i="4"/>
  <c r="H21" i="4"/>
  <c r="K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L18" i="4" s="1"/>
  <c r="H5" i="4"/>
  <c r="K4" i="4" s="1"/>
  <c r="G20" i="4"/>
  <c r="G6" i="4"/>
  <c r="I11" i="4"/>
  <c r="H18" i="4"/>
  <c r="K17" i="4" s="1"/>
  <c r="H4" i="4"/>
  <c r="K3" i="4" s="1"/>
  <c r="G19" i="4"/>
  <c r="G5" i="4"/>
  <c r="I10" i="4"/>
  <c r="H17" i="4"/>
  <c r="K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G16" i="4"/>
  <c r="I7" i="4"/>
  <c r="H14" i="4"/>
  <c r="K13" i="4" s="1"/>
  <c r="G15" i="4"/>
  <c r="I20" i="4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U55" i="4"/>
  <c r="W55" i="4"/>
  <c r="T55" i="4"/>
  <c r="V55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R56" i="4" l="1"/>
  <c r="J57" i="4"/>
  <c r="L8" i="4"/>
  <c r="L34" i="4"/>
  <c r="M34" i="4" s="1"/>
  <c r="P34" i="4" s="1"/>
  <c r="Q34" i="4" s="1"/>
  <c r="L32" i="4"/>
  <c r="M32" i="4" s="1"/>
  <c r="P32" i="4" s="1"/>
  <c r="Q32" i="4" s="1"/>
  <c r="L37" i="4"/>
  <c r="M37" i="4" s="1"/>
  <c r="P37" i="4" s="1"/>
  <c r="Q37" i="4" s="1"/>
  <c r="N38" i="4"/>
  <c r="M38" i="4"/>
  <c r="L42" i="4"/>
  <c r="M42" i="4" s="1"/>
  <c r="L35" i="4"/>
  <c r="M35" i="4" s="1"/>
  <c r="O35" i="4" s="1"/>
  <c r="P49" i="4"/>
  <c r="Q49" i="4" s="1"/>
  <c r="N49" i="4"/>
  <c r="O49" i="4"/>
  <c r="L51" i="4"/>
  <c r="M51" i="4" s="1"/>
  <c r="O51" i="4" s="1"/>
  <c r="L47" i="4"/>
  <c r="M47" i="4" s="1"/>
  <c r="L43" i="4"/>
  <c r="M43" i="4" s="1"/>
  <c r="L31" i="4"/>
  <c r="M31" i="4" s="1"/>
  <c r="L48" i="4"/>
  <c r="M48" i="4" s="1"/>
  <c r="N50" i="4"/>
  <c r="P50" i="4"/>
  <c r="Q50" i="4" s="1"/>
  <c r="N39" i="4"/>
  <c r="N31" i="4"/>
  <c r="L45" i="4"/>
  <c r="M45" i="4" s="1"/>
  <c r="N44" i="4"/>
  <c r="N41" i="4"/>
  <c r="L52" i="4"/>
  <c r="M52" i="4"/>
  <c r="P52" i="4" s="1"/>
  <c r="Q52" i="4" s="1"/>
  <c r="L41" i="4"/>
  <c r="M41" i="4" s="1"/>
  <c r="L19" i="4"/>
  <c r="M19" i="4" s="1"/>
  <c r="L6" i="4"/>
  <c r="M6" i="4" s="1"/>
  <c r="O33" i="4"/>
  <c r="L10" i="4"/>
  <c r="L36" i="4"/>
  <c r="M36" i="4" s="1"/>
  <c r="N48" i="4"/>
  <c r="N37" i="4"/>
  <c r="L44" i="4"/>
  <c r="M44" i="4" s="1"/>
  <c r="L49" i="4"/>
  <c r="M49" i="4" s="1"/>
  <c r="L12" i="4"/>
  <c r="M12" i="4" s="1"/>
  <c r="N45" i="4"/>
  <c r="N47" i="4"/>
  <c r="L9" i="4"/>
  <c r="M9" i="4" s="1"/>
  <c r="N25" i="4"/>
  <c r="N26" i="4"/>
  <c r="L14" i="4"/>
  <c r="L50" i="4"/>
  <c r="M50" i="4" s="1"/>
  <c r="O50" i="4" s="1"/>
  <c r="N40" i="4"/>
  <c r="L3" i="4"/>
  <c r="M3" i="4" s="1"/>
  <c r="L17" i="4"/>
  <c r="M17" i="4" s="1"/>
  <c r="L46" i="4"/>
  <c r="M46" i="4" s="1"/>
  <c r="L39" i="4"/>
  <c r="M39" i="4" s="1"/>
  <c r="O39" i="4" s="1"/>
  <c r="N20" i="4"/>
  <c r="L13" i="4"/>
  <c r="M13" i="4" s="1"/>
  <c r="L20" i="4"/>
  <c r="M20" i="4" s="1"/>
  <c r="O32" i="4"/>
  <c r="O34" i="4"/>
  <c r="O40" i="4"/>
  <c r="N42" i="4"/>
  <c r="L53" i="4"/>
  <c r="M53" i="4" s="1"/>
  <c r="O53" i="4" s="1"/>
  <c r="O36" i="4"/>
  <c r="P36" i="4"/>
  <c r="Q36" i="4" s="1"/>
  <c r="P38" i="4"/>
  <c r="Q38" i="4" s="1"/>
  <c r="O38" i="4"/>
  <c r="N27" i="4"/>
  <c r="L7" i="4"/>
  <c r="M7" i="4" s="1"/>
  <c r="N22" i="4"/>
  <c r="N29" i="4"/>
  <c r="L4" i="4"/>
  <c r="M4" i="4" s="1"/>
  <c r="L5" i="4"/>
  <c r="M5" i="4" s="1"/>
  <c r="N24" i="4"/>
  <c r="N30" i="4"/>
  <c r="L16" i="4"/>
  <c r="M16" i="4" s="1"/>
  <c r="N23" i="4"/>
  <c r="L21" i="4"/>
  <c r="M21" i="4" s="1"/>
  <c r="L28" i="4"/>
  <c r="M28" i="4" s="1"/>
  <c r="O28" i="4" s="1"/>
  <c r="L29" i="4"/>
  <c r="M29" i="4" s="1"/>
  <c r="P29" i="4" s="1"/>
  <c r="Q29" i="4" s="1"/>
  <c r="L22" i="4"/>
  <c r="M22" i="4" s="1"/>
  <c r="L25" i="4"/>
  <c r="M25" i="4" s="1"/>
  <c r="P25" i="4" s="1"/>
  <c r="Q25" i="4" s="1"/>
  <c r="N21" i="4"/>
  <c r="L30" i="4"/>
  <c r="M30" i="4" s="1"/>
  <c r="N28" i="4"/>
  <c r="L23" i="4"/>
  <c r="M23" i="4" s="1"/>
  <c r="O23" i="4" s="1"/>
  <c r="L26" i="4"/>
  <c r="M26" i="4" s="1"/>
  <c r="K2" i="4"/>
  <c r="L2" i="4" s="1"/>
  <c r="M2" i="4" s="1"/>
  <c r="L24" i="4"/>
  <c r="M24" i="4" s="1"/>
  <c r="L27" i="4"/>
  <c r="M27" i="4" s="1"/>
  <c r="N13" i="4"/>
  <c r="N17" i="4"/>
  <c r="N5" i="4"/>
  <c r="I2" i="4"/>
  <c r="J2" i="4" s="1"/>
  <c r="R2" i="4" s="1"/>
  <c r="B6" i="6"/>
  <c r="N4" i="4"/>
  <c r="M18" i="4"/>
  <c r="N6" i="4"/>
  <c r="N7" i="4"/>
  <c r="N12" i="4"/>
  <c r="M11" i="4"/>
  <c r="N18" i="4"/>
  <c r="N15" i="4"/>
  <c r="N16" i="4"/>
  <c r="N11" i="4"/>
  <c r="M15" i="4"/>
  <c r="N9" i="4"/>
  <c r="N10" i="4"/>
  <c r="M8" i="4"/>
  <c r="M10" i="4"/>
  <c r="N8" i="4"/>
  <c r="N3" i="4"/>
  <c r="M14" i="4"/>
  <c r="N14" i="4"/>
  <c r="N19" i="4"/>
  <c r="R57" i="4" l="1"/>
  <c r="J58" i="4"/>
  <c r="U56" i="4"/>
  <c r="T56" i="4"/>
  <c r="V56" i="4"/>
  <c r="W56" i="4"/>
  <c r="P48" i="4"/>
  <c r="Q48" i="4" s="1"/>
  <c r="O48" i="4"/>
  <c r="O37" i="4"/>
  <c r="P35" i="4"/>
  <c r="Q35" i="4" s="1"/>
  <c r="P31" i="4"/>
  <c r="Q31" i="4" s="1"/>
  <c r="O31" i="4"/>
  <c r="P43" i="4"/>
  <c r="Q43" i="4" s="1"/>
  <c r="O43" i="4"/>
  <c r="P45" i="4"/>
  <c r="Q45" i="4" s="1"/>
  <c r="O45" i="4"/>
  <c r="P46" i="4"/>
  <c r="Q46" i="4" s="1"/>
  <c r="O46" i="4"/>
  <c r="P41" i="4"/>
  <c r="Q41" i="4" s="1"/>
  <c r="O41" i="4"/>
  <c r="P47" i="4"/>
  <c r="Q47" i="4" s="1"/>
  <c r="O47" i="4"/>
  <c r="O44" i="4"/>
  <c r="P44" i="4"/>
  <c r="Q44" i="4" s="1"/>
  <c r="O42" i="4"/>
  <c r="P42" i="4"/>
  <c r="Q42" i="4" s="1"/>
  <c r="P39" i="4"/>
  <c r="Q39" i="4" s="1"/>
  <c r="O30" i="4"/>
  <c r="P30" i="4"/>
  <c r="Q30" i="4" s="1"/>
  <c r="O27" i="4"/>
  <c r="P27" i="4"/>
  <c r="Q27" i="4" s="1"/>
  <c r="O25" i="4"/>
  <c r="O29" i="4"/>
  <c r="O22" i="4"/>
  <c r="P22" i="4"/>
  <c r="Q22" i="4" s="1"/>
  <c r="P21" i="4"/>
  <c r="Q21" i="4" s="1"/>
  <c r="O21" i="4"/>
  <c r="P26" i="4"/>
  <c r="Q26" i="4" s="1"/>
  <c r="O26" i="4"/>
  <c r="P28" i="4"/>
  <c r="Q28" i="4" s="1"/>
  <c r="P23" i="4"/>
  <c r="Q23" i="4" s="1"/>
  <c r="O24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R58" i="4" l="1"/>
  <c r="J59" i="4"/>
  <c r="R59" i="4" s="1"/>
  <c r="V57" i="4"/>
  <c r="U57" i="4"/>
  <c r="W57" i="4"/>
  <c r="T57" i="4"/>
  <c r="J4" i="4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T59" i="4" l="1"/>
  <c r="V59" i="4"/>
  <c r="U59" i="4"/>
  <c r="W59" i="4"/>
  <c r="V58" i="4"/>
  <c r="U58" i="4"/>
  <c r="T58" i="4"/>
  <c r="W58" i="4"/>
  <c r="J5" i="4"/>
  <c r="R5" i="4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J23" i="4" l="1"/>
  <c r="R22" i="4"/>
  <c r="T21" i="4"/>
  <c r="V21" i="4"/>
  <c r="W21" i="4"/>
  <c r="U21" i="4"/>
  <c r="K7" i="3" l="1"/>
  <c r="K6" i="3"/>
  <c r="N8" i="3"/>
  <c r="N3" i="3"/>
  <c r="N7" i="3"/>
  <c r="N6" i="3"/>
  <c r="M8" i="3"/>
  <c r="M3" i="3"/>
  <c r="M7" i="3"/>
  <c r="M6" i="3"/>
  <c r="K8" i="3"/>
  <c r="K3" i="3"/>
  <c r="U22" i="4"/>
  <c r="T22" i="4"/>
  <c r="V22" i="4"/>
  <c r="W22" i="4"/>
  <c r="J24" i="4"/>
  <c r="R23" i="4"/>
  <c r="M4" i="3" l="1"/>
  <c r="M9" i="3" s="1"/>
  <c r="M5" i="3"/>
  <c r="M10" i="3" s="1"/>
  <c r="N4" i="3"/>
  <c r="N9" i="3" s="1"/>
  <c r="N5" i="3"/>
  <c r="N10" i="3" s="1"/>
  <c r="N12" i="3" s="1"/>
  <c r="N13" i="3" s="1"/>
  <c r="L8" i="3"/>
  <c r="X120" i="4"/>
  <c r="AB120" i="4" s="1"/>
  <c r="AF120" i="4" s="1"/>
  <c r="X70" i="4"/>
  <c r="AB70" i="4" s="1"/>
  <c r="AF70" i="4" s="1"/>
  <c r="X85" i="4"/>
  <c r="AB85" i="4" s="1"/>
  <c r="AF85" i="4" s="1"/>
  <c r="X132" i="4"/>
  <c r="AB132" i="4" s="1"/>
  <c r="AF132" i="4" s="1"/>
  <c r="X89" i="4"/>
  <c r="AB89" i="4" s="1"/>
  <c r="AF89" i="4" s="1"/>
  <c r="X103" i="4"/>
  <c r="AB103" i="4" s="1"/>
  <c r="AF103" i="4" s="1"/>
  <c r="X79" i="4"/>
  <c r="AB79" i="4" s="1"/>
  <c r="AF79" i="4" s="1"/>
  <c r="X124" i="4"/>
  <c r="AB124" i="4" s="1"/>
  <c r="AF124" i="4" s="1"/>
  <c r="X94" i="4"/>
  <c r="AB94" i="4" s="1"/>
  <c r="AF94" i="4" s="1"/>
  <c r="X113" i="4"/>
  <c r="AB113" i="4" s="1"/>
  <c r="AF113" i="4" s="1"/>
  <c r="X61" i="4"/>
  <c r="AB61" i="4" s="1"/>
  <c r="AF61" i="4" s="1"/>
  <c r="X92" i="4"/>
  <c r="AB92" i="4" s="1"/>
  <c r="AF92" i="4" s="1"/>
  <c r="X78" i="4"/>
  <c r="AB78" i="4" s="1"/>
  <c r="AF78" i="4" s="1"/>
  <c r="X93" i="4"/>
  <c r="AB93" i="4" s="1"/>
  <c r="AF93" i="4" s="1"/>
  <c r="X109" i="4"/>
  <c r="AB109" i="4" s="1"/>
  <c r="AF109" i="4" s="1"/>
  <c r="X108" i="4"/>
  <c r="AB108" i="4" s="1"/>
  <c r="AF108" i="4" s="1"/>
  <c r="X83" i="4"/>
  <c r="AB83" i="4" s="1"/>
  <c r="AF83" i="4" s="1"/>
  <c r="X104" i="4"/>
  <c r="AB104" i="4" s="1"/>
  <c r="AF104" i="4" s="1"/>
  <c r="X127" i="4"/>
  <c r="AB127" i="4" s="1"/>
  <c r="AF127" i="4" s="1"/>
  <c r="X66" i="4"/>
  <c r="AB66" i="4" s="1"/>
  <c r="AF66" i="4" s="1"/>
  <c r="X64" i="4"/>
  <c r="AB64" i="4" s="1"/>
  <c r="AF64" i="4" s="1"/>
  <c r="X100" i="4"/>
  <c r="AB100" i="4" s="1"/>
  <c r="AF100" i="4" s="1"/>
  <c r="X111" i="4"/>
  <c r="AB111" i="4" s="1"/>
  <c r="AF111" i="4" s="1"/>
  <c r="X95" i="4"/>
  <c r="AB95" i="4" s="1"/>
  <c r="AF95" i="4" s="1"/>
  <c r="X76" i="4"/>
  <c r="AB76" i="4" s="1"/>
  <c r="AF76" i="4" s="1"/>
  <c r="X128" i="4"/>
  <c r="AB128" i="4" s="1"/>
  <c r="AF128" i="4" s="1"/>
  <c r="X73" i="4"/>
  <c r="AB73" i="4" s="1"/>
  <c r="AF73" i="4" s="1"/>
  <c r="X97" i="4"/>
  <c r="AB97" i="4" s="1"/>
  <c r="AF97" i="4" s="1"/>
  <c r="X118" i="4"/>
  <c r="AB118" i="4" s="1"/>
  <c r="AF118" i="4" s="1"/>
  <c r="X112" i="4"/>
  <c r="AB112" i="4" s="1"/>
  <c r="AF112" i="4" s="1"/>
  <c r="X91" i="4"/>
  <c r="AB91" i="4" s="1"/>
  <c r="AF91" i="4" s="1"/>
  <c r="X105" i="4"/>
  <c r="AB105" i="4" s="1"/>
  <c r="AF105" i="4" s="1"/>
  <c r="X102" i="4"/>
  <c r="AB102" i="4" s="1"/>
  <c r="AF102" i="4" s="1"/>
  <c r="X81" i="4"/>
  <c r="AB81" i="4" s="1"/>
  <c r="AF81" i="4" s="1"/>
  <c r="X80" i="4"/>
  <c r="AB80" i="4" s="1"/>
  <c r="AF80" i="4" s="1"/>
  <c r="X87" i="4"/>
  <c r="AB87" i="4" s="1"/>
  <c r="AF87" i="4" s="1"/>
  <c r="X114" i="4"/>
  <c r="AB114" i="4" s="1"/>
  <c r="AF114" i="4" s="1"/>
  <c r="X125" i="4"/>
  <c r="AB125" i="4" s="1"/>
  <c r="AF125" i="4" s="1"/>
  <c r="X129" i="4"/>
  <c r="AB129" i="4" s="1"/>
  <c r="AF129" i="4" s="1"/>
  <c r="X98" i="4"/>
  <c r="AB98" i="4" s="1"/>
  <c r="AF98" i="4" s="1"/>
  <c r="X121" i="4"/>
  <c r="AB121" i="4" s="1"/>
  <c r="AF121" i="4" s="1"/>
  <c r="X123" i="4"/>
  <c r="AB123" i="4" s="1"/>
  <c r="AF123" i="4" s="1"/>
  <c r="X67" i="4"/>
  <c r="AB67" i="4" s="1"/>
  <c r="AF67" i="4" s="1"/>
  <c r="X90" i="4"/>
  <c r="AB90" i="4" s="1"/>
  <c r="AF90" i="4" s="1"/>
  <c r="K5" i="3"/>
  <c r="K10" i="3" s="1"/>
  <c r="X71" i="4"/>
  <c r="AB71" i="4" s="1"/>
  <c r="AF71" i="4" s="1"/>
  <c r="K4" i="3"/>
  <c r="X110" i="4"/>
  <c r="AB110" i="4" s="1"/>
  <c r="AF110" i="4" s="1"/>
  <c r="X115" i="4"/>
  <c r="AB115" i="4" s="1"/>
  <c r="AF115" i="4" s="1"/>
  <c r="X65" i="4"/>
  <c r="AB65" i="4" s="1"/>
  <c r="AF65" i="4" s="1"/>
  <c r="X72" i="4"/>
  <c r="AB72" i="4" s="1"/>
  <c r="AF72" i="4" s="1"/>
  <c r="X106" i="4"/>
  <c r="AB106" i="4" s="1"/>
  <c r="AF106" i="4" s="1"/>
  <c r="X62" i="4"/>
  <c r="AB62" i="4" s="1"/>
  <c r="AF62" i="4" s="1"/>
  <c r="X96" i="4"/>
  <c r="AB96" i="4" s="1"/>
  <c r="AF96" i="4" s="1"/>
  <c r="X68" i="4"/>
  <c r="AB68" i="4" s="1"/>
  <c r="AF68" i="4" s="1"/>
  <c r="X75" i="4"/>
  <c r="AB75" i="4" s="1"/>
  <c r="AF75" i="4" s="1"/>
  <c r="X101" i="4"/>
  <c r="AB101" i="4" s="1"/>
  <c r="AF101" i="4" s="1"/>
  <c r="X86" i="4"/>
  <c r="AB86" i="4" s="1"/>
  <c r="AF86" i="4" s="1"/>
  <c r="X60" i="4"/>
  <c r="AB60" i="4" s="1"/>
  <c r="AF60" i="4" s="1"/>
  <c r="X84" i="4"/>
  <c r="AB84" i="4" s="1"/>
  <c r="AF84" i="4" s="1"/>
  <c r="X99" i="4"/>
  <c r="AB99" i="4" s="1"/>
  <c r="AF99" i="4" s="1"/>
  <c r="X126" i="4"/>
  <c r="AB126" i="4" s="1"/>
  <c r="AF126" i="4" s="1"/>
  <c r="X131" i="4"/>
  <c r="AB131" i="4" s="1"/>
  <c r="AF131" i="4" s="1"/>
  <c r="X119" i="4"/>
  <c r="AB119" i="4" s="1"/>
  <c r="AF119" i="4" s="1"/>
  <c r="X82" i="4"/>
  <c r="AB82" i="4" s="1"/>
  <c r="AF82" i="4" s="1"/>
  <c r="X122" i="4"/>
  <c r="AB122" i="4" s="1"/>
  <c r="AF122" i="4" s="1"/>
  <c r="X130" i="4"/>
  <c r="AB130" i="4" s="1"/>
  <c r="AF130" i="4" s="1"/>
  <c r="X63" i="4"/>
  <c r="AB63" i="4" s="1"/>
  <c r="AF63" i="4" s="1"/>
  <c r="X74" i="4"/>
  <c r="AB74" i="4" s="1"/>
  <c r="AF74" i="4" s="1"/>
  <c r="X117" i="4"/>
  <c r="AB117" i="4" s="1"/>
  <c r="AF117" i="4" s="1"/>
  <c r="X107" i="4"/>
  <c r="AB107" i="4" s="1"/>
  <c r="AF107" i="4" s="1"/>
  <c r="X69" i="4"/>
  <c r="AB69" i="4" s="1"/>
  <c r="AF69" i="4" s="1"/>
  <c r="X77" i="4"/>
  <c r="AB77" i="4" s="1"/>
  <c r="AF77" i="4" s="1"/>
  <c r="X133" i="4"/>
  <c r="AB133" i="4" s="1"/>
  <c r="AF133" i="4" s="1"/>
  <c r="X116" i="4"/>
  <c r="AB116" i="4" s="1"/>
  <c r="AF116" i="4" s="1"/>
  <c r="X88" i="4"/>
  <c r="AB88" i="4" s="1"/>
  <c r="AF88" i="4" s="1"/>
  <c r="L6" i="3"/>
  <c r="L7" i="3"/>
  <c r="M14" i="3"/>
  <c r="M12" i="3"/>
  <c r="M13" i="3" s="1"/>
  <c r="R24" i="4"/>
  <c r="J25" i="4"/>
  <c r="W23" i="4"/>
  <c r="V23" i="4"/>
  <c r="T23" i="4"/>
  <c r="U23" i="4"/>
  <c r="Z19" i="4" l="1"/>
  <c r="Z54" i="4"/>
  <c r="Z56" i="4"/>
  <c r="Z58" i="4"/>
  <c r="Z55" i="4"/>
  <c r="Z59" i="4"/>
  <c r="Z57" i="4"/>
  <c r="AA59" i="4"/>
  <c r="AA58" i="4"/>
  <c r="AA56" i="4"/>
  <c r="AA55" i="4"/>
  <c r="AA54" i="4"/>
  <c r="AA57" i="4"/>
  <c r="Z4" i="4"/>
  <c r="Z18" i="4"/>
  <c r="Z25" i="4"/>
  <c r="Z29" i="4"/>
  <c r="Z3" i="4"/>
  <c r="Z8" i="4"/>
  <c r="Z30" i="4"/>
  <c r="Z24" i="4"/>
  <c r="AA43" i="4"/>
  <c r="AA41" i="4"/>
  <c r="AA40" i="4"/>
  <c r="AA42" i="4"/>
  <c r="AA32" i="4"/>
  <c r="AA51" i="4"/>
  <c r="AA53" i="4"/>
  <c r="AA35" i="4"/>
  <c r="AA44" i="4"/>
  <c r="AA52" i="4"/>
  <c r="AA46" i="4"/>
  <c r="AA50" i="4"/>
  <c r="AA47" i="4"/>
  <c r="AA37" i="4"/>
  <c r="AA48" i="4"/>
  <c r="AA34" i="4"/>
  <c r="AA31" i="4"/>
  <c r="AA38" i="4"/>
  <c r="AA49" i="4"/>
  <c r="AA36" i="4"/>
  <c r="AA33" i="4"/>
  <c r="AA39" i="4"/>
  <c r="AA45" i="4"/>
  <c r="AA22" i="4"/>
  <c r="AA17" i="4"/>
  <c r="AA14" i="4"/>
  <c r="AA11" i="4"/>
  <c r="AA16" i="4"/>
  <c r="AA28" i="4"/>
  <c r="AA20" i="4"/>
  <c r="AA23" i="4"/>
  <c r="AA18" i="4"/>
  <c r="AA19" i="4"/>
  <c r="AA3" i="4"/>
  <c r="AA7" i="4"/>
  <c r="AA6" i="4"/>
  <c r="AA13" i="4"/>
  <c r="AA29" i="4"/>
  <c r="AA27" i="4"/>
  <c r="AA12" i="4"/>
  <c r="N15" i="3"/>
  <c r="AA5" i="4"/>
  <c r="AA26" i="4"/>
  <c r="AA8" i="4"/>
  <c r="AA4" i="4"/>
  <c r="AA9" i="4"/>
  <c r="AA30" i="4"/>
  <c r="AA24" i="4"/>
  <c r="AA25" i="4"/>
  <c r="AA21" i="4"/>
  <c r="AA15" i="4"/>
  <c r="AA10" i="4"/>
  <c r="AA2" i="4"/>
  <c r="K9" i="3"/>
  <c r="K12" i="3" s="1"/>
  <c r="K13" i="3" s="1"/>
  <c r="M15" i="3"/>
  <c r="Z21" i="4"/>
  <c r="Z26" i="4"/>
  <c r="N14" i="3"/>
  <c r="Z2" i="4"/>
  <c r="Z17" i="4"/>
  <c r="Z5" i="4"/>
  <c r="Z27" i="4"/>
  <c r="Z12" i="4"/>
  <c r="Z20" i="4"/>
  <c r="Z22" i="4"/>
  <c r="Z6" i="4"/>
  <c r="Z28" i="4"/>
  <c r="Z7" i="4"/>
  <c r="Z16" i="4"/>
  <c r="Z13" i="4"/>
  <c r="Z23" i="4"/>
  <c r="K14" i="3"/>
  <c r="Z41" i="4"/>
  <c r="Z40" i="4"/>
  <c r="Z32" i="4"/>
  <c r="Z51" i="4"/>
  <c r="Z39" i="4"/>
  <c r="Z42" i="4"/>
  <c r="Z35" i="4"/>
  <c r="Z38" i="4"/>
  <c r="Z44" i="4"/>
  <c r="Z31" i="4"/>
  <c r="Z34" i="4"/>
  <c r="Z46" i="4"/>
  <c r="Z49" i="4"/>
  <c r="Z33" i="4"/>
  <c r="Z52" i="4"/>
  <c r="Z45" i="4"/>
  <c r="Z37" i="4"/>
  <c r="Z47" i="4"/>
  <c r="Z36" i="4"/>
  <c r="Z43" i="4"/>
  <c r="Z50" i="4"/>
  <c r="Z48" i="4"/>
  <c r="Z53" i="4"/>
  <c r="Z14" i="4"/>
  <c r="Z11" i="4"/>
  <c r="Z15" i="4"/>
  <c r="Z10" i="4"/>
  <c r="Z9" i="4"/>
  <c r="R25" i="4"/>
  <c r="J26" i="4"/>
  <c r="V24" i="4"/>
  <c r="U24" i="4"/>
  <c r="T24" i="4"/>
  <c r="W24" i="4"/>
  <c r="X58" i="4" l="1"/>
  <c r="X57" i="4"/>
  <c r="X54" i="4"/>
  <c r="X56" i="4"/>
  <c r="X59" i="4"/>
  <c r="X55" i="4"/>
  <c r="M11" i="3"/>
  <c r="AD18" i="4" s="1"/>
  <c r="AH18" i="4" s="1"/>
  <c r="N11" i="3"/>
  <c r="AE12" i="4" s="1"/>
  <c r="AI12" i="4" s="1"/>
  <c r="X50" i="4"/>
  <c r="X53" i="4"/>
  <c r="X32" i="4"/>
  <c r="X10" i="4"/>
  <c r="X6" i="4"/>
  <c r="X12" i="4"/>
  <c r="X2" i="4"/>
  <c r="X37" i="4"/>
  <c r="X40" i="4"/>
  <c r="X39" i="4"/>
  <c r="X24" i="4"/>
  <c r="X13" i="4"/>
  <c r="X31" i="4"/>
  <c r="X25" i="4"/>
  <c r="X43" i="4"/>
  <c r="X17" i="4"/>
  <c r="X44" i="4"/>
  <c r="X41" i="4"/>
  <c r="X27" i="4"/>
  <c r="X22" i="4"/>
  <c r="X3" i="4"/>
  <c r="X52" i="4"/>
  <c r="X47" i="4"/>
  <c r="X51" i="4"/>
  <c r="X29" i="4"/>
  <c r="X5" i="4"/>
  <c r="X21" i="4"/>
  <c r="X48" i="4"/>
  <c r="X16" i="4"/>
  <c r="X46" i="4"/>
  <c r="X42" i="4"/>
  <c r="X4" i="4"/>
  <c r="X23" i="4"/>
  <c r="X34" i="4"/>
  <c r="X38" i="4"/>
  <c r="X7" i="4"/>
  <c r="X26" i="4"/>
  <c r="X11" i="4"/>
  <c r="X20" i="4"/>
  <c r="X9" i="4"/>
  <c r="X30" i="4"/>
  <c r="X15" i="4"/>
  <c r="X33" i="4"/>
  <c r="X19" i="4"/>
  <c r="X28" i="4"/>
  <c r="X8" i="4"/>
  <c r="X14" i="4"/>
  <c r="X49" i="4"/>
  <c r="X35" i="4"/>
  <c r="X36" i="4"/>
  <c r="X45" i="4"/>
  <c r="X18" i="4"/>
  <c r="K15" i="3"/>
  <c r="AE53" i="4"/>
  <c r="AI53" i="4" s="1"/>
  <c r="AD34" i="4"/>
  <c r="AH34" i="4" s="1"/>
  <c r="AD31" i="4"/>
  <c r="AH31" i="4" s="1"/>
  <c r="AD44" i="4"/>
  <c r="AH44" i="4" s="1"/>
  <c r="AD48" i="4"/>
  <c r="AH48" i="4" s="1"/>
  <c r="AD36" i="4"/>
  <c r="AH36" i="4" s="1"/>
  <c r="AD52" i="4"/>
  <c r="AH52" i="4" s="1"/>
  <c r="AD41" i="4"/>
  <c r="AH41" i="4" s="1"/>
  <c r="R26" i="4"/>
  <c r="J27" i="4"/>
  <c r="U25" i="4"/>
  <c r="T25" i="4"/>
  <c r="W25" i="4"/>
  <c r="V25" i="4"/>
  <c r="AE28" i="4"/>
  <c r="AI28" i="4" s="1"/>
  <c r="AD29" i="4"/>
  <c r="AH29" i="4" s="1"/>
  <c r="AD23" i="4"/>
  <c r="AH23" i="4" s="1"/>
  <c r="AD21" i="4"/>
  <c r="AH21" i="4" s="1"/>
  <c r="AD28" i="4"/>
  <c r="AH28" i="4" s="1"/>
  <c r="AE26" i="4"/>
  <c r="AI26" i="4" s="1"/>
  <c r="AE4" i="4"/>
  <c r="AI4" i="4" s="1"/>
  <c r="AD11" i="4"/>
  <c r="AH11" i="4" s="1"/>
  <c r="AD15" i="4"/>
  <c r="AH15" i="4" s="1"/>
  <c r="AD2" i="4"/>
  <c r="AH2" i="4" s="1"/>
  <c r="AD14" i="4"/>
  <c r="AH14" i="4" s="1"/>
  <c r="AD9" i="4"/>
  <c r="AH9" i="4" s="1"/>
  <c r="AD13" i="4"/>
  <c r="AH13" i="4" s="1"/>
  <c r="AD43" i="4" l="1"/>
  <c r="AH43" i="4" s="1"/>
  <c r="AE55" i="4"/>
  <c r="AI55" i="4" s="1"/>
  <c r="AD55" i="4"/>
  <c r="AH55" i="4" s="1"/>
  <c r="AD40" i="4"/>
  <c r="AH40" i="4" s="1"/>
  <c r="AD35" i="4"/>
  <c r="AH35" i="4" s="1"/>
  <c r="AD58" i="4"/>
  <c r="AH58" i="4" s="1"/>
  <c r="AE44" i="4"/>
  <c r="AI44" i="4" s="1"/>
  <c r="AD59" i="4"/>
  <c r="AH59" i="4" s="1"/>
  <c r="AE49" i="4"/>
  <c r="AI49" i="4" s="1"/>
  <c r="AD4" i="4"/>
  <c r="AH4" i="4" s="1"/>
  <c r="AE10" i="4"/>
  <c r="AI10" i="4" s="1"/>
  <c r="AD38" i="4"/>
  <c r="AH38" i="4" s="1"/>
  <c r="AE56" i="4"/>
  <c r="AI56" i="4" s="1"/>
  <c r="AD57" i="4"/>
  <c r="AH57" i="4" s="1"/>
  <c r="AE30" i="4"/>
  <c r="AI30" i="4" s="1"/>
  <c r="AE27" i="4"/>
  <c r="AI27" i="4" s="1"/>
  <c r="AD54" i="4"/>
  <c r="AH54" i="4" s="1"/>
  <c r="AE59" i="4"/>
  <c r="AI59" i="4" s="1"/>
  <c r="AE5" i="4"/>
  <c r="AI5" i="4" s="1"/>
  <c r="AE13" i="4"/>
  <c r="AI13" i="4" s="1"/>
  <c r="AE20" i="4"/>
  <c r="AI20" i="4" s="1"/>
  <c r="AE9" i="4"/>
  <c r="AI9" i="4" s="1"/>
  <c r="AE46" i="4"/>
  <c r="AI46" i="4" s="1"/>
  <c r="AD19" i="4"/>
  <c r="AH19" i="4" s="1"/>
  <c r="AE47" i="4"/>
  <c r="AI47" i="4" s="1"/>
  <c r="AD5" i="4"/>
  <c r="AH5" i="4" s="1"/>
  <c r="AD27" i="4"/>
  <c r="AH27" i="4" s="1"/>
  <c r="AD6" i="4"/>
  <c r="AH6" i="4" s="1"/>
  <c r="AE48" i="4"/>
  <c r="AI48" i="4" s="1"/>
  <c r="AE52" i="4"/>
  <c r="AI52" i="4" s="1"/>
  <c r="AE11" i="4"/>
  <c r="AI11" i="4" s="1"/>
  <c r="AD22" i="4"/>
  <c r="AH22" i="4" s="1"/>
  <c r="AD32" i="4"/>
  <c r="AH32" i="4" s="1"/>
  <c r="AD39" i="4"/>
  <c r="AH39" i="4" s="1"/>
  <c r="AD56" i="4"/>
  <c r="AH56" i="4" s="1"/>
  <c r="AE54" i="4"/>
  <c r="AI54" i="4" s="1"/>
  <c r="AE40" i="4"/>
  <c r="AI40" i="4" s="1"/>
  <c r="AE35" i="4"/>
  <c r="AI35" i="4" s="1"/>
  <c r="AE23" i="4"/>
  <c r="AI23" i="4" s="1"/>
  <c r="AE39" i="4"/>
  <c r="AI39" i="4" s="1"/>
  <c r="AE22" i="4"/>
  <c r="AI22" i="4" s="1"/>
  <c r="AE19" i="4"/>
  <c r="AI19" i="4" s="1"/>
  <c r="AD26" i="4"/>
  <c r="AH26" i="4" s="1"/>
  <c r="AD50" i="4"/>
  <c r="AH50" i="4" s="1"/>
  <c r="AD8" i="4"/>
  <c r="AH8" i="4" s="1"/>
  <c r="AD51" i="4"/>
  <c r="AH51" i="4" s="1"/>
  <c r="AE43" i="4"/>
  <c r="AI43" i="4" s="1"/>
  <c r="AE3" i="4"/>
  <c r="AI3" i="4" s="1"/>
  <c r="AE51" i="4"/>
  <c r="AI51" i="4" s="1"/>
  <c r="AE18" i="4"/>
  <c r="AI18" i="4" s="1"/>
  <c r="AE38" i="4"/>
  <c r="AI38" i="4" s="1"/>
  <c r="AD49" i="4"/>
  <c r="AH49" i="4" s="1"/>
  <c r="AD10" i="4"/>
  <c r="AH10" i="4" s="1"/>
  <c r="AD37" i="4"/>
  <c r="AH37" i="4" s="1"/>
  <c r="AE58" i="4"/>
  <c r="AI58" i="4" s="1"/>
  <c r="AE31" i="4"/>
  <c r="AI31" i="4" s="1"/>
  <c r="AE8" i="4"/>
  <c r="AI8" i="4" s="1"/>
  <c r="AD45" i="4"/>
  <c r="AH45" i="4" s="1"/>
  <c r="AE15" i="4"/>
  <c r="AI15" i="4" s="1"/>
  <c r="AD30" i="4"/>
  <c r="AH30" i="4" s="1"/>
  <c r="AE17" i="4"/>
  <c r="AI17" i="4" s="1"/>
  <c r="AD3" i="4"/>
  <c r="AH3" i="4" s="1"/>
  <c r="AE33" i="4"/>
  <c r="AI33" i="4" s="1"/>
  <c r="AE37" i="4"/>
  <c r="AI37" i="4" s="1"/>
  <c r="AE45" i="4"/>
  <c r="AI45" i="4" s="1"/>
  <c r="AD12" i="4"/>
  <c r="AH12" i="4" s="1"/>
  <c r="AE42" i="4"/>
  <c r="AI42" i="4" s="1"/>
  <c r="AD7" i="4"/>
  <c r="AH7" i="4" s="1"/>
  <c r="AE36" i="4"/>
  <c r="AI36" i="4" s="1"/>
  <c r="AD16" i="4"/>
  <c r="AH16" i="4" s="1"/>
  <c r="AD17" i="4"/>
  <c r="AH17" i="4" s="1"/>
  <c r="AE2" i="4"/>
  <c r="AI2" i="4" s="1"/>
  <c r="AD33" i="4"/>
  <c r="AH33" i="4" s="1"/>
  <c r="AD20" i="4"/>
  <c r="AH20" i="4" s="1"/>
  <c r="AE6" i="4"/>
  <c r="AI6" i="4" s="1"/>
  <c r="AD25" i="4"/>
  <c r="AH25" i="4" s="1"/>
  <c r="AE50" i="4"/>
  <c r="AI50" i="4" s="1"/>
  <c r="AD42" i="4"/>
  <c r="AH42" i="4" s="1"/>
  <c r="AE16" i="4"/>
  <c r="AI16" i="4" s="1"/>
  <c r="AE14" i="4"/>
  <c r="AI14" i="4" s="1"/>
  <c r="AE29" i="4"/>
  <c r="AI29" i="4" s="1"/>
  <c r="AD24" i="4"/>
  <c r="AH24" i="4" s="1"/>
  <c r="AD46" i="4"/>
  <c r="AH46" i="4" s="1"/>
  <c r="AD47" i="4"/>
  <c r="AH47" i="4" s="1"/>
  <c r="AD53" i="4"/>
  <c r="AH53" i="4" s="1"/>
  <c r="AE57" i="4"/>
  <c r="AI57" i="4" s="1"/>
  <c r="AE7" i="4"/>
  <c r="AI7" i="4" s="1"/>
  <c r="AE21" i="4"/>
  <c r="AI21" i="4" s="1"/>
  <c r="AE25" i="4"/>
  <c r="AI25" i="4" s="1"/>
  <c r="AE41" i="4"/>
  <c r="AI41" i="4" s="1"/>
  <c r="AE24" i="4"/>
  <c r="AI24" i="4" s="1"/>
  <c r="AE34" i="4"/>
  <c r="AI34" i="4" s="1"/>
  <c r="AE32" i="4"/>
  <c r="AI32" i="4" s="1"/>
  <c r="K11" i="3"/>
  <c r="AB13" i="4" s="1"/>
  <c r="AF13" i="4" s="1"/>
  <c r="R27" i="4"/>
  <c r="J28" i="4"/>
  <c r="V26" i="4"/>
  <c r="T26" i="4"/>
  <c r="W26" i="4"/>
  <c r="U26" i="4"/>
  <c r="G7" i="3"/>
  <c r="F7" i="3"/>
  <c r="F8" i="3"/>
  <c r="F3" i="3"/>
  <c r="F6" i="3"/>
  <c r="AB59" i="4" l="1"/>
  <c r="AF59" i="4" s="1"/>
  <c r="AB54" i="4"/>
  <c r="AF54" i="4" s="1"/>
  <c r="AB58" i="4"/>
  <c r="AF58" i="4" s="1"/>
  <c r="AB56" i="4"/>
  <c r="AF56" i="4" s="1"/>
  <c r="AB48" i="4"/>
  <c r="AF48" i="4" s="1"/>
  <c r="G8" i="3"/>
  <c r="AB55" i="4"/>
  <c r="AF55" i="4" s="1"/>
  <c r="AB57" i="4"/>
  <c r="AF57" i="4" s="1"/>
  <c r="G3" i="3"/>
  <c r="G5" i="3" s="1"/>
  <c r="G10" i="3" s="1"/>
  <c r="G6" i="3"/>
  <c r="AB34" i="4"/>
  <c r="AF34" i="4" s="1"/>
  <c r="AB31" i="4"/>
  <c r="AF31" i="4" s="1"/>
  <c r="AB30" i="4"/>
  <c r="AF30" i="4" s="1"/>
  <c r="AB42" i="4"/>
  <c r="AF42" i="4" s="1"/>
  <c r="AB2" i="4"/>
  <c r="AF2" i="4" s="1"/>
  <c r="AB41" i="4"/>
  <c r="AF41" i="4" s="1"/>
  <c r="AB35" i="4"/>
  <c r="AF35" i="4" s="1"/>
  <c r="AB26" i="4"/>
  <c r="AF26" i="4" s="1"/>
  <c r="AB11" i="4"/>
  <c r="AF11" i="4" s="1"/>
  <c r="AB50" i="4"/>
  <c r="AF50" i="4" s="1"/>
  <c r="AB49" i="4"/>
  <c r="AF49" i="4" s="1"/>
  <c r="AB24" i="4"/>
  <c r="AF24" i="4" s="1"/>
  <c r="AB43" i="4"/>
  <c r="AF43" i="4" s="1"/>
  <c r="AB39" i="4"/>
  <c r="AF39" i="4" s="1"/>
  <c r="AB3" i="4"/>
  <c r="AF3" i="4" s="1"/>
  <c r="AB12" i="4"/>
  <c r="AF12" i="4" s="1"/>
  <c r="AB19" i="4"/>
  <c r="AF19" i="4" s="1"/>
  <c r="AB17" i="4"/>
  <c r="AF17" i="4" s="1"/>
  <c r="AB6" i="4"/>
  <c r="AF6" i="4" s="1"/>
  <c r="AB27" i="4"/>
  <c r="AF27" i="4" s="1"/>
  <c r="AB18" i="4"/>
  <c r="AF18" i="4" s="1"/>
  <c r="AB28" i="4"/>
  <c r="AF28" i="4" s="1"/>
  <c r="AB4" i="4"/>
  <c r="AF4" i="4" s="1"/>
  <c r="AB23" i="4"/>
  <c r="AF23" i="4" s="1"/>
  <c r="AB7" i="4"/>
  <c r="AF7" i="4" s="1"/>
  <c r="AB14" i="4"/>
  <c r="AF14" i="4" s="1"/>
  <c r="AB8" i="4"/>
  <c r="AF8" i="4" s="1"/>
  <c r="AB16" i="4"/>
  <c r="AF16" i="4" s="1"/>
  <c r="AB22" i="4"/>
  <c r="AF22" i="4" s="1"/>
  <c r="AB10" i="4"/>
  <c r="AF10" i="4" s="1"/>
  <c r="AB38" i="4"/>
  <c r="AF38" i="4" s="1"/>
  <c r="AB29" i="4"/>
  <c r="AF29" i="4" s="1"/>
  <c r="AB33" i="4"/>
  <c r="AF33" i="4" s="1"/>
  <c r="AB5" i="4"/>
  <c r="AF5" i="4" s="1"/>
  <c r="AB37" i="4"/>
  <c r="AF37" i="4" s="1"/>
  <c r="AB53" i="4"/>
  <c r="AF53" i="4" s="1"/>
  <c r="AB52" i="4"/>
  <c r="AF52" i="4" s="1"/>
  <c r="AB9" i="4"/>
  <c r="AF9" i="4" s="1"/>
  <c r="AB46" i="4"/>
  <c r="AF46" i="4" s="1"/>
  <c r="AB36" i="4"/>
  <c r="AF36" i="4" s="1"/>
  <c r="AB20" i="4"/>
  <c r="AF20" i="4" s="1"/>
  <c r="AB51" i="4"/>
  <c r="AF51" i="4" s="1"/>
  <c r="AB40" i="4"/>
  <c r="AF40" i="4" s="1"/>
  <c r="AB21" i="4"/>
  <c r="AF21" i="4" s="1"/>
  <c r="AB32" i="4"/>
  <c r="AF32" i="4" s="1"/>
  <c r="AB47" i="4"/>
  <c r="AF47" i="4" s="1"/>
  <c r="AB15" i="4"/>
  <c r="AF15" i="4" s="1"/>
  <c r="AB44" i="4"/>
  <c r="AF44" i="4" s="1"/>
  <c r="AB45" i="4"/>
  <c r="AF45" i="4" s="1"/>
  <c r="AB25" i="4"/>
  <c r="AF25" i="4" s="1"/>
  <c r="R28" i="4"/>
  <c r="J29" i="4"/>
  <c r="W27" i="4"/>
  <c r="V27" i="4"/>
  <c r="U27" i="4"/>
  <c r="T27" i="4"/>
  <c r="F5" i="3"/>
  <c r="F10" i="3" s="1"/>
  <c r="F4" i="3"/>
  <c r="F9" i="3" s="1"/>
  <c r="G4" i="3" l="1"/>
  <c r="G9" i="3" s="1"/>
  <c r="G12" i="3" s="1"/>
  <c r="D7" i="3"/>
  <c r="D6" i="3"/>
  <c r="D8" i="3"/>
  <c r="D3" i="3"/>
  <c r="R29" i="4"/>
  <c r="V29" i="4" s="1"/>
  <c r="J30" i="4"/>
  <c r="W28" i="4"/>
  <c r="V28" i="4"/>
  <c r="T28" i="4"/>
  <c r="U28" i="4"/>
  <c r="F12" i="3"/>
  <c r="F13" i="3" s="1"/>
  <c r="F15" i="3" s="1"/>
  <c r="G13" i="3"/>
  <c r="G15" i="3" s="1"/>
  <c r="G14" i="3"/>
  <c r="F14" i="3"/>
  <c r="R30" i="4" l="1"/>
  <c r="J31" i="4"/>
  <c r="U29" i="4"/>
  <c r="W29" i="4"/>
  <c r="T29" i="4"/>
  <c r="D5" i="3"/>
  <c r="D10" i="3" s="1"/>
  <c r="D4" i="3"/>
  <c r="D9" i="3" s="1"/>
  <c r="W30" i="4"/>
  <c r="T30" i="4"/>
  <c r="V30" i="4"/>
  <c r="U30" i="4"/>
  <c r="D12" i="3" l="1"/>
  <c r="R31" i="4"/>
  <c r="J32" i="4"/>
  <c r="D14" i="3"/>
  <c r="D13" i="3"/>
  <c r="D15" i="3" s="1"/>
  <c r="R32" i="4" l="1"/>
  <c r="J33" i="4"/>
  <c r="T31" i="4"/>
  <c r="W31" i="4"/>
  <c r="U31" i="4"/>
  <c r="V31" i="4"/>
  <c r="J34" i="4" l="1"/>
  <c r="R33" i="4"/>
  <c r="U32" i="4"/>
  <c r="V32" i="4"/>
  <c r="T32" i="4"/>
  <c r="W32" i="4"/>
  <c r="V33" i="4" l="1"/>
  <c r="U33" i="4"/>
  <c r="T33" i="4"/>
  <c r="W33" i="4"/>
  <c r="R34" i="4"/>
  <c r="J35" i="4"/>
  <c r="R35" i="4" l="1"/>
  <c r="J36" i="4"/>
  <c r="W34" i="4"/>
  <c r="U34" i="4"/>
  <c r="V34" i="4"/>
  <c r="T34" i="4"/>
  <c r="R36" i="4" l="1"/>
  <c r="J37" i="4"/>
  <c r="W35" i="4"/>
  <c r="T35" i="4"/>
  <c r="U35" i="4"/>
  <c r="V35" i="4"/>
  <c r="R37" i="4" l="1"/>
  <c r="J38" i="4"/>
  <c r="W36" i="4"/>
  <c r="V36" i="4"/>
  <c r="U36" i="4"/>
  <c r="T36" i="4"/>
  <c r="R38" i="4" l="1"/>
  <c r="J39" i="4"/>
  <c r="V37" i="4"/>
  <c r="U37" i="4"/>
  <c r="T37" i="4"/>
  <c r="W37" i="4"/>
  <c r="R39" i="4" l="1"/>
  <c r="J40" i="4"/>
  <c r="U38" i="4"/>
  <c r="V38" i="4"/>
  <c r="T38" i="4"/>
  <c r="W38" i="4"/>
  <c r="R40" i="4" l="1"/>
  <c r="J41" i="4"/>
  <c r="T39" i="4"/>
  <c r="U39" i="4"/>
  <c r="W39" i="4"/>
  <c r="V39" i="4"/>
  <c r="R41" i="4" l="1"/>
  <c r="J42" i="4"/>
  <c r="T40" i="4"/>
  <c r="U40" i="4"/>
  <c r="W40" i="4"/>
  <c r="V40" i="4"/>
  <c r="R42" i="4" l="1"/>
  <c r="J43" i="4"/>
  <c r="V41" i="4"/>
  <c r="U41" i="4"/>
  <c r="T41" i="4"/>
  <c r="W41" i="4"/>
  <c r="R43" i="4" l="1"/>
  <c r="J44" i="4"/>
  <c r="T42" i="4"/>
  <c r="W42" i="4"/>
  <c r="V42" i="4"/>
  <c r="U42" i="4"/>
  <c r="R44" i="4" l="1"/>
  <c r="J45" i="4"/>
  <c r="T43" i="4"/>
  <c r="W43" i="4"/>
  <c r="V43" i="4"/>
  <c r="U43" i="4"/>
  <c r="R45" i="4" l="1"/>
  <c r="J46" i="4"/>
  <c r="V44" i="4"/>
  <c r="W44" i="4"/>
  <c r="T44" i="4"/>
  <c r="U44" i="4"/>
  <c r="R46" i="4" l="1"/>
  <c r="J47" i="4"/>
  <c r="V45" i="4"/>
  <c r="U45" i="4"/>
  <c r="W45" i="4"/>
  <c r="T45" i="4"/>
  <c r="R47" i="4" l="1"/>
  <c r="J48" i="4"/>
  <c r="T47" i="4"/>
  <c r="U47" i="4"/>
  <c r="V47" i="4"/>
  <c r="W47" i="4"/>
  <c r="W46" i="4"/>
  <c r="U46" i="4"/>
  <c r="V46" i="4"/>
  <c r="T46" i="4"/>
  <c r="R48" i="4" l="1"/>
  <c r="J49" i="4"/>
  <c r="R49" i="4" l="1"/>
  <c r="J50" i="4"/>
  <c r="T48" i="4"/>
  <c r="V48" i="4"/>
  <c r="W48" i="4"/>
  <c r="U48" i="4"/>
  <c r="R50" i="4" l="1"/>
  <c r="J51" i="4"/>
  <c r="V49" i="4"/>
  <c r="T49" i="4"/>
  <c r="U49" i="4"/>
  <c r="W49" i="4"/>
  <c r="R51" i="4" l="1"/>
  <c r="J52" i="4"/>
  <c r="W50" i="4"/>
  <c r="U50" i="4"/>
  <c r="T50" i="4"/>
  <c r="V50" i="4"/>
  <c r="R52" i="4" l="1"/>
  <c r="J53" i="4"/>
  <c r="R53" i="4" s="1"/>
  <c r="V51" i="4"/>
  <c r="W51" i="4"/>
  <c r="T51" i="4"/>
  <c r="U51" i="4"/>
  <c r="U53" i="4" l="1"/>
  <c r="V53" i="4"/>
  <c r="T53" i="4"/>
  <c r="W53" i="4"/>
  <c r="T52" i="4"/>
  <c r="W52" i="4"/>
  <c r="V52" i="4"/>
  <c r="U52" i="4"/>
  <c r="L3" i="3" s="1"/>
  <c r="L4" i="3" l="1"/>
  <c r="L9" i="3" s="1"/>
  <c r="L12" i="3" s="1"/>
  <c r="L13" i="3" s="1"/>
  <c r="L5" i="3"/>
  <c r="L10" i="3" s="1"/>
  <c r="Y55" i="4" l="1"/>
  <c r="Y54" i="4"/>
  <c r="Y58" i="4"/>
  <c r="Y56" i="4"/>
  <c r="Y59" i="4"/>
  <c r="Y57" i="4"/>
  <c r="Y53" i="4"/>
  <c r="Y51" i="4"/>
  <c r="L15" i="3"/>
  <c r="L14" i="3"/>
  <c r="Y36" i="4"/>
  <c r="Y37" i="4"/>
  <c r="Y24" i="4"/>
  <c r="Y11" i="4"/>
  <c r="Y7" i="4"/>
  <c r="Y44" i="4"/>
  <c r="Y42" i="4"/>
  <c r="Y40" i="4"/>
  <c r="Y5" i="4"/>
  <c r="Y43" i="4"/>
  <c r="Y50" i="4"/>
  <c r="Y45" i="4"/>
  <c r="Y46" i="4"/>
  <c r="Y27" i="4"/>
  <c r="Y15" i="4"/>
  <c r="Y23" i="4"/>
  <c r="Y16" i="4"/>
  <c r="Y8" i="4"/>
  <c r="Y4" i="4"/>
  <c r="Y19" i="4"/>
  <c r="Y47" i="4"/>
  <c r="Y34" i="4"/>
  <c r="Y14" i="4"/>
  <c r="Y2" i="4"/>
  <c r="Y49" i="4"/>
  <c r="Y18" i="4"/>
  <c r="Y10" i="4"/>
  <c r="Y22" i="4"/>
  <c r="Y38" i="4"/>
  <c r="Y17" i="4"/>
  <c r="Y26" i="4"/>
  <c r="Y33" i="4"/>
  <c r="Y32" i="4"/>
  <c r="Y25" i="4"/>
  <c r="Y28" i="4"/>
  <c r="Y48" i="4"/>
  <c r="Y20" i="4"/>
  <c r="Y12" i="4"/>
  <c r="Y35" i="4"/>
  <c r="Y21" i="4"/>
  <c r="Y13" i="4"/>
  <c r="Y6" i="4"/>
  <c r="Y41" i="4"/>
  <c r="Y3" i="4"/>
  <c r="Y31" i="4"/>
  <c r="Y30" i="4"/>
  <c r="Y29" i="4"/>
  <c r="Y39" i="4"/>
  <c r="Y9" i="4"/>
  <c r="Y52" i="4"/>
  <c r="L11" i="3" l="1"/>
  <c r="AC30" i="4" s="1"/>
  <c r="AG30" i="4" s="1"/>
  <c r="AC32" i="4" l="1"/>
  <c r="AG32" i="4" s="1"/>
  <c r="AC14" i="4"/>
  <c r="AG14" i="4" s="1"/>
  <c r="AC6" i="4"/>
  <c r="AG6" i="4" s="1"/>
  <c r="AC29" i="4"/>
  <c r="AG29" i="4" s="1"/>
  <c r="AC9" i="4"/>
  <c r="AG9" i="4" s="1"/>
  <c r="AC57" i="4"/>
  <c r="AG57" i="4" s="1"/>
  <c r="AC36" i="4"/>
  <c r="AG36" i="4" s="1"/>
  <c r="AC50" i="4"/>
  <c r="AG50" i="4" s="1"/>
  <c r="AC3" i="4"/>
  <c r="AG3" i="4" s="1"/>
  <c r="AC25" i="4"/>
  <c r="AG25" i="4" s="1"/>
  <c r="AC39" i="4"/>
  <c r="AG39" i="4" s="1"/>
  <c r="AC52" i="4"/>
  <c r="AG52" i="4" s="1"/>
  <c r="AC46" i="4"/>
  <c r="AG46" i="4" s="1"/>
  <c r="AC2" i="4"/>
  <c r="AG2" i="4" s="1"/>
  <c r="AC51" i="4"/>
  <c r="AG51" i="4" s="1"/>
  <c r="AC59" i="4"/>
  <c r="AG59" i="4" s="1"/>
  <c r="AC17" i="4"/>
  <c r="AG17" i="4" s="1"/>
  <c r="AC26" i="4"/>
  <c r="AG26" i="4" s="1"/>
  <c r="AC8" i="4"/>
  <c r="AG8" i="4" s="1"/>
  <c r="AC16" i="4"/>
  <c r="AG16" i="4" s="1"/>
  <c r="AC56" i="4"/>
  <c r="AG56" i="4" s="1"/>
  <c r="AC11" i="4"/>
  <c r="AG11" i="4" s="1"/>
  <c r="AC35" i="4"/>
  <c r="AG35" i="4" s="1"/>
  <c r="AC45" i="4"/>
  <c r="AG45" i="4" s="1"/>
  <c r="AC22" i="4"/>
  <c r="AG22" i="4" s="1"/>
  <c r="AC55" i="4"/>
  <c r="AG55" i="4" s="1"/>
  <c r="AC54" i="4"/>
  <c r="AG54" i="4" s="1"/>
  <c r="AC33" i="4"/>
  <c r="AG33" i="4" s="1"/>
  <c r="AC40" i="4"/>
  <c r="AG40" i="4" s="1"/>
  <c r="AC27" i="4"/>
  <c r="AG27" i="4" s="1"/>
  <c r="AC47" i="4"/>
  <c r="AG47" i="4" s="1"/>
  <c r="AC28" i="4"/>
  <c r="AG28" i="4" s="1"/>
  <c r="AC48" i="4"/>
  <c r="AG48" i="4" s="1"/>
  <c r="AC5" i="4"/>
  <c r="AG5" i="4" s="1"/>
  <c r="AC53" i="4"/>
  <c r="AG53" i="4" s="1"/>
  <c r="AC23" i="4"/>
  <c r="AG23" i="4" s="1"/>
  <c r="AC10" i="4"/>
  <c r="AG10" i="4" s="1"/>
  <c r="AC31" i="4"/>
  <c r="AG31" i="4" s="1"/>
  <c r="AC15" i="4"/>
  <c r="AG15" i="4" s="1"/>
  <c r="AC37" i="4"/>
  <c r="AG37" i="4" s="1"/>
  <c r="AC7" i="4"/>
  <c r="AG7" i="4" s="1"/>
  <c r="AC44" i="4"/>
  <c r="AG44" i="4" s="1"/>
  <c r="AC58" i="4"/>
  <c r="AG58" i="4" s="1"/>
  <c r="AC34" i="4"/>
  <c r="AG34" i="4" s="1"/>
  <c r="AC41" i="4"/>
  <c r="AG41" i="4" s="1"/>
  <c r="AC12" i="4"/>
  <c r="AG12" i="4" s="1"/>
  <c r="AC49" i="4"/>
  <c r="AG49" i="4" s="1"/>
  <c r="AC21" i="4"/>
  <c r="AG21" i="4" s="1"/>
  <c r="AC43" i="4"/>
  <c r="AG43" i="4" s="1"/>
  <c r="AC18" i="4"/>
  <c r="AG18" i="4" s="1"/>
  <c r="AC13" i="4"/>
  <c r="AG13" i="4" s="1"/>
  <c r="AC38" i="4"/>
  <c r="AG38" i="4" s="1"/>
  <c r="AC24" i="4"/>
  <c r="AG24" i="4" s="1"/>
  <c r="AC4" i="4"/>
  <c r="AG4" i="4" s="1"/>
  <c r="AC19" i="4"/>
  <c r="AG19" i="4" s="1"/>
  <c r="AC42" i="4"/>
  <c r="AG42" i="4" s="1"/>
  <c r="AC20" i="4"/>
  <c r="AG20" i="4" s="1"/>
  <c r="E6" i="3" l="1"/>
  <c r="E8" i="3"/>
  <c r="E7" i="3"/>
  <c r="E3" i="3"/>
  <c r="E5" i="3"/>
  <c r="E10" i="3" s="1"/>
  <c r="E4" i="3" l="1"/>
  <c r="E9" i="3" s="1"/>
  <c r="E12" i="3" s="1"/>
  <c r="E13" i="3" s="1"/>
  <c r="E15" i="3" s="1"/>
  <c r="E14" i="3" l="1"/>
  <c r="B4" i="1" l="1"/>
  <c r="B6" i="1"/>
  <c r="B7" i="1"/>
  <c r="D23" i="3"/>
  <c r="B5" i="1"/>
  <c r="S118" i="4" l="1"/>
  <c r="S38" i="4"/>
  <c r="S42" i="4"/>
  <c r="S132" i="4"/>
  <c r="S104" i="4"/>
  <c r="S69" i="4"/>
  <c r="S116" i="4"/>
  <c r="S37" i="4"/>
  <c r="S78" i="4"/>
  <c r="S31" i="4"/>
  <c r="S35" i="4"/>
  <c r="S14" i="4"/>
  <c r="S93" i="4"/>
  <c r="S54" i="4"/>
  <c r="S85" i="4"/>
  <c r="S57" i="4"/>
  <c r="S99" i="4"/>
  <c r="S20" i="4"/>
  <c r="S41" i="4"/>
  <c r="S63" i="4"/>
  <c r="S111" i="4"/>
  <c r="S50" i="4"/>
  <c r="S34" i="4"/>
  <c r="S105" i="4"/>
  <c r="S76" i="4"/>
  <c r="S18" i="4"/>
  <c r="S80" i="4"/>
  <c r="S55" i="4"/>
  <c r="S101" i="4"/>
  <c r="S43" i="4"/>
  <c r="S133" i="4"/>
  <c r="S56" i="4"/>
  <c r="S46" i="4"/>
  <c r="S16" i="4"/>
  <c r="S74" i="4"/>
  <c r="S67" i="4"/>
  <c r="S115" i="4"/>
  <c r="S81" i="4"/>
  <c r="S60" i="4"/>
  <c r="S52" i="4"/>
  <c r="S82" i="4"/>
  <c r="S15" i="4"/>
  <c r="S72" i="4"/>
  <c r="S2" i="4"/>
  <c r="S86" i="4"/>
  <c r="S7" i="4"/>
  <c r="S48" i="4"/>
  <c r="S9" i="4"/>
  <c r="S114" i="4"/>
  <c r="S13" i="4"/>
  <c r="S19" i="4"/>
  <c r="S121" i="4"/>
  <c r="S127" i="4"/>
  <c r="S53" i="4"/>
  <c r="S47" i="4"/>
  <c r="S128" i="4"/>
  <c r="S36" i="4"/>
  <c r="S26" i="4"/>
  <c r="S59" i="4"/>
  <c r="S30" i="4"/>
  <c r="S21" i="4"/>
  <c r="S110" i="4"/>
  <c r="S33" i="4"/>
  <c r="S109" i="4"/>
  <c r="S70" i="4"/>
  <c r="S73" i="4"/>
  <c r="S129" i="4"/>
  <c r="S11" i="4"/>
  <c r="S95" i="4"/>
  <c r="S123" i="4"/>
  <c r="S22" i="4"/>
  <c r="S84" i="4"/>
  <c r="S112" i="4"/>
  <c r="S120" i="4"/>
  <c r="S87" i="4"/>
  <c r="S96" i="4"/>
  <c r="S130" i="4"/>
  <c r="S17" i="4"/>
  <c r="S125" i="4"/>
  <c r="S131" i="4"/>
  <c r="S28" i="4"/>
  <c r="S91" i="4"/>
  <c r="S103" i="4"/>
  <c r="S90" i="4"/>
  <c r="S108" i="4"/>
  <c r="S97" i="4"/>
  <c r="S61" i="4"/>
  <c r="S92" i="4"/>
  <c r="S32" i="4"/>
  <c r="S126" i="4"/>
  <c r="S122" i="4"/>
  <c r="S98" i="4"/>
  <c r="S102" i="4"/>
  <c r="S23" i="4"/>
  <c r="S25" i="4"/>
  <c r="S40" i="4"/>
  <c r="S65" i="4"/>
  <c r="S88" i="4"/>
  <c r="S83" i="4"/>
  <c r="S94" i="4"/>
  <c r="S29" i="4"/>
  <c r="S58" i="4"/>
  <c r="S77" i="4"/>
  <c r="S39" i="4"/>
  <c r="S51" i="4"/>
  <c r="S10" i="4"/>
  <c r="S64" i="4"/>
  <c r="S100" i="4"/>
  <c r="S75" i="4"/>
  <c r="S68" i="4"/>
  <c r="S124" i="4"/>
  <c r="S71" i="4"/>
  <c r="S89" i="4"/>
  <c r="S27" i="4"/>
  <c r="S62" i="4"/>
  <c r="S24" i="4"/>
  <c r="S66" i="4"/>
  <c r="S107" i="4"/>
  <c r="S3" i="4"/>
  <c r="S44" i="4"/>
  <c r="S6" i="4"/>
  <c r="S106" i="4"/>
  <c r="S119" i="4"/>
  <c r="S113" i="4"/>
  <c r="S8" i="4"/>
  <c r="S117" i="4"/>
  <c r="S49" i="4"/>
  <c r="S79" i="4"/>
  <c r="S4" i="4"/>
  <c r="S12" i="4"/>
  <c r="S45" i="4"/>
  <c r="S5" i="4"/>
  <c r="U4" i="3" a="1"/>
  <c r="B8" i="1"/>
  <c r="B18" i="6"/>
  <c r="B17" i="6"/>
  <c r="B16" i="6"/>
  <c r="B15" i="6"/>
  <c r="AB4" i="3" l="1" a="1"/>
  <c r="AB4" i="3" s="1"/>
  <c r="U4" i="3"/>
  <c r="AC4" i="3" s="1" a="1"/>
  <c r="AC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<sst xmlns="http://schemas.openxmlformats.org/spreadsheetml/2006/main" count="228" uniqueCount="127">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</sst>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421.76893095768372</c:v>
                </c:pt>
                <c:pt idx="1">
                  <c:v>91.747297297297294</c:v>
                </c:pt>
                <c:pt idx="2">
                  <c:v>653.03409090909088</c:v>
                </c:pt>
                <c:pt idx="3">
                  <c:v>1628.3870967741937</c:v>
                </c:pt>
                <c:pt idx="4">
                  <c:v>1910.3864732551103</c:v>
                </c:pt>
                <c:pt idx="5">
                  <c:v>1928.2325268567067</c:v>
                </c:pt>
                <c:pt idx="6">
                  <c:v>1977.3089189722261</c:v>
                </c:pt>
                <c:pt idx="7">
                  <c:v>2142.3843191129608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9.676666648934285</c:v>
                </c:pt>
                <c:pt idx="1">
                  <c:v>17.596551734054909</c:v>
                </c:pt>
                <c:pt idx="2">
                  <c:v>19.043333304673432</c:v>
                </c:pt>
                <c:pt idx="3">
                  <c:v>13.709677396282071</c:v>
                </c:pt>
                <c:pt idx="4">
                  <c:v>8.475862115878483</c:v>
                </c:pt>
                <c:pt idx="5">
                  <c:v>2.0156250149011612</c:v>
                </c:pt>
                <c:pt idx="6">
                  <c:v>-4.1999999582767487</c:v>
                </c:pt>
                <c:pt idx="7">
                  <c:v>-4.6724137931034484</c:v>
                </c:pt>
                <c:pt idx="8">
                  <c:v>-5</c:v>
                </c:pt>
                <c:pt idx="9">
                  <c:v>-4.4062500596046448</c:v>
                </c:pt>
                <c:pt idx="10">
                  <c:v>-3.0156249403953552</c:v>
                </c:pt>
                <c:pt idx="11">
                  <c:v>4.0999999507781002</c:v>
                </c:pt>
                <c:pt idx="12">
                  <c:v>9.2366666513184708</c:v>
                </c:pt>
                <c:pt idx="13">
                  <c:v>12.639285718756064</c:v>
                </c:pt>
                <c:pt idx="14">
                  <c:v>14.920000010977187</c:v>
                </c:pt>
                <c:pt idx="15">
                  <c:v>10.790322554447959</c:v>
                </c:pt>
                <c:pt idx="16">
                  <c:v>9.6300000071525567</c:v>
                </c:pt>
                <c:pt idx="17">
                  <c:v>2.7833332975705467</c:v>
                </c:pt>
                <c:pt idx="18">
                  <c:v>-4.1937499940395355</c:v>
                </c:pt>
                <c:pt idx="19">
                  <c:v>-4.7517240458521348</c:v>
                </c:pt>
                <c:pt idx="20">
                  <c:v>-5</c:v>
                </c:pt>
                <c:pt idx="21">
                  <c:v>-4.5137931560647901</c:v>
                </c:pt>
                <c:pt idx="22">
                  <c:v>-1.4032257756879254</c:v>
                </c:pt>
                <c:pt idx="23">
                  <c:v>3.9758620590999207</c:v>
                </c:pt>
                <c:pt idx="24">
                  <c:v>11.0620689844263</c:v>
                </c:pt>
                <c:pt idx="25">
                  <c:v>13.28400001525879</c:v>
                </c:pt>
                <c:pt idx="26">
                  <c:v>15.177142819336481</c:v>
                </c:pt>
                <c:pt idx="27">
                  <c:v>13.396774201143174</c:v>
                </c:pt>
                <c:pt idx="28">
                  <c:v>9.916666661947966</c:v>
                </c:pt>
                <c:pt idx="29">
                  <c:v>2.4218749850988388</c:v>
                </c:pt>
                <c:pt idx="30">
                  <c:v>-2.4483871152324062</c:v>
                </c:pt>
                <c:pt idx="31">
                  <c:v>-5</c:v>
                </c:pt>
                <c:pt idx="32">
                  <c:v>-5</c:v>
                </c:pt>
                <c:pt idx="33">
                  <c:v>-3.5389830702442233</c:v>
                </c:pt>
                <c:pt idx="34">
                  <c:v>5.2033333698908493</c:v>
                </c:pt>
                <c:pt idx="35">
                  <c:v>11.03749998123385</c:v>
                </c:pt>
                <c:pt idx="36">
                  <c:v>17.151724149440899</c:v>
                </c:pt>
                <c:pt idx="37">
                  <c:v>20.961290303737886</c:v>
                </c:pt>
                <c:pt idx="38">
                  <c:v>12.199999985595543</c:v>
                </c:pt>
                <c:pt idx="39">
                  <c:v>9.035483862123181</c:v>
                </c:pt>
                <c:pt idx="40">
                  <c:v>0.93000000317891462</c:v>
                </c:pt>
                <c:pt idx="41">
                  <c:v>-3.6580645038235575</c:v>
                </c:pt>
                <c:pt idx="42">
                  <c:v>-4.9666666551069776</c:v>
                </c:pt>
                <c:pt idx="43">
                  <c:v>-4.8533333460489905</c:v>
                </c:pt>
                <c:pt idx="44">
                  <c:v>-4.7586206567698515</c:v>
                </c:pt>
                <c:pt idx="45">
                  <c:v>-0.34242419040564354</c:v>
                </c:pt>
                <c:pt idx="46">
                  <c:v>4.5517240803817227</c:v>
                </c:pt>
                <c:pt idx="47">
                  <c:v>9.8875000067055225</c:v>
                </c:pt>
                <c:pt idx="48">
                  <c:v>17.97407406789285</c:v>
                </c:pt>
                <c:pt idx="49">
                  <c:v>16.073333339393137</c:v>
                </c:pt>
                <c:pt idx="50">
                  <c:v>13.399999992982035</c:v>
                </c:pt>
                <c:pt idx="51">
                  <c:v>6.5733333334326751</c:v>
                </c:pt>
                <c:pt idx="52">
                  <c:v>4.3032257883779472</c:v>
                </c:pt>
                <c:pt idx="53">
                  <c:v>-1.9566666920979818</c:v>
                </c:pt>
                <c:pt idx="54">
                  <c:v>-4.9741935729980469</c:v>
                </c:pt>
                <c:pt idx="55">
                  <c:v>-5</c:v>
                </c:pt>
                <c:pt idx="56">
                  <c:v>-4.2799999872843424</c:v>
                </c:pt>
                <c:pt idx="57">
                  <c:v>1.1967742212357058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644.93333333333328</c:v>
                </c:pt>
                <c:pt idx="1">
                  <c:v>657.79310344827582</c:v>
                </c:pt>
                <c:pt idx="2">
                  <c:v>1348.9</c:v>
                </c:pt>
                <c:pt idx="3">
                  <c:v>858.61290322580646</c:v>
                </c:pt>
                <c:pt idx="4">
                  <c:v>661.31034482758616</c:v>
                </c:pt>
                <c:pt idx="5">
                  <c:v>570.375</c:v>
                </c:pt>
                <c:pt idx="6">
                  <c:v>242.28125</c:v>
                </c:pt>
                <c:pt idx="7">
                  <c:v>99.241379310344826</c:v>
                </c:pt>
                <c:pt idx="8">
                  <c:v>39.766666666666666</c:v>
                </c:pt>
                <c:pt idx="9">
                  <c:v>98</c:v>
                </c:pt>
                <c:pt idx="10">
                  <c:v>52.3125</c:v>
                </c:pt>
                <c:pt idx="11">
                  <c:v>632.90322580645159</c:v>
                </c:pt>
                <c:pt idx="12">
                  <c:v>835.56666666666672</c:v>
                </c:pt>
                <c:pt idx="13">
                  <c:v>1022.25</c:v>
                </c:pt>
                <c:pt idx="14">
                  <c:v>1169.3</c:v>
                </c:pt>
                <c:pt idx="15">
                  <c:v>950.54838709677415</c:v>
                </c:pt>
                <c:pt idx="16">
                  <c:v>780.23333333333335</c:v>
                </c:pt>
                <c:pt idx="17">
                  <c:v>568.43333333333328</c:v>
                </c:pt>
                <c:pt idx="18">
                  <c:v>240</c:v>
                </c:pt>
                <c:pt idx="19">
                  <c:v>85.482758620689651</c:v>
                </c:pt>
                <c:pt idx="20">
                  <c:v>22.666666666666668</c:v>
                </c:pt>
                <c:pt idx="21">
                  <c:v>57.241379310344826</c:v>
                </c:pt>
                <c:pt idx="22">
                  <c:v>122.16129032258064</c:v>
                </c:pt>
                <c:pt idx="23">
                  <c:v>586.10344827586209</c:v>
                </c:pt>
                <c:pt idx="24">
                  <c:v>864.79310344827582</c:v>
                </c:pt>
                <c:pt idx="25">
                  <c:v>698.12</c:v>
                </c:pt>
                <c:pt idx="26">
                  <c:v>1066.3428571428572</c:v>
                </c:pt>
                <c:pt idx="27">
                  <c:v>977.48387096774195</c:v>
                </c:pt>
                <c:pt idx="28">
                  <c:v>635.20000000000005</c:v>
                </c:pt>
                <c:pt idx="29">
                  <c:v>540.34375</c:v>
                </c:pt>
                <c:pt idx="30">
                  <c:v>288.58064516129031</c:v>
                </c:pt>
                <c:pt idx="31">
                  <c:v>168.84848484848484</c:v>
                </c:pt>
                <c:pt idx="32">
                  <c:v>88.466666666666669</c:v>
                </c:pt>
                <c:pt idx="33">
                  <c:v>66.728813559322035</c:v>
                </c:pt>
                <c:pt idx="34">
                  <c:v>549.1</c:v>
                </c:pt>
                <c:pt idx="35">
                  <c:v>753.78125</c:v>
                </c:pt>
                <c:pt idx="36">
                  <c:v>946.82758620689651</c:v>
                </c:pt>
                <c:pt idx="37">
                  <c:v>1628.3870967741937</c:v>
                </c:pt>
                <c:pt idx="38">
                  <c:v>393.93333333333334</c:v>
                </c:pt>
                <c:pt idx="39">
                  <c:v>657.93548387096769</c:v>
                </c:pt>
                <c:pt idx="40">
                  <c:v>498.66666666666669</c:v>
                </c:pt>
                <c:pt idx="41">
                  <c:v>68</c:v>
                </c:pt>
                <c:pt idx="42">
                  <c:v>3.7878787878787881</c:v>
                </c:pt>
                <c:pt idx="43">
                  <c:v>11.8</c:v>
                </c:pt>
                <c:pt idx="44">
                  <c:v>9.7586206896551726</c:v>
                </c:pt>
                <c:pt idx="45">
                  <c:v>31.151515151515152</c:v>
                </c:pt>
                <c:pt idx="46">
                  <c:v>49.724137931034484</c:v>
                </c:pt>
                <c:pt idx="47">
                  <c:v>131.09375</c:v>
                </c:pt>
                <c:pt idx="48">
                  <c:v>520.81481481481478</c:v>
                </c:pt>
                <c:pt idx="49">
                  <c:v>161.1</c:v>
                </c:pt>
                <c:pt idx="50">
                  <c:v>250.03225806451613</c:v>
                </c:pt>
                <c:pt idx="51">
                  <c:v>73</c:v>
                </c:pt>
                <c:pt idx="52">
                  <c:v>32.354838709677416</c:v>
                </c:pt>
                <c:pt idx="53">
                  <c:v>15.4</c:v>
                </c:pt>
                <c:pt idx="54">
                  <c:v>151.96774193548387</c:v>
                </c:pt>
                <c:pt idx="55">
                  <c:v>106.45161290322581</c:v>
                </c:pt>
                <c:pt idx="56">
                  <c:v>47.5</c:v>
                </c:pt>
                <c:pt idx="57">
                  <c:v>118.3225806451613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9.676666648934285</c:v>
                </c:pt>
                <c:pt idx="1">
                  <c:v>19.043333304673432</c:v>
                </c:pt>
                <c:pt idx="2">
                  <c:v>13.709677396282071</c:v>
                </c:pt>
                <c:pt idx="3">
                  <c:v>8.475862115878483</c:v>
                </c:pt>
                <c:pt idx="4">
                  <c:v>2.0156250149011612</c:v>
                </c:pt>
                <c:pt idx="5">
                  <c:v>4.0999999507781002</c:v>
                </c:pt>
                <c:pt idx="6">
                  <c:v>9.2366666513184708</c:v>
                </c:pt>
                <c:pt idx="7">
                  <c:v>12.639285718756064</c:v>
                </c:pt>
                <c:pt idx="8">
                  <c:v>14.920000010977187</c:v>
                </c:pt>
                <c:pt idx="9">
                  <c:v>10.790322554447959</c:v>
                </c:pt>
                <c:pt idx="10">
                  <c:v>9.6300000071525567</c:v>
                </c:pt>
                <c:pt idx="11">
                  <c:v>2.7833332975705467</c:v>
                </c:pt>
                <c:pt idx="12">
                  <c:v>3.9758620590999207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644.93333333333328</c:v>
                </c:pt>
                <c:pt idx="1">
                  <c:v>1348.9</c:v>
                </c:pt>
                <c:pt idx="2">
                  <c:v>858.61290322580646</c:v>
                </c:pt>
                <c:pt idx="3">
                  <c:v>661.31034482758616</c:v>
                </c:pt>
                <c:pt idx="4">
                  <c:v>570.375</c:v>
                </c:pt>
                <c:pt idx="5">
                  <c:v>632.90322580645159</c:v>
                </c:pt>
                <c:pt idx="6">
                  <c:v>835.56666666666672</c:v>
                </c:pt>
                <c:pt idx="7">
                  <c:v>1022.25</c:v>
                </c:pt>
                <c:pt idx="8">
                  <c:v>1169.3</c:v>
                </c:pt>
                <c:pt idx="9">
                  <c:v>950.54838709677415</c:v>
                </c:pt>
                <c:pt idx="10">
                  <c:v>780.23333333333335</c:v>
                </c:pt>
                <c:pt idx="11">
                  <c:v>568.43333333333328</c:v>
                </c:pt>
                <c:pt idx="12">
                  <c:v>586.10344827586209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bottomRight" activeCell="A3" sqref="A3:G62"/>
      <selection pane="bottomLeft" activeCell="A2" sqref="A2"/>
      <selection pane="topRight" activeCell="D1" sqref="D1"/>
    </sheetView>
  </sheetViews>
  <sheetFormatPr defaultColWidth="10.625" defaultRowHeight="15.95"/>
  <cols>
    <col min="1" max="6" width="12.8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>
        <v>45755</v>
      </c>
      <c r="B3" s="11">
        <v>45721</v>
      </c>
      <c r="C3" s="11">
        <v>45750</v>
      </c>
      <c r="D3" s="12">
        <v>30</v>
      </c>
      <c r="E3" s="12">
        <v>757954</v>
      </c>
      <c r="F3" s="15" t="s">
        <v>9</v>
      </c>
      <c r="G3" s="19">
        <v>19348</v>
      </c>
      <c r="M3" s="2"/>
      <c r="N3" s="2"/>
      <c r="O3" s="2"/>
      <c r="U3" s="2"/>
      <c r="V3" s="2"/>
      <c r="W3" s="2"/>
    </row>
    <row r="4" spans="1:23">
      <c r="A4" s="11">
        <v>45723</v>
      </c>
      <c r="B4" s="11">
        <v>45692</v>
      </c>
      <c r="C4" s="11">
        <v>45720</v>
      </c>
      <c r="D4" s="12">
        <v>29</v>
      </c>
      <c r="E4" s="12">
        <v>738606</v>
      </c>
      <c r="F4" s="15" t="s">
        <v>9</v>
      </c>
      <c r="G4" s="19">
        <v>19076</v>
      </c>
      <c r="M4" s="2"/>
      <c r="N4" s="2"/>
      <c r="O4" s="2"/>
      <c r="U4" s="2"/>
      <c r="V4" s="2"/>
      <c r="W4" s="2"/>
    </row>
    <row r="5" spans="1:23">
      <c r="A5" s="11">
        <v>45695</v>
      </c>
      <c r="B5" s="11">
        <v>45662</v>
      </c>
      <c r="C5" s="11">
        <v>45691</v>
      </c>
      <c r="D5" s="12">
        <v>30</v>
      </c>
      <c r="E5" s="12">
        <v>719530</v>
      </c>
      <c r="F5" s="15" t="s">
        <v>9</v>
      </c>
      <c r="G5" s="19">
        <v>40467</v>
      </c>
      <c r="M5" s="2"/>
      <c r="N5" s="2"/>
      <c r="O5" s="2"/>
      <c r="U5" s="2"/>
      <c r="V5" s="2"/>
      <c r="W5" s="2"/>
    </row>
    <row r="6" spans="1:23">
      <c r="A6" s="11">
        <v>45667</v>
      </c>
      <c r="B6" s="11">
        <v>45631</v>
      </c>
      <c r="C6" s="11">
        <v>45661</v>
      </c>
      <c r="D6" s="12">
        <v>31</v>
      </c>
      <c r="E6" s="12">
        <v>679063</v>
      </c>
      <c r="F6" s="15" t="s">
        <v>9</v>
      </c>
      <c r="G6" s="19">
        <v>26617</v>
      </c>
      <c r="M6" s="2"/>
      <c r="N6" s="2"/>
      <c r="O6" s="2"/>
      <c r="U6" s="2"/>
      <c r="V6" s="2"/>
      <c r="W6" s="2"/>
    </row>
    <row r="7" spans="1:23">
      <c r="A7" s="11">
        <v>45635</v>
      </c>
      <c r="B7" s="11">
        <v>45602</v>
      </c>
      <c r="C7" s="11">
        <v>45630</v>
      </c>
      <c r="D7" s="12">
        <v>29</v>
      </c>
      <c r="E7" s="12">
        <v>652446</v>
      </c>
      <c r="F7" s="15" t="s">
        <v>9</v>
      </c>
      <c r="G7" s="19">
        <v>19178</v>
      </c>
      <c r="M7" s="2"/>
      <c r="N7" s="2"/>
      <c r="O7" s="2"/>
      <c r="U7" s="2"/>
      <c r="V7" s="2"/>
      <c r="W7" s="2"/>
    </row>
    <row r="8" spans="1:23">
      <c r="A8" s="11">
        <v>45608</v>
      </c>
      <c r="B8" s="11">
        <v>45570</v>
      </c>
      <c r="C8" s="11">
        <v>45601</v>
      </c>
      <c r="D8" s="12">
        <v>32</v>
      </c>
      <c r="E8" s="12">
        <v>633268</v>
      </c>
      <c r="F8" s="15" t="s">
        <v>9</v>
      </c>
      <c r="G8" s="19">
        <v>18252</v>
      </c>
      <c r="M8" s="2"/>
      <c r="N8" s="2"/>
      <c r="O8" s="2"/>
      <c r="U8" s="2"/>
      <c r="V8" s="2"/>
      <c r="W8" s="2"/>
    </row>
    <row r="9" spans="1:23">
      <c r="A9" s="11">
        <v>45576</v>
      </c>
      <c r="B9" s="11">
        <v>45538</v>
      </c>
      <c r="C9" s="11">
        <v>45569</v>
      </c>
      <c r="D9" s="12">
        <v>32</v>
      </c>
      <c r="E9" s="12">
        <v>615016</v>
      </c>
      <c r="F9" s="15" t="s">
        <v>9</v>
      </c>
      <c r="G9" s="19">
        <v>7753</v>
      </c>
      <c r="M9" s="2"/>
      <c r="N9" s="2"/>
      <c r="O9" s="2"/>
      <c r="U9" s="2"/>
      <c r="V9" s="2"/>
      <c r="W9" s="2"/>
    </row>
    <row r="10" spans="1:23">
      <c r="A10" s="11">
        <v>45544</v>
      </c>
      <c r="B10" s="11">
        <v>45509</v>
      </c>
      <c r="C10" s="11">
        <v>45537</v>
      </c>
      <c r="D10" s="12">
        <v>29</v>
      </c>
      <c r="E10" s="12">
        <v>607263</v>
      </c>
      <c r="F10" s="15" t="s">
        <v>9</v>
      </c>
      <c r="G10" s="19">
        <v>2878</v>
      </c>
      <c r="M10" s="2"/>
      <c r="N10" s="2"/>
      <c r="O10" s="2"/>
      <c r="U10" s="2"/>
      <c r="V10" s="2"/>
      <c r="W10" s="2"/>
    </row>
    <row r="11" spans="1:23">
      <c r="A11" s="11">
        <v>45511</v>
      </c>
      <c r="B11" s="11">
        <v>45479</v>
      </c>
      <c r="C11" s="11">
        <v>45508</v>
      </c>
      <c r="D11" s="12">
        <v>30</v>
      </c>
      <c r="E11" s="12">
        <v>604385</v>
      </c>
      <c r="F11" s="15" t="s">
        <v>9</v>
      </c>
      <c r="G11" s="19">
        <v>1193</v>
      </c>
      <c r="M11" s="2"/>
      <c r="N11" s="2"/>
      <c r="O11" s="2"/>
      <c r="U11" s="2"/>
      <c r="V11" s="2"/>
      <c r="W11" s="2"/>
    </row>
    <row r="12" spans="1:23">
      <c r="A12" s="11">
        <v>45481</v>
      </c>
      <c r="B12" s="11">
        <v>45447</v>
      </c>
      <c r="C12" s="11">
        <v>45478</v>
      </c>
      <c r="D12" s="12">
        <v>32</v>
      </c>
      <c r="E12" s="12">
        <v>603192</v>
      </c>
      <c r="F12" s="15" t="s">
        <v>9</v>
      </c>
      <c r="G12" s="19">
        <v>3136</v>
      </c>
      <c r="M12" s="2"/>
      <c r="N12" s="2"/>
      <c r="O12" s="2"/>
      <c r="U12" s="2"/>
      <c r="V12" s="2"/>
      <c r="W12" s="2"/>
    </row>
    <row r="13" spans="1:23">
      <c r="A13" s="11">
        <v>45454</v>
      </c>
      <c r="B13" s="11">
        <v>45415</v>
      </c>
      <c r="C13" s="11">
        <v>45446</v>
      </c>
      <c r="D13" s="12">
        <v>32</v>
      </c>
      <c r="E13" s="12">
        <v>600056</v>
      </c>
      <c r="F13" s="15" t="s">
        <v>9</v>
      </c>
      <c r="G13" s="19">
        <v>1674</v>
      </c>
      <c r="M13" s="2"/>
      <c r="N13" s="2"/>
      <c r="O13" s="2"/>
      <c r="U13" s="2"/>
      <c r="V13" s="2"/>
      <c r="W13" s="2"/>
    </row>
    <row r="14" spans="1:23">
      <c r="A14" s="11">
        <v>45425</v>
      </c>
      <c r="B14" s="11">
        <v>45384</v>
      </c>
      <c r="C14" s="11">
        <v>45414</v>
      </c>
      <c r="D14" s="12">
        <v>31</v>
      </c>
      <c r="E14" s="12">
        <v>598382</v>
      </c>
      <c r="F14" s="15" t="s">
        <v>9</v>
      </c>
      <c r="G14" s="19">
        <v>19620</v>
      </c>
      <c r="M14" s="2"/>
      <c r="N14" s="2"/>
      <c r="O14" s="2"/>
      <c r="U14" s="2"/>
      <c r="V14" s="2"/>
      <c r="W14" s="2"/>
    </row>
    <row r="15" spans="1:23">
      <c r="A15" s="11">
        <v>45385</v>
      </c>
      <c r="B15" s="11">
        <v>45354</v>
      </c>
      <c r="C15" s="11">
        <v>45383</v>
      </c>
      <c r="D15" s="12">
        <v>30</v>
      </c>
      <c r="E15" s="12">
        <v>578762</v>
      </c>
      <c r="F15" s="15" t="s">
        <v>9</v>
      </c>
      <c r="G15" s="19">
        <v>25067</v>
      </c>
      <c r="M15" s="2"/>
      <c r="N15" s="2"/>
      <c r="O15" s="2"/>
      <c r="U15" s="2"/>
      <c r="V15" s="2"/>
      <c r="W15" s="2"/>
    </row>
    <row r="16" spans="1:23">
      <c r="A16" s="11">
        <v>45358</v>
      </c>
      <c r="B16" s="11">
        <v>45326</v>
      </c>
      <c r="C16" s="11">
        <v>45353</v>
      </c>
      <c r="D16" s="12">
        <v>28</v>
      </c>
      <c r="E16" s="12">
        <v>553695</v>
      </c>
      <c r="F16" s="15" t="s">
        <v>9</v>
      </c>
      <c r="G16" s="19">
        <v>28623</v>
      </c>
      <c r="M16" s="2"/>
      <c r="N16" s="2"/>
      <c r="O16" s="2"/>
      <c r="U16" s="2"/>
      <c r="V16" s="2"/>
      <c r="W16" s="2"/>
    </row>
    <row r="17" spans="1:23">
      <c r="A17" s="11">
        <v>45330</v>
      </c>
      <c r="B17" s="11">
        <v>45296</v>
      </c>
      <c r="C17" s="11">
        <v>45325</v>
      </c>
      <c r="D17" s="12">
        <v>30</v>
      </c>
      <c r="E17" s="12">
        <v>525072</v>
      </c>
      <c r="F17" s="15" t="s">
        <v>9</v>
      </c>
      <c r="G17" s="19">
        <v>35079</v>
      </c>
      <c r="M17" s="2"/>
      <c r="N17" s="2"/>
      <c r="O17" s="2"/>
      <c r="U17" s="2"/>
      <c r="V17" s="2"/>
      <c r="W17" s="2"/>
    </row>
    <row r="18" spans="1:23">
      <c r="A18" s="11">
        <v>45299</v>
      </c>
      <c r="B18" s="11">
        <v>45265</v>
      </c>
      <c r="C18" s="11">
        <v>45295</v>
      </c>
      <c r="D18" s="12">
        <v>31</v>
      </c>
      <c r="E18" s="12">
        <v>489993</v>
      </c>
      <c r="F18" s="15" t="s">
        <v>9</v>
      </c>
      <c r="G18" s="19">
        <v>29467</v>
      </c>
      <c r="M18" s="2"/>
      <c r="N18" s="2"/>
      <c r="O18" s="2"/>
      <c r="U18" s="2"/>
      <c r="V18" s="2"/>
      <c r="W18" s="2"/>
    </row>
    <row r="19" spans="1:23">
      <c r="A19" s="11">
        <v>45271</v>
      </c>
      <c r="B19" s="11">
        <v>45235</v>
      </c>
      <c r="C19" s="11">
        <v>45264</v>
      </c>
      <c r="D19" s="12">
        <v>30</v>
      </c>
      <c r="E19" s="12">
        <v>460526</v>
      </c>
      <c r="F19" s="15" t="s">
        <v>9</v>
      </c>
      <c r="G19" s="19">
        <v>23407</v>
      </c>
      <c r="M19" s="2"/>
      <c r="N19" s="2"/>
      <c r="O19" s="2"/>
      <c r="U19" s="2"/>
      <c r="V19" s="2"/>
      <c r="W19" s="2"/>
    </row>
    <row r="20" spans="1:23">
      <c r="A20" s="11">
        <v>45236</v>
      </c>
      <c r="B20" s="11">
        <v>45205</v>
      </c>
      <c r="C20" s="11">
        <v>45234</v>
      </c>
      <c r="D20" s="12">
        <v>30</v>
      </c>
      <c r="E20" s="12">
        <v>437119</v>
      </c>
      <c r="F20" s="15" t="s">
        <v>9</v>
      </c>
      <c r="G20" s="19">
        <v>17053</v>
      </c>
      <c r="M20" s="2"/>
      <c r="N20" s="2"/>
      <c r="O20" s="2"/>
      <c r="U20" s="2"/>
      <c r="V20" s="2"/>
      <c r="W20" s="2"/>
    </row>
    <row r="21" spans="1:23">
      <c r="A21" s="11">
        <v>45209</v>
      </c>
      <c r="B21" s="11">
        <v>45173</v>
      </c>
      <c r="C21" s="11">
        <v>45204</v>
      </c>
      <c r="D21" s="12">
        <v>32</v>
      </c>
      <c r="E21" s="12">
        <v>420066</v>
      </c>
      <c r="F21" s="15" t="s">
        <v>9</v>
      </c>
      <c r="G21" s="19">
        <v>7680</v>
      </c>
      <c r="M21" s="2"/>
      <c r="N21" s="2"/>
      <c r="O21" s="2"/>
      <c r="U21" s="2"/>
      <c r="V21" s="2"/>
      <c r="W21" s="2"/>
    </row>
    <row r="22" spans="1:23">
      <c r="A22" s="11">
        <v>45176</v>
      </c>
      <c r="B22" s="11">
        <v>45144</v>
      </c>
      <c r="C22" s="11">
        <v>45172</v>
      </c>
      <c r="D22" s="12">
        <v>29</v>
      </c>
      <c r="E22" s="12">
        <v>412386</v>
      </c>
      <c r="F22" s="15" t="s">
        <v>9</v>
      </c>
      <c r="G22" s="19">
        <v>2479</v>
      </c>
      <c r="M22" s="2"/>
      <c r="N22" s="2"/>
      <c r="O22" s="2"/>
      <c r="U22" s="2"/>
      <c r="V22" s="2"/>
      <c r="W22" s="2"/>
    </row>
    <row r="23" spans="1:23">
      <c r="A23" s="11">
        <v>45149</v>
      </c>
      <c r="B23" s="11">
        <v>45111</v>
      </c>
      <c r="C23" s="11">
        <v>45143</v>
      </c>
      <c r="D23" s="12">
        <v>33</v>
      </c>
      <c r="E23" s="12">
        <v>409907</v>
      </c>
      <c r="F23" s="15" t="s">
        <v>9</v>
      </c>
      <c r="G23" s="19">
        <v>748</v>
      </c>
      <c r="M23" s="2"/>
      <c r="N23" s="2"/>
      <c r="O23" s="2"/>
      <c r="U23" s="2"/>
      <c r="V23" s="2"/>
      <c r="W23" s="2"/>
    </row>
    <row r="24" spans="1:23">
      <c r="A24" s="11">
        <v>45113</v>
      </c>
      <c r="B24" s="11">
        <v>45082</v>
      </c>
      <c r="C24" s="11">
        <v>45110</v>
      </c>
      <c r="D24" s="12">
        <v>29</v>
      </c>
      <c r="E24" s="12">
        <v>409159</v>
      </c>
      <c r="F24" s="15" t="s">
        <v>9</v>
      </c>
      <c r="G24" s="19">
        <v>1660</v>
      </c>
      <c r="M24" s="2"/>
      <c r="N24" s="2"/>
      <c r="O24" s="2"/>
      <c r="U24" s="2"/>
      <c r="V24" s="2"/>
      <c r="W24" s="2"/>
    </row>
    <row r="25" spans="1:23">
      <c r="A25" s="11">
        <v>45089</v>
      </c>
      <c r="B25" s="11">
        <v>45051</v>
      </c>
      <c r="C25" s="11">
        <v>45081</v>
      </c>
      <c r="D25" s="12">
        <v>31</v>
      </c>
      <c r="E25" s="12">
        <v>407499</v>
      </c>
      <c r="F25" s="15" t="s">
        <v>9</v>
      </c>
      <c r="G25" s="19">
        <v>3787</v>
      </c>
      <c r="M25" s="2"/>
      <c r="N25" s="2"/>
      <c r="O25" s="2"/>
      <c r="U25" s="2"/>
      <c r="V25" s="2"/>
      <c r="W25" s="2"/>
    </row>
    <row r="26" spans="1:23">
      <c r="A26" s="11">
        <v>45057</v>
      </c>
      <c r="B26" s="11">
        <v>45022</v>
      </c>
      <c r="C26" s="11">
        <v>45050</v>
      </c>
      <c r="D26" s="12">
        <v>29</v>
      </c>
      <c r="E26" s="12">
        <v>403712</v>
      </c>
      <c r="F26" s="15" t="s">
        <v>9</v>
      </c>
      <c r="G26" s="19">
        <v>16997</v>
      </c>
      <c r="M26" s="2"/>
      <c r="N26" s="2"/>
      <c r="O26" s="2"/>
      <c r="U26" s="2"/>
      <c r="V26" s="2"/>
      <c r="W26" s="2"/>
    </row>
    <row r="27" spans="1:23">
      <c r="A27" s="11">
        <v>45026</v>
      </c>
      <c r="B27" s="11">
        <v>44993</v>
      </c>
      <c r="C27" s="11">
        <v>45021</v>
      </c>
      <c r="D27" s="12">
        <v>29</v>
      </c>
      <c r="E27" s="12">
        <v>386715</v>
      </c>
      <c r="F27" s="15" t="s">
        <v>9</v>
      </c>
      <c r="G27" s="19">
        <v>25079</v>
      </c>
      <c r="M27" s="2"/>
      <c r="N27" s="2"/>
      <c r="O27" s="2"/>
      <c r="U27" s="2"/>
      <c r="V27" s="2"/>
      <c r="W27" s="2"/>
    </row>
    <row r="28" spans="1:23">
      <c r="A28" s="11">
        <v>44999</v>
      </c>
      <c r="B28" s="11">
        <v>44968</v>
      </c>
      <c r="C28" s="11">
        <v>44992</v>
      </c>
      <c r="D28" s="12">
        <v>25</v>
      </c>
      <c r="E28" s="12">
        <v>361636</v>
      </c>
      <c r="F28" s="15" t="s">
        <v>9</v>
      </c>
      <c r="G28" s="19">
        <v>17453</v>
      </c>
      <c r="M28" s="2"/>
      <c r="N28" s="2"/>
      <c r="O28" s="2"/>
      <c r="U28" s="2"/>
      <c r="V28" s="2"/>
      <c r="W28" s="2"/>
    </row>
    <row r="29" spans="1:23">
      <c r="A29" s="11">
        <v>44970</v>
      </c>
      <c r="B29" s="11">
        <v>44933</v>
      </c>
      <c r="C29" s="11">
        <v>44967</v>
      </c>
      <c r="D29" s="12">
        <v>35</v>
      </c>
      <c r="E29" s="12">
        <v>344183</v>
      </c>
      <c r="F29" s="15" t="s">
        <v>9</v>
      </c>
      <c r="G29" s="19">
        <v>37322</v>
      </c>
      <c r="M29" s="2"/>
      <c r="N29" s="2"/>
      <c r="O29" s="2"/>
      <c r="U29" s="2"/>
      <c r="V29" s="2"/>
      <c r="W29" s="2"/>
    </row>
    <row r="30" spans="1:23">
      <c r="A30" s="11">
        <v>44938</v>
      </c>
      <c r="B30" s="11">
        <v>44902</v>
      </c>
      <c r="C30" s="11">
        <v>44932</v>
      </c>
      <c r="D30" s="12">
        <v>31</v>
      </c>
      <c r="E30" s="12">
        <v>306861</v>
      </c>
      <c r="F30" s="15" t="s">
        <v>9</v>
      </c>
      <c r="G30" s="19">
        <v>30302</v>
      </c>
      <c r="M30" s="2"/>
      <c r="N30" s="2"/>
      <c r="O30" s="2"/>
      <c r="U30" s="2"/>
      <c r="V30" s="2"/>
      <c r="W30" s="2"/>
    </row>
    <row r="31" spans="1:23">
      <c r="A31" s="11">
        <v>44907</v>
      </c>
      <c r="B31" s="11">
        <v>44872</v>
      </c>
      <c r="C31" s="11">
        <v>44901</v>
      </c>
      <c r="D31" s="12">
        <v>30</v>
      </c>
      <c r="E31" s="12">
        <v>276559</v>
      </c>
      <c r="F31" s="15" t="s">
        <v>9</v>
      </c>
      <c r="G31" s="19">
        <v>19056</v>
      </c>
      <c r="M31" s="2"/>
      <c r="N31" s="2"/>
      <c r="O31" s="2"/>
      <c r="U31" s="2"/>
      <c r="V31" s="2"/>
      <c r="W31" s="2"/>
    </row>
    <row r="32" spans="1:23">
      <c r="A32" s="11">
        <v>44880</v>
      </c>
      <c r="B32" s="11">
        <v>44840</v>
      </c>
      <c r="C32" s="11">
        <v>44871</v>
      </c>
      <c r="D32" s="12">
        <v>32</v>
      </c>
      <c r="E32" s="12">
        <v>257503</v>
      </c>
      <c r="F32" s="15" t="s">
        <v>9</v>
      </c>
      <c r="G32" s="19">
        <v>17291</v>
      </c>
      <c r="M32" s="2"/>
      <c r="N32" s="2"/>
      <c r="O32" s="2"/>
      <c r="U32" s="2"/>
      <c r="V32" s="2"/>
      <c r="W32" s="2"/>
    </row>
    <row r="33" spans="1:23">
      <c r="A33" s="11">
        <v>44847</v>
      </c>
      <c r="B33" s="11">
        <v>44809</v>
      </c>
      <c r="C33" s="11">
        <v>44839</v>
      </c>
      <c r="D33" s="12">
        <v>31</v>
      </c>
      <c r="E33" s="12">
        <v>240212</v>
      </c>
      <c r="F33" s="15" t="s">
        <v>9</v>
      </c>
      <c r="G33" s="19">
        <v>8946</v>
      </c>
      <c r="M33" s="2"/>
      <c r="N33" s="2"/>
      <c r="O33" s="2"/>
      <c r="U33" s="2"/>
      <c r="V33" s="2"/>
      <c r="W33" s="2"/>
    </row>
    <row r="34" spans="1:23">
      <c r="A34" s="11">
        <v>44816</v>
      </c>
      <c r="B34" s="11">
        <v>44776</v>
      </c>
      <c r="C34" s="11">
        <v>44808</v>
      </c>
      <c r="D34" s="12">
        <v>33</v>
      </c>
      <c r="E34" s="12">
        <v>231266</v>
      </c>
      <c r="F34" s="15" t="s">
        <v>9</v>
      </c>
      <c r="G34" s="19">
        <v>5572</v>
      </c>
      <c r="M34" s="2"/>
      <c r="N34" s="2"/>
      <c r="O34" s="2"/>
      <c r="U34" s="2"/>
      <c r="V34" s="2"/>
      <c r="W34" s="2"/>
    </row>
    <row r="35" spans="1:23">
      <c r="A35" s="11">
        <v>44783</v>
      </c>
      <c r="B35" s="11">
        <v>44746</v>
      </c>
      <c r="C35" s="11">
        <v>44775</v>
      </c>
      <c r="D35" s="12">
        <v>30</v>
      </c>
      <c r="E35" s="12">
        <v>225694</v>
      </c>
      <c r="F35" s="15" t="s">
        <v>9</v>
      </c>
      <c r="G35" s="19">
        <v>2654</v>
      </c>
      <c r="M35" s="2"/>
      <c r="N35" s="2"/>
      <c r="O35" s="2"/>
      <c r="U35" s="2"/>
      <c r="V35" s="2"/>
      <c r="W35" s="2"/>
    </row>
    <row r="36" spans="1:23">
      <c r="A36" s="11">
        <v>44756</v>
      </c>
      <c r="B36" s="11">
        <v>44720</v>
      </c>
      <c r="C36" s="11">
        <v>44745</v>
      </c>
      <c r="D36" s="12">
        <v>26</v>
      </c>
      <c r="E36" s="12">
        <v>223040</v>
      </c>
      <c r="F36" s="15" t="s">
        <v>9</v>
      </c>
      <c r="G36" s="19">
        <v>1079</v>
      </c>
      <c r="M36" s="2"/>
      <c r="N36" s="2"/>
      <c r="O36" s="2"/>
      <c r="U36" s="2"/>
      <c r="V36" s="2"/>
      <c r="W36" s="2"/>
    </row>
    <row r="37" spans="1:23">
      <c r="A37" s="11">
        <v>44726</v>
      </c>
      <c r="B37" s="11">
        <v>44687</v>
      </c>
      <c r="C37" s="11">
        <v>44719</v>
      </c>
      <c r="D37" s="12">
        <v>33</v>
      </c>
      <c r="E37" s="12">
        <v>221961</v>
      </c>
      <c r="F37" s="15" t="s">
        <v>10</v>
      </c>
      <c r="G37" s="19">
        <v>2858</v>
      </c>
      <c r="M37" s="2"/>
      <c r="N37" s="2"/>
      <c r="O37" s="2"/>
      <c r="U37" s="2"/>
      <c r="V37" s="2"/>
      <c r="W37" s="2"/>
    </row>
    <row r="38" spans="1:23">
      <c r="A38" s="11">
        <v>44692</v>
      </c>
      <c r="B38" s="11">
        <v>44657</v>
      </c>
      <c r="C38" s="11">
        <v>44686</v>
      </c>
      <c r="D38" s="12">
        <v>30</v>
      </c>
      <c r="E38" s="12">
        <v>219103</v>
      </c>
      <c r="F38" s="15" t="s">
        <v>9</v>
      </c>
      <c r="G38" s="19">
        <v>16473</v>
      </c>
      <c r="M38" s="2"/>
      <c r="N38" s="2"/>
      <c r="O38" s="2"/>
      <c r="U38" s="2"/>
      <c r="V38" s="2"/>
      <c r="W38" s="2"/>
    </row>
    <row r="39" spans="1:23">
      <c r="A39" s="11">
        <v>44663</v>
      </c>
      <c r="B39" s="11">
        <v>44625</v>
      </c>
      <c r="C39" s="11">
        <v>44656</v>
      </c>
      <c r="D39" s="12">
        <v>32</v>
      </c>
      <c r="E39" s="12">
        <v>202630</v>
      </c>
      <c r="F39" s="15" t="s">
        <v>9</v>
      </c>
      <c r="G39" s="19">
        <v>24121</v>
      </c>
      <c r="M39" s="2"/>
      <c r="N39" s="2"/>
      <c r="O39" s="2"/>
      <c r="U39" s="2"/>
      <c r="V39" s="2"/>
      <c r="W39" s="2"/>
    </row>
    <row r="40" spans="1:23">
      <c r="A40" s="11">
        <v>44628</v>
      </c>
      <c r="B40" s="11">
        <v>44596</v>
      </c>
      <c r="C40" s="11">
        <v>44624</v>
      </c>
      <c r="D40" s="12">
        <v>29</v>
      </c>
      <c r="E40" s="12">
        <v>178509</v>
      </c>
      <c r="F40" s="15" t="s">
        <v>9</v>
      </c>
      <c r="G40" s="19">
        <v>27458</v>
      </c>
      <c r="M40" s="2"/>
      <c r="N40" s="2"/>
      <c r="O40" s="2"/>
      <c r="U40" s="2"/>
      <c r="V40" s="2"/>
      <c r="W40" s="2"/>
    </row>
    <row r="41" spans="1:23">
      <c r="A41" s="11">
        <v>44602</v>
      </c>
      <c r="B41" s="11">
        <v>44565</v>
      </c>
      <c r="C41" s="11">
        <v>44595</v>
      </c>
      <c r="D41" s="12">
        <v>31</v>
      </c>
      <c r="E41" s="12">
        <v>151051</v>
      </c>
      <c r="F41" s="15" t="s">
        <v>9</v>
      </c>
      <c r="G41" s="19">
        <v>50480</v>
      </c>
      <c r="M41" s="2"/>
      <c r="N41" s="2"/>
      <c r="O41" s="2"/>
      <c r="U41" s="2"/>
      <c r="V41" s="2"/>
      <c r="W41" s="2"/>
    </row>
    <row r="42" spans="1:23">
      <c r="A42" s="11">
        <v>44566</v>
      </c>
      <c r="B42" s="11">
        <v>44535</v>
      </c>
      <c r="C42" s="11">
        <v>44564</v>
      </c>
      <c r="D42" s="12">
        <v>30</v>
      </c>
      <c r="E42" s="12">
        <v>100571</v>
      </c>
      <c r="F42" s="15" t="s">
        <v>9</v>
      </c>
      <c r="G42" s="19">
        <v>11818</v>
      </c>
      <c r="M42" s="2"/>
      <c r="N42" s="2"/>
      <c r="O42" s="2"/>
      <c r="U42" s="2"/>
      <c r="V42" s="2"/>
      <c r="W42" s="2"/>
    </row>
    <row r="43" spans="1:23">
      <c r="A43" s="11">
        <v>44538</v>
      </c>
      <c r="B43" s="11">
        <v>44504</v>
      </c>
      <c r="C43" s="11">
        <v>44534</v>
      </c>
      <c r="D43" s="12">
        <v>31</v>
      </c>
      <c r="E43" s="12">
        <v>88753</v>
      </c>
      <c r="F43" s="15" t="s">
        <v>9</v>
      </c>
      <c r="G43" s="19">
        <v>20396</v>
      </c>
      <c r="M43" s="2"/>
      <c r="N43" s="2"/>
      <c r="O43" s="2"/>
      <c r="U43" s="2"/>
      <c r="V43" s="2"/>
      <c r="W43" s="2"/>
    </row>
    <row r="44" spans="1:23">
      <c r="A44" s="11">
        <v>44509</v>
      </c>
      <c r="B44" s="11">
        <v>44474</v>
      </c>
      <c r="C44" s="11">
        <v>44503</v>
      </c>
      <c r="D44" s="12">
        <v>30</v>
      </c>
      <c r="E44" s="12">
        <v>68357</v>
      </c>
      <c r="F44" s="15" t="s">
        <v>9</v>
      </c>
      <c r="G44" s="19">
        <v>14960</v>
      </c>
      <c r="M44" s="2"/>
      <c r="N44" s="2"/>
      <c r="O44" s="2"/>
      <c r="U44" s="2"/>
      <c r="V44" s="2"/>
      <c r="W44" s="2"/>
    </row>
    <row r="45" spans="1:23">
      <c r="A45" s="11">
        <v>44481</v>
      </c>
      <c r="B45" s="11">
        <v>44443</v>
      </c>
      <c r="C45" s="11">
        <v>44473</v>
      </c>
      <c r="D45" s="12">
        <v>31</v>
      </c>
      <c r="E45" s="12">
        <v>53397</v>
      </c>
      <c r="F45" s="15" t="s">
        <v>9</v>
      </c>
      <c r="G45" s="19">
        <v>2108</v>
      </c>
      <c r="M45" s="2"/>
      <c r="O45" s="2"/>
      <c r="U45" s="2"/>
      <c r="W45" s="2"/>
    </row>
    <row r="46" spans="1:23">
      <c r="A46" s="11">
        <v>44447</v>
      </c>
      <c r="B46" s="11">
        <v>44410</v>
      </c>
      <c r="C46" s="11">
        <v>44442</v>
      </c>
      <c r="D46" s="12">
        <v>33</v>
      </c>
      <c r="E46" s="12">
        <v>51289</v>
      </c>
      <c r="F46" s="15" t="s">
        <v>9</v>
      </c>
      <c r="G46" s="19">
        <v>125</v>
      </c>
      <c r="M46" s="2"/>
      <c r="O46" s="2"/>
      <c r="U46" s="2"/>
      <c r="W46" s="2"/>
    </row>
    <row r="47" spans="1:23">
      <c r="A47" s="11">
        <v>44417</v>
      </c>
      <c r="B47" s="11">
        <v>44380</v>
      </c>
      <c r="C47" s="11">
        <v>44409</v>
      </c>
      <c r="D47" s="12">
        <v>30</v>
      </c>
      <c r="E47" s="12">
        <v>51164</v>
      </c>
      <c r="F47" s="15" t="s">
        <v>9</v>
      </c>
      <c r="G47" s="19">
        <v>354</v>
      </c>
      <c r="M47" s="2"/>
      <c r="O47" s="2"/>
      <c r="U47" s="2"/>
      <c r="W47" s="2"/>
    </row>
    <row r="48" spans="1:23">
      <c r="A48" s="11">
        <v>44389</v>
      </c>
      <c r="B48" s="11">
        <v>44351</v>
      </c>
      <c r="C48" s="11">
        <v>44379</v>
      </c>
      <c r="D48" s="12">
        <v>29</v>
      </c>
      <c r="E48" s="12">
        <v>50810</v>
      </c>
      <c r="F48" s="15" t="s">
        <v>9</v>
      </c>
      <c r="G48" s="19">
        <v>283</v>
      </c>
      <c r="M48" s="2"/>
      <c r="O48" s="2"/>
      <c r="U48" s="2"/>
      <c r="W48" s="2"/>
    </row>
    <row r="49" spans="1:23">
      <c r="A49" s="11">
        <v>44357</v>
      </c>
      <c r="B49" s="11">
        <v>44318</v>
      </c>
      <c r="C49" s="11">
        <v>44350</v>
      </c>
      <c r="D49" s="12">
        <v>33</v>
      </c>
      <c r="E49" s="12">
        <v>50527</v>
      </c>
      <c r="F49" s="15" t="s">
        <v>9</v>
      </c>
      <c r="G49" s="5">
        <v>1028</v>
      </c>
      <c r="M49" s="2"/>
      <c r="O49" s="2"/>
      <c r="U49" s="2"/>
      <c r="W49" s="2"/>
    </row>
    <row r="50" spans="1:23">
      <c r="A50" s="11">
        <v>44321</v>
      </c>
      <c r="B50" s="11">
        <v>44289</v>
      </c>
      <c r="C50" s="11">
        <v>44317</v>
      </c>
      <c r="D50" s="12">
        <v>29</v>
      </c>
      <c r="E50" s="12">
        <v>49499</v>
      </c>
      <c r="F50" s="15" t="s">
        <v>9</v>
      </c>
      <c r="G50" s="5">
        <v>1442</v>
      </c>
      <c r="M50" s="2"/>
      <c r="O50" s="2"/>
      <c r="U50" s="2"/>
      <c r="W50" s="2"/>
    </row>
    <row r="51" spans="1:23">
      <c r="A51" s="11">
        <v>44299</v>
      </c>
      <c r="B51" s="11">
        <v>44257</v>
      </c>
      <c r="C51" s="11">
        <v>44288</v>
      </c>
      <c r="D51" s="12">
        <v>32</v>
      </c>
      <c r="E51" s="12">
        <v>48057</v>
      </c>
      <c r="F51" s="15" t="s">
        <v>9</v>
      </c>
      <c r="G51" s="5">
        <v>4195</v>
      </c>
      <c r="M51" s="2"/>
      <c r="O51" s="2"/>
      <c r="U51" s="2"/>
      <c r="W51" s="2"/>
    </row>
    <row r="52" spans="1:23">
      <c r="A52" s="11">
        <v>44265</v>
      </c>
      <c r="B52" s="11">
        <v>44230</v>
      </c>
      <c r="C52" s="11">
        <v>44256</v>
      </c>
      <c r="D52" s="12">
        <v>27</v>
      </c>
      <c r="E52" s="12">
        <v>43862</v>
      </c>
      <c r="F52" s="15" t="s">
        <v>9</v>
      </c>
      <c r="G52" s="5">
        <v>14062</v>
      </c>
      <c r="M52" s="2"/>
      <c r="O52" s="2"/>
      <c r="U52" s="2"/>
      <c r="W52" s="2"/>
    </row>
    <row r="53" spans="1:23">
      <c r="A53" s="11">
        <v>44236</v>
      </c>
      <c r="B53" s="11">
        <v>44200</v>
      </c>
      <c r="C53" s="11">
        <v>44229</v>
      </c>
      <c r="D53" s="12">
        <v>30</v>
      </c>
      <c r="E53" s="12">
        <v>29800</v>
      </c>
      <c r="F53" s="15" t="s">
        <v>9</v>
      </c>
      <c r="G53" s="5">
        <v>4833</v>
      </c>
      <c r="M53" s="2"/>
      <c r="O53" s="2"/>
      <c r="U53" s="2"/>
      <c r="W53" s="2"/>
    </row>
    <row r="54" spans="1:23">
      <c r="A54" s="11">
        <v>44208</v>
      </c>
      <c r="B54" s="11">
        <v>44169</v>
      </c>
      <c r="C54" s="11">
        <v>44199</v>
      </c>
      <c r="D54" s="12">
        <v>31</v>
      </c>
      <c r="E54" s="12">
        <v>24967</v>
      </c>
      <c r="F54" s="15" t="s">
        <v>9</v>
      </c>
      <c r="G54" s="5">
        <v>7751</v>
      </c>
      <c r="M54" s="2"/>
      <c r="O54" s="2"/>
      <c r="U54" s="2"/>
      <c r="W54" s="2"/>
    </row>
    <row r="55" spans="1:23">
      <c r="A55" s="11">
        <v>44175</v>
      </c>
      <c r="B55" s="11">
        <v>44139</v>
      </c>
      <c r="C55" s="11">
        <v>44168</v>
      </c>
      <c r="D55" s="12">
        <v>30</v>
      </c>
      <c r="E55" s="12">
        <v>17216</v>
      </c>
      <c r="F55" s="15" t="s">
        <v>9</v>
      </c>
      <c r="G55" s="5">
        <v>2190</v>
      </c>
      <c r="M55" s="2"/>
      <c r="O55" s="2"/>
      <c r="U55" s="2"/>
      <c r="W55" s="2"/>
    </row>
    <row r="56" spans="1:23">
      <c r="A56" s="11">
        <v>44146</v>
      </c>
      <c r="B56" s="11">
        <v>44108</v>
      </c>
      <c r="C56" s="11">
        <v>44138</v>
      </c>
      <c r="D56" s="12">
        <v>31</v>
      </c>
      <c r="E56" s="12">
        <v>15026</v>
      </c>
      <c r="F56" s="15" t="s">
        <v>9</v>
      </c>
      <c r="G56" s="5">
        <v>1003</v>
      </c>
      <c r="M56" s="2"/>
      <c r="O56" s="2"/>
      <c r="U56" s="2"/>
      <c r="W56" s="2"/>
    </row>
    <row r="57" spans="1:23">
      <c r="A57" s="11">
        <v>44111</v>
      </c>
      <c r="B57" s="11">
        <v>44078</v>
      </c>
      <c r="C57" s="11">
        <v>44107</v>
      </c>
      <c r="D57" s="12">
        <v>30</v>
      </c>
      <c r="E57" s="12">
        <v>14023</v>
      </c>
      <c r="F57" s="15" t="s">
        <v>9</v>
      </c>
      <c r="G57" s="5">
        <v>462</v>
      </c>
      <c r="M57" s="2"/>
      <c r="O57" s="2"/>
      <c r="U57" s="2"/>
      <c r="W57" s="2"/>
    </row>
    <row r="58" spans="1:23">
      <c r="A58" s="11">
        <v>44085</v>
      </c>
      <c r="B58" s="11">
        <v>44047</v>
      </c>
      <c r="C58" s="11">
        <v>44077</v>
      </c>
      <c r="D58" s="12">
        <v>31</v>
      </c>
      <c r="E58" s="12">
        <v>13561</v>
      </c>
      <c r="F58" s="15" t="s">
        <v>9</v>
      </c>
      <c r="G58" s="5">
        <v>4711</v>
      </c>
      <c r="M58" s="2"/>
      <c r="O58" s="2"/>
      <c r="U58" s="2"/>
      <c r="W58" s="2"/>
    </row>
    <row r="59" spans="1:23">
      <c r="A59" s="11">
        <v>44055</v>
      </c>
      <c r="B59" s="11">
        <v>44016</v>
      </c>
      <c r="C59" s="11">
        <v>44046</v>
      </c>
      <c r="D59" s="12">
        <v>31</v>
      </c>
      <c r="E59" s="12">
        <v>8850</v>
      </c>
      <c r="F59" s="15" t="s">
        <v>9</v>
      </c>
      <c r="G59" s="5">
        <v>3300</v>
      </c>
      <c r="M59" s="2"/>
      <c r="O59" s="2"/>
      <c r="U59" s="2"/>
      <c r="W59" s="2"/>
    </row>
    <row r="60" spans="1:23">
      <c r="A60" s="11">
        <v>44027</v>
      </c>
      <c r="B60" s="11">
        <v>43986</v>
      </c>
      <c r="C60" s="11">
        <v>44015</v>
      </c>
      <c r="D60" s="12">
        <v>30</v>
      </c>
      <c r="E60" s="12">
        <v>5550</v>
      </c>
      <c r="F60" s="15" t="s">
        <v>9</v>
      </c>
      <c r="G60" s="5">
        <v>1425</v>
      </c>
      <c r="M60" s="2"/>
      <c r="O60" s="2"/>
      <c r="U60" s="2"/>
      <c r="W60" s="2"/>
    </row>
    <row r="61" spans="1:23">
      <c r="A61" s="11">
        <v>43991</v>
      </c>
      <c r="B61" s="11">
        <v>43955</v>
      </c>
      <c r="C61" s="11">
        <v>43985</v>
      </c>
      <c r="D61" s="12">
        <v>31</v>
      </c>
      <c r="E61" s="12">
        <v>4125</v>
      </c>
      <c r="F61" s="15" t="s">
        <v>9</v>
      </c>
      <c r="G61" s="5">
        <v>3668</v>
      </c>
      <c r="M61" s="2"/>
      <c r="O61" s="2"/>
      <c r="U61" s="2"/>
      <c r="W61" s="2"/>
    </row>
    <row r="62" spans="1:23">
      <c r="A62" s="11">
        <v>43959</v>
      </c>
      <c r="B62" s="11">
        <v>43925</v>
      </c>
      <c r="C62" s="11">
        <v>43954</v>
      </c>
      <c r="D62" s="12">
        <v>30</v>
      </c>
      <c r="E62" s="12">
        <v>457</v>
      </c>
      <c r="F62" s="15" t="s">
        <v>9</v>
      </c>
      <c r="G62" s="5">
        <v>4419</v>
      </c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tabSelected="1" zoomScale="130" zoomScaleNormal="130" workbookViewId="0">
      <selection activeCell="A32" sqref="A32"/>
    </sheetView>
  </sheetViews>
  <sheetFormatPr defaultColWidth="10.625" defaultRowHeight="15.95"/>
  <cols>
    <col min="1" max="1" width="47" customWidth="1"/>
    <col min="2" max="2" width="10.125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Toronto</v>
      </c>
    </row>
    <row r="5" spans="1:3">
      <c r="A5" s="25" t="s">
        <v>12</v>
      </c>
      <c r="B5" s="25"/>
    </row>
    <row r="6" spans="1:3">
      <c r="A6" t="s">
        <v>13</v>
      </c>
      <c r="B6" s="7">
        <f>SUM(WorkingData!$G$2:$G$133)/SUM(WorkingData!$I$2:$I$133)</f>
        <v>421.76893095768372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91.747297297297294</v>
      </c>
    </row>
    <row r="8" spans="1:3">
      <c r="A8" t="s">
        <v>15</v>
      </c>
      <c r="B8" s="7">
        <f>SUMPRODUCT(WorkingData!$G$2:$G$133,WorkingData!$Q$2:$Q$133)/SUMPRODUCT(WorkingData!$I$2:$I$133,WorkingData!$Q$2:$Q$133)</f>
        <v>653.03409090909088</v>
      </c>
    </row>
    <row r="9" spans="1:3">
      <c r="A9" t="s">
        <v>16</v>
      </c>
      <c r="B9" s="13">
        <f>SUMPRODUCT(WorkingData!$G$2:$G$133,WorkingData!$Q$2:$Q$133)/SUMPRODUCT(WorkingData!$M$2:$M$133,WorkingData!$Q$2:$Q$133)</f>
        <v>43.319555264685434</v>
      </c>
    </row>
    <row r="10" spans="1:3">
      <c r="A10" t="s">
        <v>17</v>
      </c>
      <c r="B10" s="7">
        <f>_xlfn.XLOOKUP(MAX(WorkingData!$O$2:$O$133),WorkingData!$O$2:$O$133,WorkingData!$N$2:$N$133)</f>
        <v>1628.3870967741937</v>
      </c>
    </row>
    <row r="11" spans="1:3">
      <c r="A11" t="s">
        <v>18</v>
      </c>
      <c r="B11" s="14">
        <f>_xlfn.XLOOKUP(MAX(WorkingData!$O$2:$O$133),WorkingData!$O$2:$O$133,WorkingData!$O$2:$O$133)</f>
        <v>25.961290303737886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>
        <f>'DDD Model Summary'!$B$6+(C15-5)*'DDD Model Summary'!$B$5</f>
        <v>1910.3864732551103</v>
      </c>
      <c r="C15" s="14">
        <f>'DDD Model Calculations'!D26</f>
        <v>38.799999237060547</v>
      </c>
    </row>
    <row r="16" spans="1:3">
      <c r="A16" t="s">
        <v>24</v>
      </c>
      <c r="B16" s="7">
        <f>'DDD Model Summary'!$B$6+(C16-5)*'DDD Model Summary'!$B$5</f>
        <v>1928.2325268567067</v>
      </c>
      <c r="C16" s="14">
        <f>'DDD Model Calculations'!D25</f>
        <v>39.200000762939453</v>
      </c>
    </row>
    <row r="17" spans="1:3">
      <c r="A17" t="s">
        <v>25</v>
      </c>
      <c r="B17" s="7">
        <f>'DDD Model Summary'!$B$6+(C17-5)*'DDD Model Summary'!$B$5</f>
        <v>1977.3089189722261</v>
      </c>
      <c r="C17" s="14">
        <f>'DDD Model Calculations'!D24</f>
        <v>40.299999237060547</v>
      </c>
    </row>
    <row r="18" spans="1:3">
      <c r="A18" t="s">
        <v>26</v>
      </c>
      <c r="B18" s="7">
        <f>'DDD Model Summary'!$B$6+(C18-5)*'DDD Model Summary'!$B$5</f>
        <v>2142.3843191129608</v>
      </c>
      <c r="C18" s="14">
        <f>'DDD Model Calculations'!D21</f>
        <v>44</v>
      </c>
    </row>
    <row r="19" spans="1:3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11" zoomScale="130" zoomScaleNormal="130" workbookViewId="0">
      <selection activeCell="B1" sqref="B1:B1048576"/>
    </sheetView>
  </sheetViews>
  <sheetFormatPr defaultColWidth="10.625" defaultRowHeight="15.95"/>
  <cols>
    <col min="1" max="1" width="40" customWidth="1"/>
    <col min="2" max="2" width="12.875" style="6" customWidth="1"/>
  </cols>
  <sheetData>
    <row r="1" spans="1:2">
      <c r="A1" t="s">
        <v>27</v>
      </c>
    </row>
    <row r="3" spans="1:2">
      <c r="A3" t="s">
        <v>0</v>
      </c>
      <c r="B3" s="6" t="str">
        <f>'DDD Model Calculations'!D19</f>
        <v>Toronto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2 years</v>
      </c>
    </row>
    <row r="5" spans="1:2">
      <c r="A5" t="s">
        <v>29</v>
      </c>
      <c r="B5" s="23">
        <f>_xlfn.XLOOKUP(MAX('DDD Model Calculations'!$D$14:$G$14),'DDD Model Calculations'!$D$14:$G$14,'DDD Model Calculations'!$D12:$G12)</f>
        <v>44.614963811410476</v>
      </c>
    </row>
    <row r="6" spans="1:2">
      <c r="A6" t="s">
        <v>30</v>
      </c>
      <c r="B6" s="23">
        <f>_xlfn.XLOOKUP(MAX('DDD Model Calculations'!$D$14:$G$14),'DDD Model Calculations'!$D$14:$G$14,'DDD Model Calculations'!$D13:$G13)</f>
        <v>402.40073046795237</v>
      </c>
    </row>
    <row r="7" spans="1:2">
      <c r="A7" t="s">
        <v>31</v>
      </c>
      <c r="B7" s="23">
        <f>_xlfn.XLOOKUP(MAX('DDD Model Calculations'!$D$14:$G$14),'DDD Model Calculations'!$D$14:$G$14,'DDD Model Calculations'!$D14:$G14)</f>
        <v>0.84378970329180669</v>
      </c>
    </row>
    <row r="8" spans="1:2">
      <c r="A8" t="s">
        <v>26</v>
      </c>
      <c r="B8" s="24">
        <f>B6+(B10)*B5</f>
        <v>2142.3843191129608</v>
      </c>
    </row>
    <row r="9" spans="1:2">
      <c r="A9" t="s">
        <v>32</v>
      </c>
      <c r="B9" s="6">
        <f>'DDD Model Calculations'!D21</f>
        <v>44</v>
      </c>
    </row>
    <row r="10" spans="1:2">
      <c r="A10" t="s">
        <v>33</v>
      </c>
      <c r="B10" s="6">
        <f>B9-5</f>
        <v>39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61"/>
  <sheetViews>
    <sheetView workbookViewId="0">
      <selection activeCell="A32" sqref="A32"/>
    </sheetView>
  </sheetViews>
  <sheetFormatPr defaultColWidth="10.625" defaultRowHeight="15.95"/>
  <cols>
    <col min="3" max="3" width="18.375" customWidth="1"/>
    <col min="10" max="10" width="18.875" customWidth="1"/>
    <col min="16" max="16" width="43.875" customWidth="1"/>
  </cols>
  <sheetData>
    <row r="1" spans="2:29">
      <c r="C1" s="6" t="s">
        <v>34</v>
      </c>
      <c r="D1" s="25" t="s">
        <v>35</v>
      </c>
      <c r="E1" s="26"/>
      <c r="F1" s="26"/>
      <c r="G1" s="26"/>
      <c r="J1" s="6" t="s">
        <v>36</v>
      </c>
      <c r="K1" s="25" t="s">
        <v>35</v>
      </c>
      <c r="L1" s="26"/>
      <c r="M1" s="26"/>
      <c r="N1" s="26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7</v>
      </c>
      <c r="E3">
        <f>SUMPRODUCT(WorkingData!$Q$2:$Q$133,WorkingData!U$2:U$133,WorkingData!AG$2:AG$133)</f>
        <v>13</v>
      </c>
      <c r="F3">
        <f>SUMPRODUCT(WorkingData!$Q$2:$Q$133,WorkingData!V$2:V$133,WorkingData!AH$2:AH$133)</f>
        <v>24</v>
      </c>
      <c r="G3">
        <f>SUMPRODUCT(WorkingData!$Q$2:$Q$133,WorkingData!W$2:W$133,WorkingData!AI$2:AI$133)</f>
        <v>34</v>
      </c>
      <c r="J3" t="s">
        <v>42</v>
      </c>
      <c r="K3">
        <f>SUMPRODUCT(WorkingData!$Q$2:$Q$133,WorkingData!T$2:T$133)</f>
        <v>7</v>
      </c>
      <c r="L3">
        <f>SUMPRODUCT(WorkingData!$Q$2:$Q$133,WorkingData!U$2:U$133)</f>
        <v>14</v>
      </c>
      <c r="M3">
        <f>SUMPRODUCT(WorkingData!$Q$2:$Q$133,WorkingData!V$2:V$133)</f>
        <v>27</v>
      </c>
      <c r="N3">
        <f>SUMPRODUCT(WorkingData!$Q$2:$Q$133,WorkingData!W$2:W$133)</f>
        <v>35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>
        <f>SUMPRODUCT(WorkingData!$Q$2:$Q$133,WorkingData!T$2:T$133,WorkingData!$N$2:$N$133,WorkingData!AF$2:AF$133)/D$3</f>
        <v>767.83255866306479</v>
      </c>
      <c r="E4" s="3">
        <f>SUMPRODUCT(WorkingData!$Q$2:$Q$133,WorkingData!U$2:U$133,WorkingData!$N$2:$N$133,WorkingData!AG$2:AG$133)/E$3</f>
        <v>817.65153660762667</v>
      </c>
      <c r="F4" s="3">
        <f>SUMPRODUCT(WorkingData!$Q$2:$Q$133,WorkingData!V$2:V$133,WorkingData!$N$2:$N$133,WorkingData!AH$2:AH$133)/F$3</f>
        <v>784.08602267510639</v>
      </c>
      <c r="G4" s="3">
        <f>SUMPRODUCT(WorkingData!$Q$2:$Q$133,WorkingData!W$2:W$133,WorkingData!$N$2:$N$133,WorkingData!AI$2:AI$133)/G$3</f>
        <v>666.86824876245771</v>
      </c>
      <c r="I4" t="s">
        <v>45</v>
      </c>
      <c r="J4" t="s">
        <v>46</v>
      </c>
      <c r="K4" s="3">
        <f>SUMPRODUCT(WorkingData!$Q$2:$Q$133,WorkingData!T$2:T$133,WorkingData!$N$2:$N$133)/K$3</f>
        <v>767.83255866306479</v>
      </c>
      <c r="L4" s="3">
        <f>SUMPRODUCT(WorkingData!$Q$2:$Q$133,WorkingData!U$2:U$133,WorkingData!$N$2:$N$133)/L$3</f>
        <v>806.23307709624453</v>
      </c>
      <c r="M4" s="3">
        <f>SUMPRODUCT(WorkingData!$Q$2:$Q$133,WorkingData!V$2:V$133,WorkingData!$N$2:$N$133)/M$3</f>
        <v>796.22881769475396</v>
      </c>
      <c r="N4" s="3">
        <f>SUMPRODUCT(WorkingData!$Q$2:$Q$133,WorkingData!W$2:W$133,WorkingData!$N$2:$N$133)/N$3</f>
        <v>652.41772736924452</v>
      </c>
      <c r="P4" s="3" t="s">
        <v>47</v>
      </c>
      <c r="Q4" cm="1">
        <f t="array" aca="1" ref="Q4:Q61" ca="1">OFFSET(WorkingData!$P$2,0,0,COUNTIF(WorkingData!$P$2:$P$132,"&gt;=-5"))</f>
        <v>9.676666648934285</v>
      </c>
      <c r="R4" cm="1">
        <f t="array" aca="1" ref="R4:R61" ca="1">OFFSET(WorkingData!$O$2,0,0,COUNTIF(WorkingData!$O$2:$O$132,"&gt;=0"))</f>
        <v>14.676666648934285</v>
      </c>
      <c r="S4" cm="1">
        <f t="array" aca="1" ref="S4:S61" ca="1">OFFSET(WorkingData!$N$2,0,0,COUNTIF(WorkingData!$N$2:$N$132,"&gt;=0"))</f>
        <v>644.93333333333328</v>
      </c>
      <c r="U4" cm="1">
        <f t="array" ref="U4:Z16">_xlfn._xlws.FILTER(WorkingData!N2:S132,(WorkingData!Q2:Q132=1)*(WorkingData!R2:R132&lt;=D23)*(WorkingData!S2:S132=1))</f>
        <v>644.93333333333328</v>
      </c>
      <c r="V4">
        <v>14.676666648934285</v>
      </c>
      <c r="W4">
        <v>9.676666648934285</v>
      </c>
      <c r="X4">
        <v>1</v>
      </c>
      <c r="Y4">
        <v>1</v>
      </c>
      <c r="Z4">
        <v>1</v>
      </c>
      <c r="AB4" cm="1">
        <f t="array" aca="1" ref="AB4:AB16" ca="1">OFFSET(W4,0,0,COUNTIF(W4:W134,"&gt;=0"))</f>
        <v>9.676666648934285</v>
      </c>
      <c r="AC4" cm="1">
        <f t="array" aca="1" ref="AC4:AC16" ca="1">OFFSET(U4,0,0,COUNTIF(U4:U134,"&gt;=0"))</f>
        <v>644.93333333333328</v>
      </c>
    </row>
    <row r="5" spans="2:29">
      <c r="B5" t="s">
        <v>48</v>
      </c>
      <c r="C5" t="s">
        <v>49</v>
      </c>
      <c r="D5" s="3">
        <f>SUMPRODUCT(WorkingData!$Q$2:$Q$133,WorkingData!T$2:T$133,WorkingData!$P$2:$P$133,WorkingData!AF$2:AF$133)/D$3</f>
        <v>10.659673737928921</v>
      </c>
      <c r="E5" s="3">
        <f>SUMPRODUCT(WorkingData!$Q$2:$Q$133,WorkingData!U$2:U$133,WorkingData!$P$2:$P$133,WorkingData!AG$2:AG$133)/E$3</f>
        <v>9.3074334408284791</v>
      </c>
      <c r="F5" s="3">
        <f>SUMPRODUCT(WorkingData!$Q$2:$Q$133,WorkingData!V$2:V$133,WorkingData!$P$2:$P$133,WorkingData!AH$2:AH$133)/F$3</f>
        <v>9.5672168234937285</v>
      </c>
      <c r="G5" s="3">
        <f>SUMPRODUCT(WorkingData!$Q$2:$Q$133,WorkingData!W$2:W$133,WorkingData!$P$2:$P$133,WorkingData!AI$2:AI$133)/G$3</f>
        <v>9.9487552140660682</v>
      </c>
      <c r="I5" t="s">
        <v>48</v>
      </c>
      <c r="J5" t="s">
        <v>49</v>
      </c>
      <c r="K5" s="3">
        <f>SUMPRODUCT(WorkingData!$Q$2:$Q$133,WorkingData!T$2:T$133,WorkingData!$P$2:$P$133)/K$3</f>
        <v>10.659673737928921</v>
      </c>
      <c r="L5" s="3">
        <f>SUMPRODUCT(WorkingData!$Q$2:$Q$133,WorkingData!U$2:U$133,WorkingData!$P$2:$P$133)/L$3</f>
        <v>9.89951331891608</v>
      </c>
      <c r="M5" s="3">
        <f>SUMPRODUCT(WorkingData!$Q$2:$Q$133,WorkingData!V$2:V$133,WorkingData!$P$2:$P$133)/M$3</f>
        <v>10.384112806934732</v>
      </c>
      <c r="N5" s="3">
        <f>SUMPRODUCT(WorkingData!$Q$2:$Q$133,WorkingData!W$2:W$133,WorkingData!$P$2:$P$133)/N$3</f>
        <v>10.123743160503984</v>
      </c>
      <c r="Q5">
        <f ca="1"/>
        <v>17.596551734054909</v>
      </c>
      <c r="R5">
        <f ca="1"/>
        <v>22.596551734054909</v>
      </c>
      <c r="S5">
        <f ca="1"/>
        <v>657.79310344827582</v>
      </c>
      <c r="U5">
        <v>1348.9</v>
      </c>
      <c r="V5">
        <v>24.043333304673432</v>
      </c>
      <c r="W5">
        <v>19.043333304673432</v>
      </c>
      <c r="X5">
        <v>1</v>
      </c>
      <c r="Y5">
        <v>1</v>
      </c>
      <c r="Z5">
        <v>1</v>
      </c>
      <c r="AB5">
        <f ca="1"/>
        <v>19.043333304673432</v>
      </c>
      <c r="AC5">
        <f ca="1"/>
        <v>1348.9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64624.294069860436</v>
      </c>
      <c r="E6" s="3">
        <f>SUMPRODUCT(WorkingData!$Q$2:$Q$133,WorkingData!U$2:U$133,WorkingData!$N$2:$N$133,WorkingData!$P$2:$P$133,WorkingData!AG$2:AG$133)</f>
        <v>112816.49689130408</v>
      </c>
      <c r="F6" s="3">
        <f>SUMPRODUCT(WorkingData!$Q$2:$Q$133,WorkingData!V$2:V$133,WorkingData!$N$2:$N$133,WorkingData!$P$2:$P$133,WorkingData!AH$2:AH$133)</f>
        <v>202368.86607681465</v>
      </c>
      <c r="G6" s="3">
        <f>SUMPRODUCT(WorkingData!$Q$2:$Q$133,WorkingData!W$2:W$133,WorkingData!$N$2:$N$133,WorkingData!$P$2:$P$133,WorkingData!AI$2:AI$133)</f>
        <v>267877.64302269311</v>
      </c>
      <c r="J6" t="s">
        <v>50</v>
      </c>
      <c r="K6" s="3">
        <f>SUMPRODUCT(WorkingData!$Q$2:$Q$133,WorkingData!T$2:T$133,WorkingData!$N$2:$N$133,WorkingData!$P$2:$P$133)</f>
        <v>64624.294069860436</v>
      </c>
      <c r="L6" s="3">
        <f>SUMPRODUCT(WorkingData!$Q$2:$Q$133,WorkingData!U$2:U$133,WorkingData!$N$2:$N$133,WorkingData!$P$2:$P$133)</f>
        <v>124391.38726643621</v>
      </c>
      <c r="M6" s="3">
        <f>SUMPRODUCT(WorkingData!$Q$2:$Q$133,WorkingData!V$2:V$133,WorkingData!$N$2:$N$133,WorkingData!$P$2:$P$133)</f>
        <v>252882.83777528387</v>
      </c>
      <c r="N6" s="3">
        <f>SUMPRODUCT(WorkingData!$Q$2:$Q$133,WorkingData!W$2:W$133,WorkingData!$N$2:$N$133,WorkingData!$P$2:$P$133)</f>
        <v>270467.05702366936</v>
      </c>
      <c r="Q6">
        <f ca="1"/>
        <v>19.043333304673432</v>
      </c>
      <c r="R6">
        <f ca="1"/>
        <v>24.043333304673432</v>
      </c>
      <c r="S6">
        <f ca="1"/>
        <v>1348.9</v>
      </c>
      <c r="U6">
        <v>858.61290322580646</v>
      </c>
      <c r="V6">
        <v>18.709677396282071</v>
      </c>
      <c r="W6">
        <v>13.709677396282071</v>
      </c>
      <c r="X6">
        <v>1</v>
      </c>
      <c r="Y6">
        <v>1</v>
      </c>
      <c r="Z6">
        <v>1</v>
      </c>
      <c r="AB6">
        <f ca="1"/>
        <v>13.709677396282071</v>
      </c>
      <c r="AC6">
        <f ca="1"/>
        <v>858.61290322580646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1046.5932904313397</v>
      </c>
      <c r="E7" s="3">
        <f>SUMPRODUCT(WorkingData!$Q$2:$Q$133,WorkingData!U$2:U$133,WorkingData!$P$2:$P$133,WorkingData!$P$2:$P$133,WorkingData!AG$2:AG$133)</f>
        <v>1437.3509964626996</v>
      </c>
      <c r="F7" s="3">
        <f>SUMPRODUCT(WorkingData!$Q$2:$Q$133,WorkingData!V$2:V$133,WorkingData!$P$2:$P$133,WorkingData!$P$2:$P$133,WorkingData!AH$2:AH$133)</f>
        <v>2775.7975962879636</v>
      </c>
      <c r="G7" s="3">
        <f>SUMPRODUCT(WorkingData!$Q$2:$Q$133,WorkingData!W$2:W$133,WorkingData!$P$2:$P$133,WorkingData!$P$2:$P$133,WorkingData!AI$2:AI$133)</f>
        <v>4357.9188387946797</v>
      </c>
      <c r="J7" t="s">
        <v>51</v>
      </c>
      <c r="K7" s="3">
        <f>SUMPRODUCT(WorkingData!$Q$2:$Q$133,WorkingData!T$2:T$133,WorkingData!$P$2:$P$133,WorkingData!$P$2:$P$133)</f>
        <v>1046.5932904313397</v>
      </c>
      <c r="L7" s="3">
        <f>SUMPRODUCT(WorkingData!$Q$2:$Q$133,WorkingData!U$2:U$133,WorkingData!$P$2:$P$133,WorkingData!$P$2:$P$133)</f>
        <v>1746.9896293919705</v>
      </c>
      <c r="M7" s="3">
        <f>SUMPRODUCT(WorkingData!$Q$2:$Q$133,WorkingData!V$2:V$133,WorkingData!$P$2:$P$133,WorkingData!$P$2:$P$133)</f>
        <v>3673.6519200633415</v>
      </c>
      <c r="N7" s="3">
        <f>SUMPRODUCT(WorkingData!$Q$2:$Q$133,WorkingData!W$2:W$133,WorkingData!$P$2:$P$133,WorkingData!$P$2:$P$133)</f>
        <v>4616.2708834339264</v>
      </c>
      <c r="Q7">
        <f ca="1"/>
        <v>13.709677396282071</v>
      </c>
      <c r="R7">
        <f ca="1"/>
        <v>18.709677396282071</v>
      </c>
      <c r="S7">
        <f ca="1"/>
        <v>858.61290322580646</v>
      </c>
      <c r="U7">
        <v>661.31034482758616</v>
      </c>
      <c r="V7">
        <v>13.475862115878483</v>
      </c>
      <c r="W7">
        <v>8.475862115878483</v>
      </c>
      <c r="X7">
        <v>1</v>
      </c>
      <c r="Y7">
        <v>1</v>
      </c>
      <c r="Z7">
        <v>1</v>
      </c>
      <c r="AB7">
        <f ca="1"/>
        <v>8.475862115878483</v>
      </c>
      <c r="AC7">
        <f ca="1"/>
        <v>661.31034482758616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4568603.6050116001</v>
      </c>
      <c r="E8" s="3">
        <f>SUMPRODUCT(WorkingData!$Q$2:$Q$133,WorkingData!U$2:U$133,WorkingData!$N$2:$N$133,WorkingData!$N$2:$N$133,WorkingData!AG$2:AG$133)</f>
        <v>9425281.0421939529</v>
      </c>
      <c r="F8" s="3">
        <f>SUMPRODUCT(WorkingData!$Q$2:$Q$133,WorkingData!V$2:V$133,WorkingData!$N$2:$N$133,WorkingData!$N$2:$N$133,WorkingData!AH$2:AH$133)</f>
        <v>15896258.9097463</v>
      </c>
      <c r="G8" s="3">
        <f>SUMPRODUCT(WorkingData!$Q$2:$Q$133,WorkingData!W$2:W$133,WorkingData!$N$2:$N$133,WorkingData!$N$2:$N$133,WorkingData!AI$2:AI$133)</f>
        <v>19509577.016006149</v>
      </c>
      <c r="J8" t="s">
        <v>52</v>
      </c>
      <c r="K8" s="3">
        <f>SUMPRODUCT(WorkingData!$Q$2:$Q$133,WorkingData!T$2:T$133,WorkingData!$N$2:$N$133,WorkingData!$N$2:$N$133)</f>
        <v>4568603.6050116001</v>
      </c>
      <c r="L8" s="3">
        <f>SUMPRODUCT(WorkingData!$Q$2:$Q$133,WorkingData!U$2:U$133,WorkingData!$N$2:$N$133,WorkingData!$N$2:$N$133)</f>
        <v>9857972.8091380689</v>
      </c>
      <c r="M8" s="3">
        <f>SUMPRODUCT(WorkingData!$Q$2:$Q$133,WorkingData!V$2:V$133,WorkingData!$N$2:$N$133,WorkingData!$N$2:$N$133)</f>
        <v>19135778.684742212</v>
      </c>
      <c r="N8" s="3">
        <f>SUMPRODUCT(WorkingData!$Q$2:$Q$133,WorkingData!W$2:W$133,WorkingData!$N$2:$N$133,WorkingData!$N$2:$N$133)</f>
        <v>19535530.22600615</v>
      </c>
      <c r="Q8">
        <f ca="1"/>
        <v>8.475862115878483</v>
      </c>
      <c r="R8">
        <f ca="1"/>
        <v>13.475862115878483</v>
      </c>
      <c r="S8">
        <f ca="1"/>
        <v>661.31034482758616</v>
      </c>
      <c r="U8">
        <v>570.375</v>
      </c>
      <c r="V8">
        <v>7.0156250149011612</v>
      </c>
      <c r="W8">
        <v>2.0156250149011612</v>
      </c>
      <c r="X8">
        <v>1</v>
      </c>
      <c r="Y8">
        <v>1</v>
      </c>
      <c r="Z8">
        <v>1</v>
      </c>
      <c r="AB8">
        <f ca="1"/>
        <v>2.0156250149011612</v>
      </c>
      <c r="AC8">
        <f ca="1"/>
        <v>570.375</v>
      </c>
    </row>
    <row r="9" spans="2:29">
      <c r="C9" t="s">
        <v>53</v>
      </c>
      <c r="D9" s="3">
        <f t="shared" ref="D9:G10" si="0">D4*D$3</f>
        <v>5374.8279106414539</v>
      </c>
      <c r="E9" s="3">
        <f t="shared" si="0"/>
        <v>10629.469975899146</v>
      </c>
      <c r="F9" s="3">
        <f t="shared" si="0"/>
        <v>18818.064544202552</v>
      </c>
      <c r="G9" s="3">
        <f t="shared" si="0"/>
        <v>22673.520457923561</v>
      </c>
      <c r="J9" t="s">
        <v>53</v>
      </c>
      <c r="K9" s="3">
        <f t="shared" ref="K9:N10" si="1">K4*K$3</f>
        <v>5374.8279106414539</v>
      </c>
      <c r="L9" s="3">
        <f t="shared" si="1"/>
        <v>11287.263079347424</v>
      </c>
      <c r="M9" s="3">
        <f t="shared" si="1"/>
        <v>21498.178077758355</v>
      </c>
      <c r="N9" s="3">
        <f t="shared" si="1"/>
        <v>22834.620457923556</v>
      </c>
      <c r="Q9">
        <f ca="1"/>
        <v>2.0156250149011612</v>
      </c>
      <c r="R9">
        <f ca="1"/>
        <v>7.0156250149011612</v>
      </c>
      <c r="S9">
        <f ca="1"/>
        <v>570.375</v>
      </c>
      <c r="U9">
        <v>632.90322580645159</v>
      </c>
      <c r="V9">
        <v>9.0999999507781002</v>
      </c>
      <c r="W9">
        <v>4.0999999507781002</v>
      </c>
      <c r="X9">
        <v>1</v>
      </c>
      <c r="Y9">
        <v>1</v>
      </c>
      <c r="Z9">
        <v>1</v>
      </c>
      <c r="AB9">
        <f ca="1"/>
        <v>4.0999999507781002</v>
      </c>
      <c r="AC9">
        <f ca="1"/>
        <v>632.90322580645159</v>
      </c>
    </row>
    <row r="10" spans="2:29">
      <c r="C10" t="s">
        <v>54</v>
      </c>
      <c r="D10" s="3">
        <f t="shared" si="0"/>
        <v>74.617716165502443</v>
      </c>
      <c r="E10" s="3">
        <f t="shared" si="0"/>
        <v>120.99663473077023</v>
      </c>
      <c r="F10" s="3">
        <f t="shared" si="0"/>
        <v>229.61320376384947</v>
      </c>
      <c r="G10" s="3">
        <f t="shared" si="0"/>
        <v>338.25767727824632</v>
      </c>
      <c r="J10" t="s">
        <v>54</v>
      </c>
      <c r="K10" s="3">
        <f t="shared" si="1"/>
        <v>74.617716165502443</v>
      </c>
      <c r="L10" s="3">
        <f t="shared" si="1"/>
        <v>138.59318646482512</v>
      </c>
      <c r="M10" s="3">
        <f t="shared" si="1"/>
        <v>280.37104578723779</v>
      </c>
      <c r="N10" s="3">
        <f t="shared" si="1"/>
        <v>354.33101061763944</v>
      </c>
      <c r="Q10">
        <f ca="1"/>
        <v>-4.1999999582767487</v>
      </c>
      <c r="R10">
        <f ca="1"/>
        <v>0.80000004172325134</v>
      </c>
      <c r="S10">
        <f ca="1"/>
        <v>242.28125</v>
      </c>
      <c r="U10">
        <v>835.56666666666672</v>
      </c>
      <c r="V10">
        <v>14.236666651318471</v>
      </c>
      <c r="W10">
        <v>9.2366666513184708</v>
      </c>
      <c r="X10">
        <v>1</v>
      </c>
      <c r="Y10">
        <v>2</v>
      </c>
      <c r="Z10">
        <v>1</v>
      </c>
      <c r="AB10">
        <f ca="1"/>
        <v>9.2366666513184708</v>
      </c>
      <c r="AC10">
        <f ca="1"/>
        <v>835.56666666666672</v>
      </c>
    </row>
    <row r="11" spans="2:29">
      <c r="J11" t="s">
        <v>55</v>
      </c>
      <c r="K11" s="8">
        <f>IF(K3&gt;=3,SQRT(SUMPRODUCT(WorkingData!X$2:X$133,WorkingData!X$2:X$133,WorkingData!$Q$2:$Q$133,WorkingData!T$2:T$133)/('DDD Model Calculations'!K3-2)),"Insufficient Data")</f>
        <v>213.40963185463912</v>
      </c>
      <c r="L11" s="8">
        <f>IF(L3&gt;=3,SQRT(SUMPRODUCT(WorkingData!Y$2:Y$133,WorkingData!Y$2:Y$133,WorkingData!$Q$2:$Q$133,WorkingData!U$2:U$133)/('DDD Model Calculations'!L3-2)),"Insufficient Data")</f>
        <v>166.04790474431192</v>
      </c>
      <c r="M11" s="8">
        <f>IF(M3&gt;=3,SQRT(SUMPRODUCT(WorkingData!Z$2:Z$133,WorkingData!Z$2:Z$133,WorkingData!$Q$2:$Q$133,WorkingData!V$2:V$133)/('DDD Model Calculations'!M3-2)),"Insufficient Data")</f>
        <v>186.06437742107329</v>
      </c>
      <c r="N11" s="8">
        <f>IF(N3&gt;=3,SQRT(SUMPRODUCT(WorkingData!AA$2:AA$133,WorkingData!AA$2:AA$133,WorkingData!$Q$2:$Q$133,WorkingData!W$2:W$133)/('DDD Model Calculations'!N3-2)),"Insufficient Data")</f>
        <v>308.33811689738377</v>
      </c>
      <c r="P11" s="8" t="s">
        <v>56</v>
      </c>
      <c r="Q11">
        <f ca="1"/>
        <v>-4.6724137931034484</v>
      </c>
      <c r="R11">
        <f ca="1"/>
        <v>0.32758620689655171</v>
      </c>
      <c r="S11">
        <f ca="1"/>
        <v>99.241379310344826</v>
      </c>
      <c r="U11">
        <v>1022.25</v>
      </c>
      <c r="V11">
        <v>17.639285718756064</v>
      </c>
      <c r="W11">
        <v>12.639285718756064</v>
      </c>
      <c r="X11">
        <v>1</v>
      </c>
      <c r="Y11">
        <v>2</v>
      </c>
      <c r="Z11">
        <v>1</v>
      </c>
      <c r="AB11">
        <f ca="1"/>
        <v>12.639285718756064</v>
      </c>
      <c r="AC11">
        <f ca="1"/>
        <v>1022.25</v>
      </c>
    </row>
    <row r="12" spans="2:29">
      <c r="B12" s="6" t="s">
        <v>29</v>
      </c>
      <c r="C12" t="s">
        <v>57</v>
      </c>
      <c r="D12" s="9">
        <f>IF(D3&gt;=3,(D$3*D6-D9*D10)/(D$3*D7-D10^2),"Insufficient Data")</f>
        <v>29.182296221356047</v>
      </c>
      <c r="E12" s="9">
        <f>IF(E3&gt;=3,(E$3*E6-E9*E10)/(E$3*E7-E10^2),"Insufficient Data")</f>
        <v>44.614963811410476</v>
      </c>
      <c r="F12" s="9">
        <f>IF(F3&gt;=3,(F$3*F6-F9*F10)/(F$3*F7-F10^2),"Insufficient Data")</f>
        <v>38.568023490695865</v>
      </c>
      <c r="G12" s="9">
        <f>IF(G3&gt;=3,(G$3*G6-G9*G10)/(G$3*G7-G10^2),"Insufficient Data")</f>
        <v>42.616460751592285</v>
      </c>
      <c r="I12" s="6" t="s">
        <v>29</v>
      </c>
      <c r="J12" t="s">
        <v>57</v>
      </c>
      <c r="K12" s="9">
        <f>IF(K3&gt;=3,(K$3*K6-K9*K10)/(K$3*K7-K10^2),"Insufficient Data")</f>
        <v>29.182296221356047</v>
      </c>
      <c r="L12" s="9">
        <f>IF(L3&gt;=3,(L$3*L6-L9*L10)/(L$3*L7-L10^2),"Insufficient Data")</f>
        <v>33.742661173015755</v>
      </c>
      <c r="M12" s="9">
        <f>IF(M3&gt;=3,(M$3*M6-M9*M10)/(M$3*M7-M10^2),"Insufficient Data")</f>
        <v>38.88938592305378</v>
      </c>
      <c r="N12" s="9">
        <f>IF(N3&gt;=3,(N$3*N6-N9*N10)/(N$3*N7-N10^2),"Insufficient Data")</f>
        <v>38.183521121382228</v>
      </c>
      <c r="P12" s="9" t="s">
        <v>58</v>
      </c>
      <c r="Q12">
        <f ca="1"/>
        <v>-5</v>
      </c>
      <c r="R12">
        <f ca="1"/>
        <v>0</v>
      </c>
      <c r="S12">
        <f ca="1"/>
        <v>39.766666666666666</v>
      </c>
      <c r="U12">
        <v>1169.3</v>
      </c>
      <c r="V12">
        <v>19.920000010977187</v>
      </c>
      <c r="W12">
        <v>14.920000010977187</v>
      </c>
      <c r="X12">
        <v>1</v>
      </c>
      <c r="Y12">
        <v>2</v>
      </c>
      <c r="Z12">
        <v>1</v>
      </c>
      <c r="AB12">
        <f ca="1"/>
        <v>14.920000010977187</v>
      </c>
      <c r="AC12">
        <f ca="1"/>
        <v>1169.3</v>
      </c>
    </row>
    <row r="13" spans="2:29">
      <c r="B13" s="6" t="s">
        <v>59</v>
      </c>
      <c r="C13" t="s">
        <v>60</v>
      </c>
      <c r="D13" s="9">
        <f>IF(D3&gt;=3,D4-D5*D12,"Insufficient Data")</f>
        <v>456.75880201981334</v>
      </c>
      <c r="E13" s="9">
        <f>IF(E3&gt;=3,E4-E5*E12,"Insufficient Data")</f>
        <v>402.40073046795237</v>
      </c>
      <c r="F13" s="9">
        <f>IF(F3&gt;=3,F4-F5*F12,"Insufficient Data")</f>
        <v>415.09737948601958</v>
      </c>
      <c r="G13" s="9">
        <f>IF(G3&gt;=3,G4-G5*G12,"Insufficient Data")</f>
        <v>242.88751265501202</v>
      </c>
      <c r="I13" s="6" t="s">
        <v>59</v>
      </c>
      <c r="J13" t="s">
        <v>60</v>
      </c>
      <c r="K13" s="9">
        <f>IF(K3&gt;=3,K4-K5*K12,"Insufficient Data")</f>
        <v>456.75880201981334</v>
      </c>
      <c r="L13" s="9">
        <f>IF(L3&gt;=3,L4-L5*L12,"Insufficient Data")</f>
        <v>472.19715339830259</v>
      </c>
      <c r="M13" s="9">
        <f>IF(M3&gt;=3,M4-M5*M12,"Insufficient Data")</f>
        <v>392.39704727734392</v>
      </c>
      <c r="N13" s="9">
        <f>IF(N3&gt;=3,N4-N5*N12,"Insufficient Data")</f>
        <v>265.85756657269178</v>
      </c>
      <c r="Q13">
        <f ca="1"/>
        <v>-4.4062500596046448</v>
      </c>
      <c r="R13">
        <f ca="1"/>
        <v>0.59374994039535522</v>
      </c>
      <c r="S13">
        <f ca="1"/>
        <v>98</v>
      </c>
      <c r="U13">
        <v>950.54838709677415</v>
      </c>
      <c r="V13">
        <v>15.790322554447959</v>
      </c>
      <c r="W13">
        <v>10.790322554447959</v>
      </c>
      <c r="X13">
        <v>1</v>
      </c>
      <c r="Y13">
        <v>2</v>
      </c>
      <c r="Z13">
        <v>1</v>
      </c>
      <c r="AB13">
        <f ca="1"/>
        <v>10.790322554447959</v>
      </c>
      <c r="AC13">
        <f ca="1"/>
        <v>950.54838709677415</v>
      </c>
    </row>
    <row r="14" spans="2:29">
      <c r="C14" t="s">
        <v>61</v>
      </c>
      <c r="D14" s="10">
        <f>IF(D3&gt;=3,(((D6/D3)-D4*D5)/SQRT((D7/D3-D5^2)*(D8/D3-D4^2)))^2,"Insufficient Data")</f>
        <v>0.48437516432049843</v>
      </c>
      <c r="E14" s="10">
        <f>IF(E3&gt;=3,(((E6/E3)-E4*E5)/SQRT((E7/E3-E5^2)*(E8/E3-E4^2)))^2,"Insufficient Data")</f>
        <v>0.84378970329180669</v>
      </c>
      <c r="F14" s="10">
        <f>IF(F3&gt;=3,(((F6/F3)-F4*F5)/SQRT((F7/F3-F5^2)*(F8/F3-F4^2)))^2,"Insufficient Data")</f>
        <v>0.75469380301532529</v>
      </c>
      <c r="G14" s="10">
        <f>IF(G3&gt;=3,(((G6/G3)-G4*G5)/SQRT((G7/G3-G5^2)*(G8/G3-G4^2)))^2,"Insufficient Data")</f>
        <v>0.41073757355424945</v>
      </c>
      <c r="J14" t="s">
        <v>61</v>
      </c>
      <c r="K14">
        <f>IF(K3&gt;=3,(((K6/K3)-K4*K5)/SQRT((K7/K3-K5^2)*(K8/K3-K4^2)))^2,"Insufficient Data")</f>
        <v>0.48437516432049843</v>
      </c>
      <c r="L14">
        <f>IF(L3&gt;=3,(((L6/L3)-L4*L5)/SQRT((L7/L3-L5^2)*(L8/L3-L4^2)))^2,"Insufficient Data")</f>
        <v>0.56339482367540761</v>
      </c>
      <c r="M14">
        <f>IF(M3&gt;=3,(((M6/M3)-M4*M5)/SQRT((M7/M3-M5^2)*(M8/M3-M4^2)))^2,"Insufficient Data")</f>
        <v>0.57117642398820834</v>
      </c>
      <c r="N14">
        <f>IF(N3&gt;=3,(((N6/N3)-N4*N5)/SQRT((N7/N3-N5^2)*(N8/N3-N4^2)))^2,"Insufficient Data")</f>
        <v>0.32352060637324631</v>
      </c>
      <c r="P14" s="10" t="s">
        <v>62</v>
      </c>
      <c r="Q14">
        <f ca="1"/>
        <v>-3.0156249403953552</v>
      </c>
      <c r="R14">
        <f ca="1"/>
        <v>1.9843750596046448</v>
      </c>
      <c r="S14">
        <f ca="1"/>
        <v>52.3125</v>
      </c>
      <c r="U14">
        <v>780.23333333333335</v>
      </c>
      <c r="V14">
        <v>14.630000007152557</v>
      </c>
      <c r="W14">
        <v>9.6300000071525567</v>
      </c>
      <c r="X14">
        <v>1</v>
      </c>
      <c r="Y14">
        <v>2</v>
      </c>
      <c r="Z14">
        <v>1</v>
      </c>
      <c r="AB14">
        <f ca="1"/>
        <v>9.6300000071525567</v>
      </c>
      <c r="AC14">
        <f ca="1"/>
        <v>780.23333333333335</v>
      </c>
    </row>
    <row r="15" spans="2:29">
      <c r="C15" t="s">
        <v>63</v>
      </c>
      <c r="D15">
        <f>IF(D3&gt;=3,D13+D12*($D$21-5),"Insufficient Data")</f>
        <v>1594.8683546526993</v>
      </c>
      <c r="E15">
        <f>IF(E3&gt;=3,E13+E12*($D$21-5),"Insufficient Data")</f>
        <v>2142.3843191129608</v>
      </c>
      <c r="F15">
        <f>IF(F3&gt;=3,F13+F12*($D$21-5),"Insufficient Data")</f>
        <v>1919.2502956231583</v>
      </c>
      <c r="G15">
        <f>IF(G3&gt;=3,G13+G12*($D$21-5),"Insufficient Data")</f>
        <v>1904.9294819671111</v>
      </c>
      <c r="J15" t="s">
        <v>63</v>
      </c>
      <c r="K15">
        <f>IF(K3&gt;=3,K13+K12*($D$21-5),"Insufficient Data")</f>
        <v>1594.8683546526993</v>
      </c>
      <c r="L15">
        <f>IF(L3&gt;=3,L13+L12*($D$21-5),"Insufficient Data")</f>
        <v>1788.1609391459169</v>
      </c>
      <c r="M15">
        <f>IF(M3&gt;=3,M13+M12*($D$21-5),"Insufficient Data")</f>
        <v>1909.0830982764414</v>
      </c>
      <c r="N15">
        <f>IF(N3&gt;=3,N13+N12*($D$21-5),"Insufficient Data")</f>
        <v>1755.0148903065988</v>
      </c>
      <c r="Q15">
        <f ca="1"/>
        <v>4.0999999507781002</v>
      </c>
      <c r="R15">
        <f ca="1"/>
        <v>9.0999999507781002</v>
      </c>
      <c r="S15">
        <f ca="1"/>
        <v>632.90322580645159</v>
      </c>
      <c r="U15">
        <v>568.43333333333328</v>
      </c>
      <c r="V15">
        <v>7.7833332975705467</v>
      </c>
      <c r="W15">
        <v>2.7833332975705467</v>
      </c>
      <c r="X15">
        <v>1</v>
      </c>
      <c r="Y15">
        <v>2</v>
      </c>
      <c r="Z15">
        <v>1</v>
      </c>
      <c r="AB15">
        <f ca="1"/>
        <v>2.7833332975705467</v>
      </c>
      <c r="AC15">
        <f ca="1"/>
        <v>568.43333333333328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9.2366666513184708</v>
      </c>
      <c r="R16">
        <f ca="1"/>
        <v>14.236666651318471</v>
      </c>
      <c r="S16">
        <f ca="1"/>
        <v>835.56666666666672</v>
      </c>
      <c r="U16">
        <v>586.10344827586209</v>
      </c>
      <c r="V16">
        <v>8.9758620590999207</v>
      </c>
      <c r="W16">
        <v>3.9758620590999207</v>
      </c>
      <c r="X16">
        <v>1</v>
      </c>
      <c r="Y16">
        <v>2</v>
      </c>
      <c r="Z16">
        <v>1</v>
      </c>
      <c r="AB16">
        <f ca="1"/>
        <v>3.9758620590999207</v>
      </c>
      <c r="AC16">
        <f ca="1"/>
        <v>586.10344827586209</v>
      </c>
    </row>
    <row r="17" spans="3:19">
      <c r="J17" t="s">
        <v>65</v>
      </c>
      <c r="Q17">
        <f ca="1"/>
        <v>12.639285718756064</v>
      </c>
      <c r="R17">
        <f ca="1"/>
        <v>17.639285718756064</v>
      </c>
      <c r="S17">
        <f ca="1"/>
        <v>1022.25</v>
      </c>
    </row>
    <row r="18" spans="3:19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14.920000010977187</v>
      </c>
      <c r="R18">
        <f ca="1"/>
        <v>19.920000010977187</v>
      </c>
      <c r="S18">
        <f ca="1"/>
        <v>1169.3</v>
      </c>
    </row>
    <row r="19" spans="3:19">
      <c r="C19" t="s">
        <v>67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10.790322554447959</v>
      </c>
      <c r="R19">
        <f ca="1"/>
        <v>15.790322554447959</v>
      </c>
      <c r="S19">
        <f ca="1"/>
        <v>950.54838709677415</v>
      </c>
    </row>
    <row r="20" spans="3:19">
      <c r="C20" t="s">
        <v>73</v>
      </c>
      <c r="D20">
        <v>18</v>
      </c>
      <c r="G20" t="s">
        <v>74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9.6300000071525567</v>
      </c>
      <c r="R20">
        <f ca="1"/>
        <v>14.630000007152557</v>
      </c>
      <c r="S20">
        <f ca="1"/>
        <v>780.23333333333335</v>
      </c>
    </row>
    <row r="21" spans="3:19">
      <c r="C21" t="s">
        <v>69</v>
      </c>
      <c r="D21">
        <f>VLOOKUP(D19,$G$19:$I$22,3,FALSE)</f>
        <v>44</v>
      </c>
      <c r="G21" t="s">
        <v>75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2.7833332975705467</v>
      </c>
      <c r="R21">
        <f ca="1"/>
        <v>7.7833332975705467</v>
      </c>
      <c r="S21">
        <f ca="1"/>
        <v>568.43333333333328</v>
      </c>
    </row>
    <row r="22" spans="3:19">
      <c r="C22" t="s">
        <v>76</v>
      </c>
      <c r="D22">
        <f>VLOOKUP(D19,$G$19:$I$22,2,FALSE)</f>
        <v>2</v>
      </c>
      <c r="G22" t="s">
        <v>77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-4.1937499940395355</v>
      </c>
      <c r="R22">
        <f ca="1"/>
        <v>0.80625000596046448</v>
      </c>
      <c r="S22">
        <f ca="1"/>
        <v>240</v>
      </c>
    </row>
    <row r="23" spans="3:19">
      <c r="C23" t="s">
        <v>78</v>
      </c>
      <c r="D23">
        <f>_xlfn.XLOOKUP(MAX('DDD Model Calculations'!$D$14:$G$14),'DDD Model Calculations'!$D$14:$G$14,'DDD Model Calculations'!$D16:$G16)</f>
        <v>2</v>
      </c>
      <c r="Q23">
        <f ca="1"/>
        <v>-4.7517240458521348</v>
      </c>
      <c r="R23">
        <f ca="1"/>
        <v>0.24827595414786502</v>
      </c>
      <c r="S23">
        <f ca="1"/>
        <v>85.482758620689651</v>
      </c>
    </row>
    <row r="24" spans="3:19">
      <c r="C24" t="s">
        <v>70</v>
      </c>
      <c r="D24">
        <f>VLOOKUP($D$19,$G$19:$L22,4,FALSE)</f>
        <v>40.299999237060547</v>
      </c>
      <c r="Q24">
        <f ca="1"/>
        <v>-5</v>
      </c>
      <c r="R24">
        <f ca="1"/>
        <v>0</v>
      </c>
      <c r="S24">
        <f ca="1"/>
        <v>22.666666666666668</v>
      </c>
    </row>
    <row r="25" spans="3:19">
      <c r="C25" t="s">
        <v>79</v>
      </c>
      <c r="D25">
        <f>VLOOKUP($D$19,$G$19:$L23,5,FALSE)</f>
        <v>39.200000762939453</v>
      </c>
      <c r="Q25">
        <f ca="1"/>
        <v>-4.5137931560647901</v>
      </c>
      <c r="R25">
        <f ca="1"/>
        <v>0.48620684393521013</v>
      </c>
      <c r="S25">
        <f ca="1"/>
        <v>57.241379310344826</v>
      </c>
    </row>
    <row r="26" spans="3:19">
      <c r="C26" t="s">
        <v>80</v>
      </c>
      <c r="D26">
        <f>VLOOKUP($D$19,$G$19:$L24,6,FALSE)</f>
        <v>38.799999237060547</v>
      </c>
      <c r="Q26">
        <f ca="1"/>
        <v>-1.4032257756879254</v>
      </c>
      <c r="R26">
        <f ca="1"/>
        <v>3.5967742243120746</v>
      </c>
      <c r="S26">
        <f ca="1"/>
        <v>122.16129032258064</v>
      </c>
    </row>
    <row r="27" spans="3:19">
      <c r="Q27">
        <f ca="1"/>
        <v>3.9758620590999207</v>
      </c>
      <c r="R27">
        <f ca="1"/>
        <v>8.9758620590999207</v>
      </c>
      <c r="S27">
        <f ca="1"/>
        <v>586.10344827586209</v>
      </c>
    </row>
    <row r="28" spans="3:19">
      <c r="Q28">
        <f ca="1"/>
        <v>11.0620689844263</v>
      </c>
      <c r="R28">
        <f ca="1"/>
        <v>16.0620689844263</v>
      </c>
      <c r="S28">
        <f ca="1"/>
        <v>864.79310344827582</v>
      </c>
    </row>
    <row r="29" spans="3:19">
      <c r="Q29">
        <f ca="1"/>
        <v>13.28400001525879</v>
      </c>
      <c r="R29">
        <f ca="1"/>
        <v>18.28400001525879</v>
      </c>
      <c r="S29">
        <f ca="1"/>
        <v>698.12</v>
      </c>
    </row>
    <row r="30" spans="3:19">
      <c r="Q30">
        <f ca="1"/>
        <v>15.177142819336481</v>
      </c>
      <c r="R30">
        <f ca="1"/>
        <v>20.177142819336481</v>
      </c>
      <c r="S30">
        <f ca="1"/>
        <v>1066.3428571428572</v>
      </c>
    </row>
    <row r="31" spans="3:19">
      <c r="Q31">
        <f ca="1"/>
        <v>13.396774201143174</v>
      </c>
      <c r="R31">
        <f ca="1"/>
        <v>18.396774201143174</v>
      </c>
      <c r="S31">
        <f ca="1"/>
        <v>977.48387096774195</v>
      </c>
    </row>
    <row r="32" spans="3:19">
      <c r="Q32">
        <f ca="1"/>
        <v>9.916666661947966</v>
      </c>
      <c r="R32">
        <f ca="1"/>
        <v>14.916666661947966</v>
      </c>
      <c r="S32">
        <f ca="1"/>
        <v>635.20000000000005</v>
      </c>
    </row>
    <row r="33" spans="17:19">
      <c r="Q33">
        <f ca="1"/>
        <v>2.4218749850988388</v>
      </c>
      <c r="R33">
        <f ca="1"/>
        <v>7.4218749850988388</v>
      </c>
      <c r="S33">
        <f ca="1"/>
        <v>540.34375</v>
      </c>
    </row>
    <row r="34" spans="17:19">
      <c r="Q34">
        <f ca="1"/>
        <v>-2.4483871152324062</v>
      </c>
      <c r="R34">
        <f ca="1"/>
        <v>2.5516128847675938</v>
      </c>
      <c r="S34">
        <f ca="1"/>
        <v>288.58064516129031</v>
      </c>
    </row>
    <row r="35" spans="17:19">
      <c r="Q35">
        <f ca="1"/>
        <v>-5</v>
      </c>
      <c r="R35">
        <f ca="1"/>
        <v>0</v>
      </c>
      <c r="S35">
        <f ca="1"/>
        <v>168.84848484848484</v>
      </c>
    </row>
    <row r="36" spans="17:19">
      <c r="Q36">
        <f ca="1"/>
        <v>-5</v>
      </c>
      <c r="R36">
        <f ca="1"/>
        <v>0</v>
      </c>
      <c r="S36">
        <f ca="1"/>
        <v>88.466666666666669</v>
      </c>
    </row>
    <row r="37" spans="17:19">
      <c r="Q37">
        <f ca="1"/>
        <v>-3.5389830702442233</v>
      </c>
      <c r="R37">
        <f ca="1"/>
        <v>1.4610169297557767</v>
      </c>
      <c r="S37">
        <f ca="1"/>
        <v>66.728813559322035</v>
      </c>
    </row>
    <row r="38" spans="17:19">
      <c r="Q38">
        <f ca="1"/>
        <v>5.2033333698908493</v>
      </c>
      <c r="R38">
        <f ca="1"/>
        <v>10.203333369890849</v>
      </c>
      <c r="S38">
        <f ca="1"/>
        <v>549.1</v>
      </c>
    </row>
    <row r="39" spans="17:19">
      <c r="Q39">
        <f ca="1"/>
        <v>11.03749998123385</v>
      </c>
      <c r="R39">
        <f ca="1"/>
        <v>16.03749998123385</v>
      </c>
      <c r="S39">
        <f ca="1"/>
        <v>753.78125</v>
      </c>
    </row>
    <row r="40" spans="17:19">
      <c r="Q40">
        <f ca="1"/>
        <v>17.151724149440899</v>
      </c>
      <c r="R40">
        <f ca="1"/>
        <v>22.151724149440899</v>
      </c>
      <c r="S40">
        <f ca="1"/>
        <v>946.82758620689651</v>
      </c>
    </row>
    <row r="41" spans="17:19">
      <c r="Q41">
        <f ca="1"/>
        <v>20.961290303737886</v>
      </c>
      <c r="R41">
        <f ca="1"/>
        <v>25.961290303737886</v>
      </c>
      <c r="S41">
        <f ca="1"/>
        <v>1628.3870967741937</v>
      </c>
    </row>
    <row r="42" spans="17:19">
      <c r="Q42">
        <f ca="1"/>
        <v>12.199999985595543</v>
      </c>
      <c r="R42">
        <f ca="1"/>
        <v>17.199999985595543</v>
      </c>
      <c r="S42">
        <f ca="1"/>
        <v>393.93333333333334</v>
      </c>
    </row>
    <row r="43" spans="17:19">
      <c r="Q43">
        <f ca="1"/>
        <v>9.035483862123181</v>
      </c>
      <c r="R43">
        <f ca="1"/>
        <v>14.035483862123181</v>
      </c>
      <c r="S43">
        <f ca="1"/>
        <v>657.93548387096769</v>
      </c>
    </row>
    <row r="44" spans="17:19">
      <c r="Q44">
        <f ca="1"/>
        <v>0.93000000317891462</v>
      </c>
      <c r="R44">
        <f ca="1"/>
        <v>5.9300000031789146</v>
      </c>
      <c r="S44">
        <f ca="1"/>
        <v>498.66666666666669</v>
      </c>
    </row>
    <row r="45" spans="17:19">
      <c r="Q45">
        <f ca="1"/>
        <v>-3.6580645038235575</v>
      </c>
      <c r="R45">
        <f ca="1"/>
        <v>1.3419354961764427</v>
      </c>
      <c r="S45">
        <f ca="1"/>
        <v>68</v>
      </c>
    </row>
    <row r="46" spans="17:19">
      <c r="Q46">
        <f ca="1"/>
        <v>-4.9666666551069776</v>
      </c>
      <c r="R46">
        <f ca="1"/>
        <v>3.3333344893022018E-2</v>
      </c>
      <c r="S46">
        <f ca="1"/>
        <v>3.7878787878787881</v>
      </c>
    </row>
    <row r="47" spans="17:19">
      <c r="Q47">
        <f ca="1"/>
        <v>-4.8533333460489905</v>
      </c>
      <c r="R47">
        <f ca="1"/>
        <v>0.14666665395100911</v>
      </c>
      <c r="S47">
        <f ca="1"/>
        <v>11.8</v>
      </c>
    </row>
    <row r="48" spans="17:19">
      <c r="Q48">
        <f ca="1"/>
        <v>-4.7586206567698515</v>
      </c>
      <c r="R48">
        <f ca="1"/>
        <v>0.24137934323014884</v>
      </c>
      <c r="S48">
        <f ca="1"/>
        <v>9.7586206896551726</v>
      </c>
    </row>
    <row r="49" spans="17:19">
      <c r="Q49">
        <f ca="1"/>
        <v>-0.34242419040564354</v>
      </c>
      <c r="R49">
        <f ca="1"/>
        <v>4.6575758095943565</v>
      </c>
      <c r="S49">
        <f ca="1"/>
        <v>31.151515151515152</v>
      </c>
    </row>
    <row r="50" spans="17:19">
      <c r="Q50">
        <f ca="1"/>
        <v>4.5517240803817227</v>
      </c>
      <c r="R50">
        <f ca="1"/>
        <v>9.5517240803817227</v>
      </c>
      <c r="S50">
        <f ca="1"/>
        <v>49.724137931034484</v>
      </c>
    </row>
    <row r="51" spans="17:19">
      <c r="Q51">
        <f ca="1"/>
        <v>9.8875000067055225</v>
      </c>
      <c r="R51">
        <f ca="1"/>
        <v>14.887500006705523</v>
      </c>
      <c r="S51">
        <f ca="1"/>
        <v>131.09375</v>
      </c>
    </row>
    <row r="52" spans="17:19">
      <c r="Q52">
        <f ca="1"/>
        <v>17.97407406789285</v>
      </c>
      <c r="R52">
        <f ca="1"/>
        <v>22.97407406789285</v>
      </c>
      <c r="S52">
        <f ca="1"/>
        <v>520.81481481481478</v>
      </c>
    </row>
    <row r="53" spans="17:19">
      <c r="Q53">
        <f ca="1"/>
        <v>16.073333339393137</v>
      </c>
      <c r="R53">
        <f ca="1"/>
        <v>21.073333339393137</v>
      </c>
      <c r="S53">
        <f ca="1"/>
        <v>161.1</v>
      </c>
    </row>
    <row r="54" spans="17:19">
      <c r="Q54">
        <f ca="1"/>
        <v>13.399999992982035</v>
      </c>
      <c r="R54">
        <f ca="1"/>
        <v>18.399999992982035</v>
      </c>
      <c r="S54">
        <f ca="1"/>
        <v>250.03225806451613</v>
      </c>
    </row>
    <row r="55" spans="17:19">
      <c r="Q55">
        <f ca="1"/>
        <v>6.5733333334326751</v>
      </c>
      <c r="R55">
        <f ca="1"/>
        <v>11.573333333432675</v>
      </c>
      <c r="S55">
        <f ca="1"/>
        <v>73</v>
      </c>
    </row>
    <row r="56" spans="17:19">
      <c r="Q56">
        <f ca="1"/>
        <v>4.3032257883779472</v>
      </c>
      <c r="R56">
        <f ca="1"/>
        <v>9.3032257883779472</v>
      </c>
      <c r="S56">
        <f ca="1"/>
        <v>32.354838709677416</v>
      </c>
    </row>
    <row r="57" spans="17:19">
      <c r="Q57">
        <f ca="1"/>
        <v>-1.9566666920979818</v>
      </c>
      <c r="R57">
        <f ca="1"/>
        <v>3.0433333079020182</v>
      </c>
      <c r="S57">
        <f ca="1"/>
        <v>15.4</v>
      </c>
    </row>
    <row r="58" spans="17:19">
      <c r="Q58">
        <f ca="1"/>
        <v>-4.9741935729980469</v>
      </c>
      <c r="R58">
        <f ca="1"/>
        <v>2.5806427001953125E-2</v>
      </c>
      <c r="S58">
        <f ca="1"/>
        <v>151.96774193548387</v>
      </c>
    </row>
    <row r="59" spans="17:19">
      <c r="Q59">
        <f ca="1"/>
        <v>-5</v>
      </c>
      <c r="R59">
        <f ca="1"/>
        <v>0</v>
      </c>
      <c r="S59">
        <f ca="1"/>
        <v>106.45161290322581</v>
      </c>
    </row>
    <row r="60" spans="17:19">
      <c r="Q60">
        <f ca="1"/>
        <v>-4.2799999872843424</v>
      </c>
      <c r="R60">
        <f ca="1"/>
        <v>0.7200000127156575</v>
      </c>
      <c r="S60">
        <f ca="1"/>
        <v>47.5</v>
      </c>
    </row>
    <row r="61" spans="17:19">
      <c r="Q61">
        <f ca="1"/>
        <v>1.1967742212357058</v>
      </c>
      <c r="R61">
        <f ca="1"/>
        <v>6.1967742212357058</v>
      </c>
      <c r="S61">
        <f ca="1"/>
        <v>118.3225806451613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625" defaultRowHeight="15.95"/>
  <cols>
    <col min="2" max="3" width="10.62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60">_xlfn._xlws.SORT(_xlfn._xlws.FILTER('Accumulated Input Data'!A2:F134,('Accumulated Input Data'!D2:D134="A")+('Accumulated Input Data'!D2:D134="01")),1,-1)</f>
        <v>45750</v>
      </c>
      <c r="B2" s="1">
        <v>30</v>
      </c>
      <c r="C2" s="1">
        <v>757954</v>
      </c>
      <c r="D2" t="str">
        <v>A</v>
      </c>
      <c r="E2">
        <v>19348</v>
      </c>
      <c r="F2">
        <v>761916</v>
      </c>
      <c r="G2">
        <f>IF(F3&gt;0,F2-F3,"")</f>
        <v>19348</v>
      </c>
      <c r="H2" s="2">
        <f>IF(A2&lt;&gt;"",DATE(YEAR(A2),MONTH(A2),DAY(A2)),"")</f>
        <v>45750</v>
      </c>
      <c r="I2">
        <f>IF(A3&gt;0,A2-A3,"")</f>
        <v>30</v>
      </c>
      <c r="J2">
        <f>I2</f>
        <v>30</v>
      </c>
      <c r="K2">
        <f>IF(AND($H3&gt;0,$H3&lt;&gt;""),VLOOKUP($H3,'Weather Data'!$L$2:$P$4170,'DDD Model Calculations'!$D$22,FALSE),"")</f>
        <v>40832.200002647936</v>
      </c>
      <c r="L2">
        <f>IF(AND($K2&gt;0,$K2&lt;&gt;""),VLOOKUP($H2,'Weather Data'!$L$2:$P$4170,'DDD Model Calculations'!$D$22,FALSE),"")</f>
        <v>41272.500002115965</v>
      </c>
      <c r="M2">
        <f>L2-K2</f>
        <v>440.29999946802855</v>
      </c>
      <c r="N2">
        <f t="shared" ref="N2:N33" si="0">IF(AND($I2&gt;0,$I2&lt;&gt;""),G2/$I2,"")</f>
        <v>644.93333333333328</v>
      </c>
      <c r="O2">
        <f t="shared" ref="O2:O33" si="1">IF(AND($I2&gt;0,$I2&lt;&gt;""),$M2/$I2,"")</f>
        <v>14.676666648934285</v>
      </c>
      <c r="P2">
        <f>IF(AND($I2&gt;0,$I2&lt;&gt;""),$M2/$I2-5,"")</f>
        <v>9.676666648934285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-94.212821270997097</v>
      </c>
      <c r="Y2">
        <f>IF(AND($N2&gt;0,$N2&lt;&gt;""),$N2-('DDD Model Calculations'!L$13+'DDD Model Calculations'!L$12*WorkingData!$P2),"")</f>
        <v>-153.78030408418067</v>
      </c>
      <c r="Z2">
        <f>IF(AND($N2&gt;0,$N2&lt;&gt;""),$N2-('DDD Model Calculations'!M$13+'DDD Model Calculations'!M$12*WorkingData!$P2),"")</f>
        <v>-123.78333770315965</v>
      </c>
      <c r="AA2">
        <f>IF(AND($N2&gt;0,$N2&lt;&gt;""),$N2-('DDD Model Calculations'!N$13+'DDD Model Calculations'!N$12*WorkingData!$P2),"")</f>
        <v>9.5865613864842771</v>
      </c>
      <c r="AB2">
        <f>IF(X2&lt;&gt;"",X2/'DDD Model Calculations'!K$11,"")</f>
        <v>-0.44146471015501682</v>
      </c>
      <c r="AC2">
        <f>IF(Y2&lt;&gt;"",Y2/'DDD Model Calculations'!L$11,"")</f>
        <v>-0.92612011166884967</v>
      </c>
      <c r="AD2">
        <f>IF(Z2&lt;&gt;"",Z2/'DDD Model Calculations'!M$11,"")</f>
        <v>-0.66527155503297419</v>
      </c>
      <c r="AE2">
        <f>IF(AA2&lt;&gt;"",AA2/'DDD Model Calculations'!N$11,"")</f>
        <v>3.1091068087682215E-2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45720</v>
      </c>
      <c r="B3" s="1">
        <v>29</v>
      </c>
      <c r="C3" s="1">
        <v>738606</v>
      </c>
      <c r="D3" t="str">
        <v>A</v>
      </c>
      <c r="E3">
        <v>19076</v>
      </c>
      <c r="F3">
        <v>742568</v>
      </c>
      <c r="G3">
        <f t="shared" ref="G3:G66" si="12">IF(F4&gt;0,F3-F4,"")</f>
        <v>19076</v>
      </c>
      <c r="H3" s="2">
        <f t="shared" ref="H3:H66" si="13">IF(A3&lt;&gt;"",DATE(YEAR(A3),MONTH(A3),DAY(A3)),"")</f>
        <v>45720</v>
      </c>
      <c r="I3">
        <f t="shared" ref="I3:I66" si="14">IF(A4&gt;0,A3-A4,"")</f>
        <v>29</v>
      </c>
      <c r="J3">
        <f t="shared" ref="J3:J34" si="15">IF(AND(I3&gt;0,I3&lt;&gt;""),I3+J2,"")</f>
        <v>59</v>
      </c>
      <c r="K3">
        <f>IF(AND($H4&gt;0,$H4&lt;&gt;""),VLOOKUP($H4,'Weather Data'!$L$2:$P$4170,'DDD Model Calculations'!$D$22,FALSE),"")</f>
        <v>40176.900002360344</v>
      </c>
      <c r="L3">
        <f>IF(AND($K3&gt;0,$K3&lt;&gt;""),VLOOKUP($H3,'Weather Data'!$L$2:$P$4170,'DDD Model Calculations'!$D$22,FALSE),"")</f>
        <v>40832.200002647936</v>
      </c>
      <c r="M3">
        <f t="shared" ref="M3:M34" si="16">IF(AND(K3&gt;0,K3&lt;&gt;""),L3-K3,"")</f>
        <v>655.30000028759241</v>
      </c>
      <c r="N3">
        <f t="shared" si="0"/>
        <v>657.79310344827582</v>
      </c>
      <c r="O3">
        <f t="shared" si="1"/>
        <v>22.596551734054909</v>
      </c>
      <c r="P3">
        <f t="shared" ref="P3:P34" si="17">IF(AND($I3&gt;0,$I3&lt;&gt;""),M3/$I3-5,"")</f>
        <v>17.596551734054909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0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-312.47348374914441</v>
      </c>
      <c r="Y3">
        <f>IF(AND($N3&gt;0,$N3&lt;&gt;""),$N3-('DDD Model Calculations'!L$13+'DDD Model Calculations'!L$12*WorkingData!$P3),"")</f>
        <v>-408.15853292568454</v>
      </c>
      <c r="Z3">
        <f>IF(AND($N3&gt;0,$N3&lt;&gt;""),$N3-('DDD Model Calculations'!M$13+'DDD Model Calculations'!M$12*WorkingData!$P3),"")</f>
        <v>-418.92303512971057</v>
      </c>
      <c r="AA3">
        <f>IF(AND($N3&gt;0,$N3&lt;&gt;""),$N3-('DDD Model Calculations'!N$13+'DDD Model Calculations'!N$12*WorkingData!$P3),"")</f>
        <v>-279.96276792519666</v>
      </c>
      <c r="AB3">
        <f>IF(X3&lt;&gt;"",X3/'DDD Model Calculations'!K$11,"")</f>
        <v>-1.4641957864487636</v>
      </c>
      <c r="AC3">
        <f>IF(Y3&lt;&gt;"",Y3/'DDD Model Calculations'!L$11,"")</f>
        <v>-2.4580769841943235</v>
      </c>
      <c r="AD3">
        <f>IF(Z3&lt;&gt;"",Z3/'DDD Model Calculations'!M$11,"")</f>
        <v>-2.2514951058131141</v>
      </c>
      <c r="AE3">
        <f>IF(AA3&lt;&gt;"",AA3/'DDD Model Calculations'!N$11,"")</f>
        <v>-0.90797326889808261</v>
      </c>
      <c r="AF3">
        <f t="shared" si="8"/>
        <v>1</v>
      </c>
      <c r="AG3">
        <f t="shared" si="9"/>
        <v>0</v>
      </c>
      <c r="AH3">
        <f t="shared" si="10"/>
        <v>0</v>
      </c>
      <c r="AI3">
        <f t="shared" si="11"/>
        <v>1</v>
      </c>
    </row>
    <row r="4" spans="1:35">
      <c r="A4" s="2">
        <v>45691</v>
      </c>
      <c r="B4" s="1">
        <v>30</v>
      </c>
      <c r="C4" s="1">
        <v>719530</v>
      </c>
      <c r="D4" t="str">
        <v>A</v>
      </c>
      <c r="E4">
        <v>40467</v>
      </c>
      <c r="F4">
        <v>723492</v>
      </c>
      <c r="G4">
        <f t="shared" si="12"/>
        <v>40467</v>
      </c>
      <c r="H4" s="2">
        <f t="shared" si="13"/>
        <v>45691</v>
      </c>
      <c r="I4">
        <f t="shared" si="14"/>
        <v>30</v>
      </c>
      <c r="J4">
        <f t="shared" si="15"/>
        <v>89</v>
      </c>
      <c r="K4">
        <f>IF(AND($H5&gt;0,$H5&lt;&gt;""),VLOOKUP($H5,'Weather Data'!$L$2:$P$4170,'DDD Model Calculations'!$D$22,FALSE),"")</f>
        <v>39455.600003220141</v>
      </c>
      <c r="L4">
        <f>IF(AND($K4&gt;0,$K4&lt;&gt;""),VLOOKUP($H4,'Weather Data'!$L$2:$P$4170,'DDD Model Calculations'!$D$22,FALSE),"")</f>
        <v>40176.900002360344</v>
      </c>
      <c r="M4">
        <f t="shared" si="16"/>
        <v>721.299999140203</v>
      </c>
      <c r="N4">
        <f t="shared" si="0"/>
        <v>1348.9</v>
      </c>
      <c r="O4">
        <f t="shared" si="1"/>
        <v>24.043333304673432</v>
      </c>
      <c r="P4">
        <f t="shared" si="17"/>
        <v>19.043333304673432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336.41300444119156</v>
      </c>
      <c r="Y4">
        <f>IF(AND($N4&gt;0,$N4&lt;&gt;""),$N4-('DDD Model Calculations'!L$13+'DDD Model Calculations'!L$12*WorkingData!$P4),"")</f>
        <v>234.13010329729559</v>
      </c>
      <c r="Z4">
        <f>IF(AND($N4&gt;0,$N4&lt;&gt;""),$N4-('DDD Model Calculations'!M$13+'DDD Model Calculations'!M$12*WorkingData!$P4),"")</f>
        <v>215.9194145758679</v>
      </c>
      <c r="AA4">
        <f>IF(AND($N4&gt;0,$N4&lt;&gt;""),$N4-('DDD Model Calculations'!N$13+'DDD Model Calculations'!N$12*WorkingData!$P4),"")</f>
        <v>355.90091396678872</v>
      </c>
      <c r="AB4">
        <f>IF(X4&lt;&gt;"",X4/'DDD Model Calculations'!K$11,"")</f>
        <v>1.576372169885633</v>
      </c>
      <c r="AC4">
        <f>IF(Y4&lt;&gt;"",Y4/'DDD Model Calculations'!L$11,"")</f>
        <v>1.4100154028310066</v>
      </c>
      <c r="AD4">
        <f>IF(Z4&lt;&gt;"",Z4/'DDD Model Calculations'!M$11,"")</f>
        <v>1.1604554163918821</v>
      </c>
      <c r="AE4">
        <f>IF(AA4&lt;&gt;"",AA4/'DDD Model Calculations'!N$11,"")</f>
        <v>1.1542553270675713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45661</v>
      </c>
      <c r="B5" s="1">
        <v>31</v>
      </c>
      <c r="C5" s="1">
        <v>679063</v>
      </c>
      <c r="D5" t="str">
        <v>A</v>
      </c>
      <c r="E5">
        <v>26617</v>
      </c>
      <c r="F5">
        <v>683025</v>
      </c>
      <c r="G5">
        <f t="shared" si="12"/>
        <v>26617</v>
      </c>
      <c r="H5" s="2">
        <f t="shared" si="13"/>
        <v>45661</v>
      </c>
      <c r="I5">
        <f t="shared" si="14"/>
        <v>31</v>
      </c>
      <c r="J5">
        <f t="shared" si="15"/>
        <v>120</v>
      </c>
      <c r="K5">
        <f>IF(AND($H6&gt;0,$H6&lt;&gt;""),VLOOKUP($H6,'Weather Data'!$L$2:$P$4170,'DDD Model Calculations'!$D$22,FALSE),"")</f>
        <v>38875.600003935397</v>
      </c>
      <c r="L5">
        <f>IF(AND($K5&gt;0,$K5&lt;&gt;""),VLOOKUP($H5,'Weather Data'!$L$2:$P$4170,'DDD Model Calculations'!$D$22,FALSE),"")</f>
        <v>39455.600003220141</v>
      </c>
      <c r="M5">
        <f t="shared" si="16"/>
        <v>579.99999928474426</v>
      </c>
      <c r="N5">
        <f t="shared" si="0"/>
        <v>858.61290322580646</v>
      </c>
      <c r="O5">
        <f t="shared" si="1"/>
        <v>18.709677396282071</v>
      </c>
      <c r="P5">
        <f t="shared" si="17"/>
        <v>13.709677396282071</v>
      </c>
      <c r="Q5">
        <f t="shared" si="2"/>
        <v>1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1.7742343284604658</v>
      </c>
      <c r="Y5">
        <f>IF(AND($N5&gt;0,$N5&lt;&gt;""),$N5-('DDD Model Calculations'!L$13+'DDD Model Calculations'!L$12*WorkingData!$P5),"")</f>
        <v>-76.185249346594901</v>
      </c>
      <c r="Z5">
        <f>IF(AND($N5&gt;0,$N5&lt;&gt;""),$N5-('DDD Model Calculations'!M$13+'DDD Model Calculations'!M$12*WorkingData!$P5),"")</f>
        <v>-66.945079196117945</v>
      </c>
      <c r="AA5">
        <f>IF(AND($N5&gt;0,$N5&lt;&gt;""),$N5-('DDD Model Calculations'!N$13+'DDD Model Calculations'!N$12*WorkingData!$P5),"")</f>
        <v>69.271580224841728</v>
      </c>
      <c r="AB5">
        <f>IF(X5&lt;&gt;"",X5/'DDD Model Calculations'!K$11,"")</f>
        <v>8.3137500076330192E-3</v>
      </c>
      <c r="AC5">
        <f>IF(Y5&lt;&gt;"",Y5/'DDD Model Calculations'!L$11,"")</f>
        <v>-0.45881487913929653</v>
      </c>
      <c r="AD5">
        <f>IF(Z5&lt;&gt;"",Z5/'DDD Model Calculations'!M$11,"")</f>
        <v>-0.35979525003121782</v>
      </c>
      <c r="AE5">
        <f>IF(AA5&lt;&gt;"",AA5/'DDD Model Calculations'!N$11,"")</f>
        <v>0.22466109906189641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>
      <c r="A6" s="2">
        <v>45630</v>
      </c>
      <c r="B6" s="1">
        <v>29</v>
      </c>
      <c r="C6" s="1">
        <v>652446</v>
      </c>
      <c r="D6" t="str">
        <v>A</v>
      </c>
      <c r="E6">
        <v>19178</v>
      </c>
      <c r="F6">
        <v>656408</v>
      </c>
      <c r="G6">
        <f t="shared" si="12"/>
        <v>19178</v>
      </c>
      <c r="H6" s="2">
        <f t="shared" si="13"/>
        <v>45630</v>
      </c>
      <c r="I6">
        <f t="shared" si="14"/>
        <v>29</v>
      </c>
      <c r="J6">
        <f t="shared" si="15"/>
        <v>149</v>
      </c>
      <c r="K6">
        <f>IF(AND($H7&gt;0,$H7&lt;&gt;""),VLOOKUP($H7,'Weather Data'!$L$2:$P$4170,'DDD Model Calculations'!$D$22,FALSE),"")</f>
        <v>38484.800002574921</v>
      </c>
      <c r="L6">
        <f>IF(AND($K6&gt;0,$K6&lt;&gt;""),VLOOKUP($H6,'Weather Data'!$L$2:$P$4170,'DDD Model Calculations'!$D$22,FALSE),"")</f>
        <v>38875.600003935397</v>
      </c>
      <c r="M6">
        <f t="shared" si="16"/>
        <v>390.80000136047602</v>
      </c>
      <c r="N6">
        <f t="shared" si="0"/>
        <v>661.31034482758616</v>
      </c>
      <c r="O6">
        <f t="shared" si="1"/>
        <v>13.475862115878483</v>
      </c>
      <c r="P6">
        <f t="shared" si="17"/>
        <v>8.475862115878483</v>
      </c>
      <c r="Q6">
        <f t="shared" si="2"/>
        <v>1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-42.793576189162764</v>
      </c>
      <c r="Y6">
        <f>IF(AND($N6&gt;0,$N6&lt;&gt;""),$N6-('DDD Model Calculations'!L$13+'DDD Model Calculations'!L$12*WorkingData!$P6),"")</f>
        <v>-96.88495209600444</v>
      </c>
      <c r="Z6">
        <f>IF(AND($N6&gt;0,$N6&lt;&gt;""),$N6-('DDD Model Calculations'!M$13+'DDD Model Calculations'!M$12*WorkingData!$P6),"")</f>
        <v>-60.707775304747315</v>
      </c>
      <c r="AA6">
        <f>IF(AND($N6&gt;0,$N6&lt;&gt;""),$N6-('DDD Model Calculations'!N$13+'DDD Model Calculations'!N$12*WorkingData!$P6),"")</f>
        <v>71.814518131324917</v>
      </c>
      <c r="AB6">
        <f>IF(X6&lt;&gt;"",X6/'DDD Model Calculations'!K$11,"")</f>
        <v>-0.20052317141107759</v>
      </c>
      <c r="AC6">
        <f>IF(Y6&lt;&gt;"",Y6/'DDD Model Calculations'!L$11,"")</f>
        <v>-0.58347590862523846</v>
      </c>
      <c r="AD6">
        <f>IF(Z6&lt;&gt;"",Z6/'DDD Model Calculations'!M$11,"")</f>
        <v>-0.32627296071489542</v>
      </c>
      <c r="AE6">
        <f>IF(AA6&lt;&gt;"",AA6/'DDD Model Calculations'!N$11,"")</f>
        <v>0.23290833729527216</v>
      </c>
      <c r="AF6">
        <f t="shared" si="8"/>
        <v>1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>
      <c r="A7" s="2">
        <v>45601</v>
      </c>
      <c r="B7" s="1">
        <v>32</v>
      </c>
      <c r="C7" s="1">
        <v>633268</v>
      </c>
      <c r="D7" t="str">
        <v>A</v>
      </c>
      <c r="E7">
        <v>18252</v>
      </c>
      <c r="F7">
        <v>637230</v>
      </c>
      <c r="G7">
        <f t="shared" si="12"/>
        <v>18252</v>
      </c>
      <c r="H7" s="2">
        <f t="shared" si="13"/>
        <v>45601</v>
      </c>
      <c r="I7">
        <f t="shared" si="14"/>
        <v>32</v>
      </c>
      <c r="J7">
        <f t="shared" si="15"/>
        <v>181</v>
      </c>
      <c r="K7">
        <f>IF(AND($H8&gt;0,$H8&lt;&gt;""),VLOOKUP($H8,'Weather Data'!$L$2:$P$4170,'DDD Model Calculations'!$D$22,FALSE),"")</f>
        <v>38260.300002098083</v>
      </c>
      <c r="L7">
        <f>IF(AND($K7&gt;0,$K7&lt;&gt;""),VLOOKUP($H7,'Weather Data'!$L$2:$P$4170,'DDD Model Calculations'!$D$22,FALSE),"")</f>
        <v>38484.800002574921</v>
      </c>
      <c r="M7">
        <f t="shared" si="16"/>
        <v>224.50000047683716</v>
      </c>
      <c r="N7">
        <f t="shared" si="0"/>
        <v>570.375</v>
      </c>
      <c r="O7">
        <f t="shared" si="1"/>
        <v>7.0156250149011612</v>
      </c>
      <c r="P7">
        <f t="shared" si="17"/>
        <v>2.0156250149011612</v>
      </c>
      <c r="Q7">
        <f t="shared" si="2"/>
        <v>1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54.795631724165787</v>
      </c>
      <c r="Y7">
        <f>IF(AND($N7&gt;0,$N7&lt;&gt;""),$N7-('DDD Model Calculations'!L$13+'DDD Model Calculations'!L$12*WorkingData!$P7),"")</f>
        <v>30.165294672032701</v>
      </c>
      <c r="Z7">
        <f>IF(AND($N7&gt;0,$N7&lt;&gt;""),$N7-('DDD Model Calculations'!M$13+'DDD Model Calculations'!M$12*WorkingData!$P7),"")</f>
        <v>99.59153364200381</v>
      </c>
      <c r="AA7">
        <f>IF(AND($N7&gt;0,$N7&lt;&gt;""),$N7-('DDD Model Calculations'!N$13+'DDD Model Calculations'!N$12*WorkingData!$P7),"")</f>
        <v>227.55377309804339</v>
      </c>
      <c r="AB7">
        <f>IF(X7&lt;&gt;"",X7/'DDD Model Calculations'!K$11,"")</f>
        <v>0.25676269270493396</v>
      </c>
      <c r="AC7">
        <f>IF(Y7&lt;&gt;"",Y7/'DDD Model Calculations'!L$11,"")</f>
        <v>0.18166621685761458</v>
      </c>
      <c r="AD7">
        <f>IF(Z7&lt;&gt;"",Z7/'DDD Model Calculations'!M$11,"")</f>
        <v>0.53525309370005325</v>
      </c>
      <c r="AE7">
        <f>IF(AA7&lt;&gt;"",AA7/'DDD Model Calculations'!N$11,"")</f>
        <v>0.73800078753731979</v>
      </c>
      <c r="AF7">
        <f t="shared" si="8"/>
        <v>1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>
      <c r="A8" s="2">
        <v>45569</v>
      </c>
      <c r="B8" s="1">
        <v>32</v>
      </c>
      <c r="C8" s="1">
        <v>615016</v>
      </c>
      <c r="D8" t="str">
        <v>A</v>
      </c>
      <c r="E8">
        <v>7753</v>
      </c>
      <c r="F8">
        <v>618978</v>
      </c>
      <c r="G8">
        <f t="shared" si="12"/>
        <v>7753</v>
      </c>
      <c r="H8" s="2">
        <f t="shared" si="13"/>
        <v>45569</v>
      </c>
      <c r="I8">
        <f t="shared" si="14"/>
        <v>32</v>
      </c>
      <c r="J8">
        <f t="shared" si="15"/>
        <v>213</v>
      </c>
      <c r="K8">
        <f>IF(AND($H9&gt;0,$H9&lt;&gt;""),VLOOKUP($H9,'Weather Data'!$L$2:$P$4170,'DDD Model Calculations'!$D$22,FALSE),"")</f>
        <v>38234.700000762939</v>
      </c>
      <c r="L8">
        <f>IF(AND($K8&gt;0,$K8&lt;&gt;""),VLOOKUP($H8,'Weather Data'!$L$2:$P$4170,'DDD Model Calculations'!$D$22,FALSE),"")</f>
        <v>38260.300002098083</v>
      </c>
      <c r="M8">
        <f t="shared" si="16"/>
        <v>25.600001335144043</v>
      </c>
      <c r="N8">
        <f t="shared" si="0"/>
        <v>242.28125</v>
      </c>
      <c r="O8">
        <f t="shared" si="1"/>
        <v>0.80000004172325134</v>
      </c>
      <c r="P8">
        <f t="shared" si="17"/>
        <v>-4.1999999582767487</v>
      </c>
      <c r="Q8">
        <f t="shared" si="2"/>
        <v>0</v>
      </c>
      <c r="R8">
        <f t="shared" si="3"/>
        <v>1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1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-91.911909107698193</v>
      </c>
      <c r="Y8">
        <f>IF(AND($N8&gt;0,$N8&lt;&gt;""),$N8-('DDD Model Calculations'!L$13+'DDD Model Calculations'!L$12*WorkingData!$P8),"")</f>
        <v>-88.196727879489913</v>
      </c>
      <c r="Z8">
        <f>IF(AND($N8&gt;0,$N8&lt;&gt;""),$N8-('DDD Model Calculations'!M$13+'DDD Model Calculations'!M$12*WorkingData!$P8),"")</f>
        <v>13.219621976890323</v>
      </c>
      <c r="AA8">
        <f>IF(AND($N8&gt;0,$N8&lt;&gt;""),$N8-('DDD Model Calculations'!N$13+'DDD Model Calculations'!N$12*WorkingData!$P8),"")</f>
        <v>136.79447054397292</v>
      </c>
      <c r="AB8">
        <f>IF(X8&lt;&gt;"",X8/'DDD Model Calculations'!K$11,"")</f>
        <v>-0.43068304044637806</v>
      </c>
      <c r="AC8">
        <f>IF(Y8&lt;&gt;"",Y8/'DDD Model Calculations'!L$11,"")</f>
        <v>-0.53115230821671144</v>
      </c>
      <c r="AD8">
        <f>IF(Z8&lt;&gt;"",Z8/'DDD Model Calculations'!M$11,"")</f>
        <v>7.1048645421114845E-2</v>
      </c>
      <c r="AE8">
        <f>IF(AA8&lt;&gt;"",AA8/'DDD Model Calculations'!N$11,"")</f>
        <v>0.44365085938920323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45537</v>
      </c>
      <c r="B9" s="1">
        <v>29</v>
      </c>
      <c r="C9" s="1">
        <v>607263</v>
      </c>
      <c r="D9" t="str">
        <v>A</v>
      </c>
      <c r="E9">
        <v>2878</v>
      </c>
      <c r="F9">
        <v>611225</v>
      </c>
      <c r="G9">
        <f t="shared" si="12"/>
        <v>2878</v>
      </c>
      <c r="H9" s="2">
        <f t="shared" si="13"/>
        <v>45537</v>
      </c>
      <c r="I9">
        <f t="shared" si="14"/>
        <v>29</v>
      </c>
      <c r="J9">
        <f t="shared" si="15"/>
        <v>242</v>
      </c>
      <c r="K9">
        <f>IF(AND($H10&gt;0,$H10&lt;&gt;""),VLOOKUP($H10,'Weather Data'!$L$2:$P$4170,'DDD Model Calculations'!$D$22,FALSE),"")</f>
        <v>38225.200000762939</v>
      </c>
      <c r="L9">
        <f>IF(AND($K9&gt;0,$K9&lt;&gt;""),VLOOKUP($H9,'Weather Data'!$L$2:$P$4170,'DDD Model Calculations'!$D$22,FALSE),"")</f>
        <v>38234.700000762939</v>
      </c>
      <c r="M9">
        <f t="shared" si="16"/>
        <v>9.5</v>
      </c>
      <c r="N9">
        <f t="shared" si="0"/>
        <v>99.241379310344826</v>
      </c>
      <c r="O9">
        <f t="shared" si="1"/>
        <v>0.32758620689655171</v>
      </c>
      <c r="P9">
        <f t="shared" si="17"/>
        <v>-4.6724137931034484</v>
      </c>
      <c r="Q9">
        <f t="shared" si="2"/>
        <v>0</v>
      </c>
      <c r="R9">
        <f t="shared" si="3"/>
        <v>1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1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-221.1656593303739</v>
      </c>
      <c r="Y9">
        <f>IF(AND($N9&gt;0,$N9&lt;&gt;""),$N9-('DDD Model Calculations'!L$13+'DDD Model Calculations'!L$12*WorkingData!$P9),"")</f>
        <v>-215.29609860714277</v>
      </c>
      <c r="Z9">
        <f>IF(AND($N9&gt;0,$N9&lt;&gt;""),$N9-('DDD Model Calculations'!M$13+'DDD Model Calculations'!M$12*WorkingData!$P9),"")</f>
        <v>-111.44836477479953</v>
      </c>
      <c r="AA9">
        <f>IF(AND($N9&gt;0,$N9&lt;&gt;""),$N9-('DDD Model Calculations'!N$13+'DDD Model Calculations'!N$12*WorkingData!$P9),"")</f>
        <v>11.793023494456207</v>
      </c>
      <c r="AB9">
        <f>IF(X9&lt;&gt;"",X9/'DDD Model Calculations'!K$11,"")</f>
        <v>-1.0363433806071962</v>
      </c>
      <c r="AC9">
        <f>IF(Y9&lt;&gt;"",Y9/'DDD Model Calculations'!L$11,"")</f>
        <v>-1.2965902757921905</v>
      </c>
      <c r="AD9">
        <f>IF(Z9&lt;&gt;"",Z9/'DDD Model Calculations'!M$11,"")</f>
        <v>-0.59897744167646949</v>
      </c>
      <c r="AE9">
        <f>IF(AA9&lt;&gt;"",AA9/'DDD Model Calculations'!N$11,"")</f>
        <v>3.824705039105164E-2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45508</v>
      </c>
      <c r="B10" s="1">
        <v>30</v>
      </c>
      <c r="C10" s="1">
        <v>604385</v>
      </c>
      <c r="D10" t="str">
        <v>A</v>
      </c>
      <c r="E10">
        <v>1193</v>
      </c>
      <c r="F10">
        <v>608347</v>
      </c>
      <c r="G10">
        <f t="shared" si="12"/>
        <v>1193</v>
      </c>
      <c r="H10" s="2">
        <f t="shared" si="13"/>
        <v>45508</v>
      </c>
      <c r="I10">
        <f t="shared" si="14"/>
        <v>30</v>
      </c>
      <c r="J10">
        <f t="shared" si="15"/>
        <v>272</v>
      </c>
      <c r="K10">
        <f>IF(AND($H11&gt;0,$H11&lt;&gt;""),VLOOKUP($H11,'Weather Data'!$L$2:$P$4170,'DDD Model Calculations'!$D$22,FALSE),"")</f>
        <v>38225.200000762939</v>
      </c>
      <c r="L10">
        <f>IF(AND($K10&gt;0,$K10&lt;&gt;""),VLOOKUP($H10,'Weather Data'!$L$2:$P$4170,'DDD Model Calculations'!$D$22,FALSE),"")</f>
        <v>38225.200000762939</v>
      </c>
      <c r="M10">
        <f t="shared" si="16"/>
        <v>0</v>
      </c>
      <c r="N10">
        <f t="shared" si="0"/>
        <v>39.766666666666666</v>
      </c>
      <c r="O10">
        <f t="shared" si="1"/>
        <v>0</v>
      </c>
      <c r="P10">
        <f t="shared" si="17"/>
        <v>-5</v>
      </c>
      <c r="Q10">
        <f t="shared" si="2"/>
        <v>0</v>
      </c>
      <c r="R10">
        <f t="shared" si="3"/>
        <v>1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1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-271.08065424636646</v>
      </c>
      <c r="Y10">
        <f>IF(AND($N10&gt;0,$N10&lt;&gt;""),$N10-('DDD Model Calculations'!L$13+'DDD Model Calculations'!L$12*WorkingData!$P10),"")</f>
        <v>-263.71718086655716</v>
      </c>
      <c r="Z10">
        <f>IF(AND($N10&gt;0,$N10&lt;&gt;""),$N10-('DDD Model Calculations'!M$13+'DDD Model Calculations'!M$12*WorkingData!$P10),"")</f>
        <v>-158.18345099540835</v>
      </c>
      <c r="AA10">
        <f>IF(AND($N10&gt;0,$N10&lt;&gt;""),$N10-('DDD Model Calculations'!N$13+'DDD Model Calculations'!N$12*WorkingData!$P10),"")</f>
        <v>-35.173294299113977</v>
      </c>
      <c r="AB10">
        <f>IF(X10&lt;&gt;"",X10/'DDD Model Calculations'!K$11,"")</f>
        <v>-1.2702362676442323</v>
      </c>
      <c r="AC10">
        <f>IF(Y10&lt;&gt;"",Y10/'DDD Model Calculations'!L$11,"")</f>
        <v>-1.5881993890416191</v>
      </c>
      <c r="AD10">
        <f>IF(Z10&lt;&gt;"",Z10/'DDD Model Calculations'!M$11,"")</f>
        <v>-0.85015440993001601</v>
      </c>
      <c r="AE10">
        <f>IF(AA10&lt;&gt;"",AA10/'DDD Model Calculations'!N$11,"")</f>
        <v>-0.11407377930773248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45478</v>
      </c>
      <c r="B11" s="1">
        <v>32</v>
      </c>
      <c r="C11" s="1">
        <v>603192</v>
      </c>
      <c r="D11" t="str">
        <v>A</v>
      </c>
      <c r="E11">
        <v>3136</v>
      </c>
      <c r="F11">
        <v>607154</v>
      </c>
      <c r="G11">
        <f t="shared" si="12"/>
        <v>3136</v>
      </c>
      <c r="H11" s="2">
        <f t="shared" si="13"/>
        <v>45478</v>
      </c>
      <c r="I11">
        <f t="shared" si="14"/>
        <v>32</v>
      </c>
      <c r="J11">
        <f t="shared" si="15"/>
        <v>304</v>
      </c>
      <c r="K11">
        <f>IF(AND($H12&gt;0,$H12&lt;&gt;""),VLOOKUP($H12,'Weather Data'!$L$2:$P$4170,'DDD Model Calculations'!$D$22,FALSE),"")</f>
        <v>38206.200002670288</v>
      </c>
      <c r="L11">
        <f>IF(AND($K11&gt;0,$K11&lt;&gt;""),VLOOKUP($H11,'Weather Data'!$L$2:$P$4170,'DDD Model Calculations'!$D$22,FALSE),"")</f>
        <v>38225.200000762939</v>
      </c>
      <c r="M11">
        <f t="shared" si="16"/>
        <v>18.999998092651367</v>
      </c>
      <c r="N11">
        <f t="shared" si="0"/>
        <v>98</v>
      </c>
      <c r="O11">
        <f t="shared" si="1"/>
        <v>0.59374994039535522</v>
      </c>
      <c r="P11">
        <f t="shared" si="17"/>
        <v>-4.4062500596046448</v>
      </c>
      <c r="Q11">
        <f t="shared" si="2"/>
        <v>0</v>
      </c>
      <c r="R11">
        <f t="shared" si="3"/>
        <v>1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1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-230.17430755506285</v>
      </c>
      <c r="Y11">
        <f>IF(AND($N11&gt;0,$N11&lt;&gt;""),$N11-('DDD Model Calculations'!L$13+'DDD Model Calculations'!L$12*WorkingData!$P11),"")</f>
        <v>-225.51855059348259</v>
      </c>
      <c r="Z11">
        <f>IF(AND($N11&gt;0,$N11&lt;&gt;""),$N11-('DDD Model Calculations'!M$13+'DDD Model Calculations'!M$12*WorkingData!$P11),"")</f>
        <v>-123.04068823590018</v>
      </c>
      <c r="AA11">
        <f>IF(AND($N11&gt;0,$N11&lt;&gt;""),$N11-('DDD Model Calculations'!N$13+'DDD Model Calculations'!N$12*WorkingData!$P11),"")</f>
        <v>0.38857564431387459</v>
      </c>
      <c r="AB11">
        <f>IF(X11&lt;&gt;"",X11/'DDD Model Calculations'!K$11,"")</f>
        <v>-1.0785563217307959</v>
      </c>
      <c r="AC11">
        <f>IF(Y11&lt;&gt;"",Y11/'DDD Model Calculations'!L$11,"")</f>
        <v>-1.358153545753837</v>
      </c>
      <c r="AD11">
        <f>IF(Z11&lt;&gt;"",Z11/'DDD Model Calculations'!M$11,"")</f>
        <v>-0.6612801974310899</v>
      </c>
      <c r="AE11">
        <f>IF(AA11&lt;&gt;"",AA11/'DDD Model Calculations'!N$11,"")</f>
        <v>1.2602257814371819E-3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>
      <c r="A12" s="2">
        <v>45446</v>
      </c>
      <c r="B12" s="1">
        <v>32</v>
      </c>
      <c r="C12" s="1">
        <v>600056</v>
      </c>
      <c r="D12" t="str">
        <v>A</v>
      </c>
      <c r="E12">
        <v>1674</v>
      </c>
      <c r="F12">
        <v>604018</v>
      </c>
      <c r="G12">
        <f t="shared" si="12"/>
        <v>1674</v>
      </c>
      <c r="H12" s="2">
        <f t="shared" si="13"/>
        <v>45446</v>
      </c>
      <c r="I12">
        <f t="shared" si="14"/>
        <v>32</v>
      </c>
      <c r="J12">
        <f t="shared" si="15"/>
        <v>336</v>
      </c>
      <c r="K12">
        <f>IF(AND($H13&gt;0,$H13&lt;&gt;""),VLOOKUP($H13,'Weather Data'!$L$2:$P$4170,'DDD Model Calculations'!$D$22,FALSE),"")</f>
        <v>38142.700000762939</v>
      </c>
      <c r="L12">
        <f>IF(AND($K12&gt;0,$K12&lt;&gt;""),VLOOKUP($H12,'Weather Data'!$L$2:$P$4170,'DDD Model Calculations'!$D$22,FALSE),"")</f>
        <v>38206.200002670288</v>
      </c>
      <c r="M12">
        <f t="shared" si="16"/>
        <v>63.500001907348633</v>
      </c>
      <c r="N12">
        <f t="shared" si="0"/>
        <v>52.3125</v>
      </c>
      <c r="O12">
        <f t="shared" si="1"/>
        <v>1.9843750596046448</v>
      </c>
      <c r="P12">
        <f t="shared" si="17"/>
        <v>-3.0156249403953552</v>
      </c>
      <c r="Q12">
        <f t="shared" si="2"/>
        <v>0</v>
      </c>
      <c r="R12">
        <f t="shared" si="3"/>
        <v>1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1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-316.44344171668695</v>
      </c>
      <c r="Y12">
        <f>IF(AND($N12&gt;0,$N12&lt;&gt;""),$N12-('DDD Model Calculations'!L$13+'DDD Model Calculations'!L$12*WorkingData!$P12),"")</f>
        <v>-318.12944280964632</v>
      </c>
      <c r="Z12">
        <f>IF(AND($N12&gt;0,$N12&lt;&gt;""),$N12-('DDD Model Calculations'!M$13+'DDD Model Calculations'!M$12*WorkingData!$P12),"")</f>
        <v>-222.80874517112289</v>
      </c>
      <c r="AA12">
        <f>IF(AND($N12&gt;0,$N12&lt;&gt;""),$N12-('DDD Model Calculations'!N$13+'DDD Model Calculations'!N$12*WorkingData!$P12),"")</f>
        <v>-98.397887966938697</v>
      </c>
      <c r="AB12">
        <f>IF(X12&lt;&gt;"",X12/'DDD Model Calculations'!K$11,"")</f>
        <v>-1.4827983112413026</v>
      </c>
      <c r="AC12">
        <f>IF(Y12&lt;&gt;"",Y12/'DDD Model Calculations'!L$11,"")</f>
        <v>-1.9158895338036119</v>
      </c>
      <c r="AD12">
        <f>IF(Z12&lt;&gt;"",Z12/'DDD Model Calculations'!M$11,"")</f>
        <v>-1.1974820127277517</v>
      </c>
      <c r="AE12">
        <f>IF(AA12&lt;&gt;"",AA12/'DDD Model Calculations'!N$11,"")</f>
        <v>-0.31912333433522894</v>
      </c>
      <c r="AF12">
        <f t="shared" si="8"/>
        <v>1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>
      <c r="A13" s="2">
        <v>45414</v>
      </c>
      <c r="B13" s="1">
        <v>31</v>
      </c>
      <c r="C13" s="1">
        <v>598382</v>
      </c>
      <c r="D13" t="str">
        <v>A</v>
      </c>
      <c r="E13">
        <v>19620</v>
      </c>
      <c r="F13">
        <v>602344</v>
      </c>
      <c r="G13">
        <f t="shared" si="12"/>
        <v>19620</v>
      </c>
      <c r="H13" s="2">
        <f t="shared" si="13"/>
        <v>45414</v>
      </c>
      <c r="I13">
        <f t="shared" si="14"/>
        <v>31</v>
      </c>
      <c r="J13">
        <f t="shared" si="15"/>
        <v>367</v>
      </c>
      <c r="K13">
        <f>IF(AND($H14&gt;0,$H14&lt;&gt;""),VLOOKUP($H14,'Weather Data'!$L$2:$P$4170,'DDD Model Calculations'!$D$22,FALSE),"")</f>
        <v>37860.600002288818</v>
      </c>
      <c r="L13">
        <f>IF(AND($K13&gt;0,$K13&lt;&gt;""),VLOOKUP($H13,'Weather Data'!$L$2:$P$4170,'DDD Model Calculations'!$D$22,FALSE),"")</f>
        <v>38142.700000762939</v>
      </c>
      <c r="M13">
        <f t="shared" si="16"/>
        <v>282.09999847412109</v>
      </c>
      <c r="N13">
        <f t="shared" si="0"/>
        <v>632.90322580645159</v>
      </c>
      <c r="O13">
        <f t="shared" si="1"/>
        <v>9.0999999507781002</v>
      </c>
      <c r="P13">
        <f t="shared" si="17"/>
        <v>4.0999999507781002</v>
      </c>
      <c r="Q13">
        <f t="shared" si="2"/>
        <v>1</v>
      </c>
      <c r="R13">
        <f t="shared" si="3"/>
        <v>1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4"/>
        <v>1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56.497010715486454</v>
      </c>
      <c r="Y13">
        <f>IF(AND($N13&gt;0,$N13&lt;&gt;""),$N13-('DDD Model Calculations'!L$13+'DDD Model Calculations'!L$12*WorkingData!$P13),"")</f>
        <v>22.361163259662248</v>
      </c>
      <c r="Z13">
        <f>IF(AND($N13&gt;0,$N13&lt;&gt;""),$N13-('DDD Model Calculations'!M$13+'DDD Model Calculations'!M$12*WorkingData!$P13),"")</f>
        <v>81.059698158796664</v>
      </c>
      <c r="AA13">
        <f>IF(AND($N13&gt;0,$N13&lt;&gt;""),$N13-('DDD Model Calculations'!N$13+'DDD Model Calculations'!N$12*WorkingData!$P13),"")</f>
        <v>210.49322451555815</v>
      </c>
      <c r="AB13">
        <f>IF(X13&lt;&gt;"",X13/'DDD Model Calculations'!K$11,"")</f>
        <v>0.26473505541665793</v>
      </c>
      <c r="AC13">
        <f>IF(Y13&lt;&gt;"",Y13/'DDD Model Calculations'!L$11,"")</f>
        <v>0.13466694020677333</v>
      </c>
      <c r="AD13">
        <f>IF(Z13&lt;&gt;"",Z13/'DDD Model Calculations'!M$11,"")</f>
        <v>0.43565404233908989</v>
      </c>
      <c r="AE13">
        <f>IF(AA13&lt;&gt;"",AA13/'DDD Model Calculations'!N$11,"")</f>
        <v>0.68267013703534807</v>
      </c>
      <c r="AF13">
        <f t="shared" si="8"/>
        <v>1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>
      <c r="A14" s="2">
        <v>45383</v>
      </c>
      <c r="B14" s="1">
        <v>30</v>
      </c>
      <c r="C14" s="1">
        <v>578762</v>
      </c>
      <c r="D14" t="str">
        <v>A</v>
      </c>
      <c r="E14">
        <v>25067</v>
      </c>
      <c r="F14">
        <v>582724</v>
      </c>
      <c r="G14">
        <f t="shared" si="12"/>
        <v>25067</v>
      </c>
      <c r="H14" s="2">
        <f t="shared" si="13"/>
        <v>45383</v>
      </c>
      <c r="I14">
        <f t="shared" si="14"/>
        <v>30</v>
      </c>
      <c r="J14">
        <f t="shared" si="15"/>
        <v>397</v>
      </c>
      <c r="K14">
        <f>IF(AND($H15&gt;0,$H15&lt;&gt;""),VLOOKUP($H15,'Weather Data'!$L$2:$P$4170,'DDD Model Calculations'!$D$22,FALSE),"")</f>
        <v>37433.500002749264</v>
      </c>
      <c r="L14">
        <f>IF(AND($K14&gt;0,$K14&lt;&gt;""),VLOOKUP($H14,'Weather Data'!$L$2:$P$4170,'DDD Model Calculations'!$D$22,FALSE),"")</f>
        <v>37860.600002288818</v>
      </c>
      <c r="M14">
        <f t="shared" si="16"/>
        <v>427.09999953955412</v>
      </c>
      <c r="N14">
        <f t="shared" si="0"/>
        <v>835.56666666666672</v>
      </c>
      <c r="O14">
        <f t="shared" si="1"/>
        <v>14.236666651318471</v>
      </c>
      <c r="P14">
        <f t="shared" si="17"/>
        <v>9.2366666513184708</v>
      </c>
      <c r="Q14">
        <f t="shared" si="2"/>
        <v>1</v>
      </c>
      <c r="R14">
        <f t="shared" si="3"/>
        <v>2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1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109.26072233015691</v>
      </c>
      <c r="Y14">
        <f>IF(AND($N14&gt;0,$N14&lt;&gt;""),$N14-('DDD Model Calculations'!L$13+'DDD Model Calculations'!L$12*WorkingData!$P14),"")</f>
        <v>51.69980008483094</v>
      </c>
      <c r="Z14">
        <f>IF(AND($N14&gt;0,$N14&lt;&gt;""),$N14-('DDD Model Calculations'!M$13+'DDD Model Calculations'!M$12*WorkingData!$P14),"")</f>
        <v>83.961325343597991</v>
      </c>
      <c r="AA14">
        <f>IF(AND($N14&gt;0,$N14&lt;&gt;""),$N14-('DDD Model Calculations'!N$13+'DDD Model Calculations'!N$12*WorkingData!$P14),"")</f>
        <v>217.02064392218927</v>
      </c>
      <c r="AB14">
        <f>IF(X14&lt;&gt;"",X14/'DDD Model Calculations'!K$11,"")</f>
        <v>0.51197652786626924</v>
      </c>
      <c r="AC14">
        <f>IF(Y14&lt;&gt;"",Y14/'DDD Model Calculations'!L$11,"")</f>
        <v>0.31135472720622781</v>
      </c>
      <c r="AD14">
        <f>IF(Z14&lt;&gt;"",Z14/'DDD Model Calculations'!M$11,"")</f>
        <v>0.45124879091492714</v>
      </c>
      <c r="AE14">
        <f>IF(AA14&lt;&gt;"",AA14/'DDD Model Calculations'!N$11,"")</f>
        <v>0.70383981748975477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>
      <c r="A15" s="2">
        <v>45353</v>
      </c>
      <c r="B15" s="1">
        <v>28</v>
      </c>
      <c r="C15" s="1">
        <v>553695</v>
      </c>
      <c r="D15" t="str">
        <v>A</v>
      </c>
      <c r="E15">
        <v>28623</v>
      </c>
      <c r="F15">
        <v>557657</v>
      </c>
      <c r="G15">
        <f t="shared" si="12"/>
        <v>28623</v>
      </c>
      <c r="H15" s="2">
        <f t="shared" si="13"/>
        <v>45353</v>
      </c>
      <c r="I15">
        <f t="shared" si="14"/>
        <v>28</v>
      </c>
      <c r="J15">
        <f t="shared" si="15"/>
        <v>425</v>
      </c>
      <c r="K15">
        <f>IF(AND($H16&gt;0,$H16&lt;&gt;""),VLOOKUP($H16,'Weather Data'!$L$2:$P$4170,'DDD Model Calculations'!$D$22,FALSE),"")</f>
        <v>36939.600002624094</v>
      </c>
      <c r="L15">
        <f>IF(AND($K15&gt;0,$K15&lt;&gt;""),VLOOKUP($H15,'Weather Data'!$L$2:$P$4170,'DDD Model Calculations'!$D$22,FALSE),"")</f>
        <v>37433.500002749264</v>
      </c>
      <c r="M15">
        <f t="shared" si="16"/>
        <v>493.90000012516975</v>
      </c>
      <c r="N15">
        <f t="shared" si="0"/>
        <v>1022.25</v>
      </c>
      <c r="O15">
        <f t="shared" si="1"/>
        <v>17.639285718756064</v>
      </c>
      <c r="P15">
        <f t="shared" si="17"/>
        <v>12.639285718756064</v>
      </c>
      <c r="Q15">
        <f t="shared" si="2"/>
        <v>1</v>
      </c>
      <c r="R15">
        <f t="shared" si="3"/>
        <v>2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1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196.6478181090921</v>
      </c>
      <c r="Y15">
        <f>IF(AND($N15&gt;0,$N15&lt;&gt;""),$N15-('DDD Model Calculations'!L$13+'DDD Model Calculations'!L$12*WorkingData!$P15),"")</f>
        <v>123.56971112477459</v>
      </c>
      <c r="Z15">
        <f>IF(AND($N15&gt;0,$N15&lt;&gt;""),$N15-('DDD Model Calculations'!M$13+'DDD Model Calculations'!M$12*WorkingData!$P15),"")</f>
        <v>138.31889261420929</v>
      </c>
      <c r="AA15">
        <f>IF(AND($N15&gt;0,$N15&lt;&gt;""),$N15-('DDD Model Calculations'!N$13+'DDD Model Calculations'!N$12*WorkingData!$P15),"")</f>
        <v>273.78000022600133</v>
      </c>
      <c r="AB15">
        <f>IF(X15&lt;&gt;"",X15/'DDD Model Calculations'!K$11,"")</f>
        <v>0.92145708888639066</v>
      </c>
      <c r="AC15">
        <f>IF(Y15&lt;&gt;"",Y15/'DDD Model Calculations'!L$11,"")</f>
        <v>0.74418109228811302</v>
      </c>
      <c r="AD15">
        <f>IF(Z15&lt;&gt;"",Z15/'DDD Model Calculations'!M$11,"")</f>
        <v>0.74339266081645761</v>
      </c>
      <c r="AE15">
        <f>IF(AA15&lt;&gt;"",AA15/'DDD Model Calculations'!N$11,"")</f>
        <v>0.88792136042368219</v>
      </c>
      <c r="AF15">
        <f t="shared" si="8"/>
        <v>1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>
      <c r="A16" s="2">
        <v>45325</v>
      </c>
      <c r="B16" s="1">
        <v>30</v>
      </c>
      <c r="C16" s="1">
        <v>525072</v>
      </c>
      <c r="D16" t="str">
        <v>A</v>
      </c>
      <c r="E16">
        <v>35079</v>
      </c>
      <c r="F16">
        <v>529034</v>
      </c>
      <c r="G16">
        <f t="shared" si="12"/>
        <v>35079</v>
      </c>
      <c r="H16" s="2">
        <f t="shared" si="13"/>
        <v>45325</v>
      </c>
      <c r="I16">
        <f t="shared" si="14"/>
        <v>30</v>
      </c>
      <c r="J16">
        <f t="shared" si="15"/>
        <v>455</v>
      </c>
      <c r="K16">
        <f>IF(AND($H17&gt;0,$H17&lt;&gt;""),VLOOKUP($H17,'Weather Data'!$L$2:$P$4170,'DDD Model Calculations'!$D$22,FALSE),"")</f>
        <v>36342.000002294779</v>
      </c>
      <c r="L16">
        <f>IF(AND($K16&gt;0,$K16&lt;&gt;""),VLOOKUP($H16,'Weather Data'!$L$2:$P$4170,'DDD Model Calculations'!$D$22,FALSE),"")</f>
        <v>36939.600002624094</v>
      </c>
      <c r="M16">
        <f t="shared" si="16"/>
        <v>597.60000032931566</v>
      </c>
      <c r="N16">
        <f t="shared" si="0"/>
        <v>1169.3</v>
      </c>
      <c r="O16">
        <f t="shared" si="1"/>
        <v>19.920000010977187</v>
      </c>
      <c r="P16">
        <f t="shared" si="17"/>
        <v>14.920000010977187</v>
      </c>
      <c r="Q16">
        <f t="shared" si="2"/>
        <v>1</v>
      </c>
      <c r="R16">
        <f t="shared" si="3"/>
        <v>2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1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277.14133803721484</v>
      </c>
      <c r="Y16">
        <f>IF(AND($N16&gt;0,$N16&lt;&gt;""),$N16-('DDD Model Calculations'!L$13+'DDD Model Calculations'!L$12*WorkingData!$P16),"")</f>
        <v>193.66234152990273</v>
      </c>
      <c r="Z16">
        <f>IF(AND($N16&gt;0,$N16&lt;&gt;""),$N16-('DDD Model Calculations'!M$13+'DDD Model Calculations'!M$12*WorkingData!$P16),"")</f>
        <v>196.67331432379751</v>
      </c>
      <c r="AA16">
        <f>IF(AND($N16&gt;0,$N16&lt;&gt;""),$N16-('DDD Model Calculations'!N$13+'DDD Model Calculations'!N$12*WorkingData!$P16),"")</f>
        <v>333.74429787713768</v>
      </c>
      <c r="AB16">
        <f>IF(X16&lt;&gt;"",X16/'DDD Model Calculations'!K$11,"")</f>
        <v>1.2986355659241549</v>
      </c>
      <c r="AC16">
        <f>IF(Y16&lt;&gt;"",Y16/'DDD Model Calculations'!L$11,"")</f>
        <v>1.1663040363448895</v>
      </c>
      <c r="AD16">
        <f>IF(Z16&lt;&gt;"",Z16/'DDD Model Calculations'!M$11,"")</f>
        <v>1.0570175605334473</v>
      </c>
      <c r="AE16">
        <f>IF(AA16&lt;&gt;"",AA16/'DDD Model Calculations'!N$11,"")</f>
        <v>1.0823971464683013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>
      <c r="A17" s="2">
        <v>45295</v>
      </c>
      <c r="B17" s="1">
        <v>31</v>
      </c>
      <c r="C17" s="1">
        <v>489993</v>
      </c>
      <c r="D17" t="str">
        <v>A</v>
      </c>
      <c r="E17">
        <v>29467</v>
      </c>
      <c r="F17">
        <v>493955</v>
      </c>
      <c r="G17">
        <f t="shared" si="12"/>
        <v>29467</v>
      </c>
      <c r="H17" s="2">
        <f t="shared" si="13"/>
        <v>45295</v>
      </c>
      <c r="I17">
        <f t="shared" si="14"/>
        <v>31</v>
      </c>
      <c r="J17">
        <f t="shared" si="15"/>
        <v>486</v>
      </c>
      <c r="K17">
        <f>IF(AND($H18&gt;0,$H18&lt;&gt;""),VLOOKUP($H18,'Weather Data'!$L$2:$P$4170,'DDD Model Calculations'!$D$22,FALSE),"")</f>
        <v>35852.500003106892</v>
      </c>
      <c r="L17">
        <f>IF(AND($K17&gt;0,$K17&lt;&gt;""),VLOOKUP($H17,'Weather Data'!$L$2:$P$4170,'DDD Model Calculations'!$D$22,FALSE),"")</f>
        <v>36342.000002294779</v>
      </c>
      <c r="M17">
        <f t="shared" si="16"/>
        <v>489.49999918788671</v>
      </c>
      <c r="N17">
        <f t="shared" si="0"/>
        <v>950.54838709677415</v>
      </c>
      <c r="O17">
        <f t="shared" si="1"/>
        <v>15.790322554447959</v>
      </c>
      <c r="P17">
        <f t="shared" si="17"/>
        <v>10.790322554447959</v>
      </c>
      <c r="Q17">
        <f t="shared" si="2"/>
        <v>1</v>
      </c>
      <c r="R17">
        <f t="shared" si="3"/>
        <v>2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4"/>
        <v>0</v>
      </c>
      <c r="U17">
        <f t="shared" si="5"/>
        <v>1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178.90319596908125</v>
      </c>
      <c r="Y17">
        <f>IF(AND($N17&gt;0,$N17&lt;&gt;""),$N17-('DDD Model Calculations'!L$13+'DDD Model Calculations'!L$12*WorkingData!$P17),"")</f>
        <v>114.25703579618425</v>
      </c>
      <c r="Z17">
        <f>IF(AND($N17&gt;0,$N17&lt;&gt;""),$N17-('DDD Model Calculations'!M$13+'DDD Model Calculations'!M$12*WorkingData!$P17),"")</f>
        <v>138.52232176527207</v>
      </c>
      <c r="AA17">
        <f>IF(AND($N17&gt;0,$N17&lt;&gt;""),$N17-('DDD Model Calculations'!N$13+'DDD Model Calculations'!N$12*WorkingData!$P17),"")</f>
        <v>272.67831135979168</v>
      </c>
      <c r="AB17">
        <f>IF(X17&lt;&gt;"",X17/'DDD Model Calculations'!K$11,"")</f>
        <v>0.83830891049443623</v>
      </c>
      <c r="AC17">
        <f>IF(Y17&lt;&gt;"",Y17/'DDD Model Calculations'!L$11,"")</f>
        <v>0.68809682345659473</v>
      </c>
      <c r="AD17">
        <f>IF(Z17&lt;&gt;"",Z17/'DDD Model Calculations'!M$11,"")</f>
        <v>0.74448598751274619</v>
      </c>
      <c r="AE17">
        <f>IF(AA17&lt;&gt;"",AA17/'DDD Model Calculations'!N$11,"")</f>
        <v>0.88434837088448648</v>
      </c>
      <c r="AF17">
        <f t="shared" si="8"/>
        <v>1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>
      <c r="A18" s="2">
        <v>45264</v>
      </c>
      <c r="B18" s="1">
        <v>30</v>
      </c>
      <c r="C18" s="1">
        <v>460526</v>
      </c>
      <c r="D18" t="str">
        <v>A</v>
      </c>
      <c r="E18">
        <v>23407</v>
      </c>
      <c r="F18">
        <v>464488</v>
      </c>
      <c r="G18">
        <f t="shared" si="12"/>
        <v>23407</v>
      </c>
      <c r="H18" s="2">
        <f t="shared" si="13"/>
        <v>45264</v>
      </c>
      <c r="I18">
        <f t="shared" si="14"/>
        <v>30</v>
      </c>
      <c r="J18">
        <f t="shared" si="15"/>
        <v>516</v>
      </c>
      <c r="K18">
        <f>IF(AND($H19&gt;0,$H19&lt;&gt;""),VLOOKUP($H19,'Weather Data'!$L$2:$P$4170,'DDD Model Calculations'!$D$22,FALSE),"")</f>
        <v>35413.600002892315</v>
      </c>
      <c r="L18">
        <f>IF(AND($K18&gt;0,$K18&lt;&gt;""),VLOOKUP($H18,'Weather Data'!$L$2:$P$4170,'DDD Model Calculations'!$D$22,FALSE),"")</f>
        <v>35852.500003106892</v>
      </c>
      <c r="M18">
        <f t="shared" si="16"/>
        <v>438.90000021457672</v>
      </c>
      <c r="N18">
        <f t="shared" si="0"/>
        <v>780.23333333333335</v>
      </c>
      <c r="O18">
        <f t="shared" si="1"/>
        <v>14.630000007152557</v>
      </c>
      <c r="P18">
        <f t="shared" si="17"/>
        <v>9.6300000071525567</v>
      </c>
      <c r="Q18">
        <f t="shared" si="2"/>
        <v>1</v>
      </c>
      <c r="R18">
        <f t="shared" si="3"/>
        <v>2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4"/>
        <v>0</v>
      </c>
      <c r="U18">
        <f t="shared" si="5"/>
        <v>1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42.449018493133281</v>
      </c>
      <c r="Y18">
        <f>IF(AND($N18&gt;0,$N18&lt;&gt;""),$N18-('DDD Model Calculations'!L$13+'DDD Model Calculations'!L$12*WorkingData!$P18),"")</f>
        <v>-16.905647402457248</v>
      </c>
      <c r="Z18">
        <f>IF(AND($N18&gt;0,$N18&lt;&gt;""),$N18-('DDD Model Calculations'!M$13+'DDD Model Calculations'!M$12*WorkingData!$P18),"")</f>
        <v>13.33149933882305</v>
      </c>
      <c r="AA18">
        <f>IF(AND($N18&gt;0,$N18&lt;&gt;""),$N18-('DDD Model Calculations'!N$13+'DDD Model Calculations'!N$12*WorkingData!$P18),"")</f>
        <v>146.66845808862092</v>
      </c>
      <c r="AB18">
        <f>IF(X18&lt;&gt;"",X18/'DDD Model Calculations'!K$11,"")</f>
        <v>0.19890863464891226</v>
      </c>
      <c r="AC18">
        <f>IF(Y18&lt;&gt;"",Y18/'DDD Model Calculations'!L$11,"")</f>
        <v>-0.10181186825867709</v>
      </c>
      <c r="AD18">
        <f>IF(Z18&lt;&gt;"",Z18/'DDD Model Calculations'!M$11,"")</f>
        <v>7.1649928501107865E-2</v>
      </c>
      <c r="AE18">
        <f>IF(AA18&lt;&gt;"",AA18/'DDD Model Calculations'!N$11,"")</f>
        <v>0.47567410596022031</v>
      </c>
      <c r="AF18">
        <f t="shared" si="8"/>
        <v>1</v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>
      <c r="A19" s="2">
        <v>45234</v>
      </c>
      <c r="B19" s="1">
        <v>30</v>
      </c>
      <c r="C19" s="1">
        <v>437119</v>
      </c>
      <c r="D19" t="str">
        <v>A</v>
      </c>
      <c r="E19">
        <v>17053</v>
      </c>
      <c r="F19">
        <v>441081</v>
      </c>
      <c r="G19">
        <f t="shared" si="12"/>
        <v>17053</v>
      </c>
      <c r="H19" s="2">
        <f t="shared" si="13"/>
        <v>45234</v>
      </c>
      <c r="I19">
        <f t="shared" si="14"/>
        <v>30</v>
      </c>
      <c r="J19">
        <f t="shared" si="15"/>
        <v>546</v>
      </c>
      <c r="K19">
        <f>IF(AND($H20&gt;0,$H20&lt;&gt;""),VLOOKUP($H20,'Weather Data'!$L$2:$P$4170,'DDD Model Calculations'!$D$22,FALSE),"")</f>
        <v>35180.100003965199</v>
      </c>
      <c r="L19">
        <f>IF(AND($K19&gt;0,$K19&lt;&gt;""),VLOOKUP($H19,'Weather Data'!$L$2:$P$4170,'DDD Model Calculations'!$D$22,FALSE),"")</f>
        <v>35413.600002892315</v>
      </c>
      <c r="M19">
        <f t="shared" si="16"/>
        <v>233.49999892711639</v>
      </c>
      <c r="N19">
        <f t="shared" si="0"/>
        <v>568.43333333333328</v>
      </c>
      <c r="O19">
        <f t="shared" si="1"/>
        <v>7.7833332975705467</v>
      </c>
      <c r="P19">
        <f t="shared" si="17"/>
        <v>2.7833332975705467</v>
      </c>
      <c r="Q19">
        <f t="shared" si="2"/>
        <v>1</v>
      </c>
      <c r="R19">
        <f t="shared" si="3"/>
        <v>2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1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30.450474541052472</v>
      </c>
      <c r="Y19">
        <f>IF(AND($N19&gt;0,$N19&lt;&gt;""),$N19-('DDD Model Calculations'!L$13+'DDD Model Calculations'!L$12*WorkingData!$P19),"")</f>
        <v>2.3191075435350967</v>
      </c>
      <c r="Z19">
        <f>IF(AND($N19&gt;0,$N19&lt;&gt;""),$N19-('DDD Model Calculations'!M$13+'DDD Model Calculations'!M$12*WorkingData!$P19),"")</f>
        <v>67.794163294282498</v>
      </c>
      <c r="AA19">
        <f>IF(AND($N19&gt;0,$N19&lt;&gt;""),$N19-('DDD Model Calculations'!N$13+'DDD Model Calculations'!N$12*WorkingData!$P19),"")</f>
        <v>196.2983010050101</v>
      </c>
      <c r="AB19">
        <f>IF(X19&lt;&gt;"",X19/'DDD Model Calculations'!K$11,"")</f>
        <v>0.14268556801500587</v>
      </c>
      <c r="AC19">
        <f>IF(Y19&lt;&gt;"",Y19/'DDD Model Calculations'!L$11,"")</f>
        <v>1.396649687995861E-2</v>
      </c>
      <c r="AD19">
        <f>IF(Z19&lt;&gt;"",Z19/'DDD Model Calculations'!M$11,"")</f>
        <v>0.36435863884283881</v>
      </c>
      <c r="AE19">
        <f>IF(AA19&lt;&gt;"",AA19/'DDD Model Calculations'!N$11,"")</f>
        <v>0.63663326149954724</v>
      </c>
      <c r="AF19">
        <f t="shared" si="8"/>
        <v>1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>
      <c r="A20" s="2">
        <v>45204</v>
      </c>
      <c r="B20" s="1">
        <v>32</v>
      </c>
      <c r="C20" s="1">
        <v>420066</v>
      </c>
      <c r="D20" t="str">
        <v>A</v>
      </c>
      <c r="E20">
        <v>7680</v>
      </c>
      <c r="F20">
        <v>424028</v>
      </c>
      <c r="G20">
        <f t="shared" si="12"/>
        <v>7680</v>
      </c>
      <c r="H20" s="2">
        <f t="shared" si="13"/>
        <v>45204</v>
      </c>
      <c r="I20">
        <f t="shared" si="14"/>
        <v>32</v>
      </c>
      <c r="J20">
        <f t="shared" si="15"/>
        <v>578</v>
      </c>
      <c r="K20">
        <f>IF(AND($H21&gt;0,$H21&lt;&gt;""),VLOOKUP($H21,'Weather Data'!$L$2:$P$4170,'DDD Model Calculations'!$D$22,FALSE),"")</f>
        <v>35154.300003774464</v>
      </c>
      <c r="L20">
        <f>IF(AND($K20&gt;0,$K20&lt;&gt;""),VLOOKUP($H20,'Weather Data'!$L$2:$P$4170,'DDD Model Calculations'!$D$22,FALSE),"")</f>
        <v>35180.100003965199</v>
      </c>
      <c r="M20">
        <f t="shared" si="16"/>
        <v>25.800000190734863</v>
      </c>
      <c r="N20">
        <f t="shared" si="0"/>
        <v>240</v>
      </c>
      <c r="O20">
        <f t="shared" si="1"/>
        <v>0.80625000596046448</v>
      </c>
      <c r="P20">
        <f t="shared" si="17"/>
        <v>-4.1937499940395355</v>
      </c>
      <c r="Q20">
        <f t="shared" si="2"/>
        <v>0</v>
      </c>
      <c r="R20">
        <f t="shared" si="3"/>
        <v>2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1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-94.375547415441474</v>
      </c>
      <c r="Y20">
        <f>IF(AND($N20&gt;0,$N20&lt;&gt;""),$N20-('DDD Model Calculations'!L$13+'DDD Model Calculations'!L$12*WorkingData!$P20),"")</f>
        <v>-90.688868305089727</v>
      </c>
      <c r="Z20">
        <f>IF(AND($N20&gt;0,$N20&lt;&gt;""),$N20-('DDD Model Calculations'!M$13+'DDD Model Calculations'!M$12*WorkingData!$P20),"")</f>
        <v>10.69531470566406</v>
      </c>
      <c r="AA20">
        <f>IF(AND($N20&gt;0,$N20&lt;&gt;""),$N20-('DDD Model Calculations'!N$13+'DDD Model Calculations'!N$12*WorkingData!$P20),"")</f>
        <v>134.27457490251342</v>
      </c>
      <c r="AB20">
        <f>IF(X20&lt;&gt;"",X20/'DDD Model Calculations'!K$11,"")</f>
        <v>-0.44222721624731548</v>
      </c>
      <c r="AC20">
        <f>IF(Y20&lt;&gt;"",Y20/'DDD Model Calculations'!L$11,"")</f>
        <v>-0.54616087113376444</v>
      </c>
      <c r="AD20">
        <f>IF(Z20&lt;&gt;"",Z20/'DDD Model Calculations'!M$11,"")</f>
        <v>5.748179664428732E-2</v>
      </c>
      <c r="AE20">
        <f>IF(AA20&lt;&gt;"",AA20/'DDD Model Calculations'!N$11,"")</f>
        <v>0.43547835166678589</v>
      </c>
      <c r="AF20">
        <f t="shared" si="8"/>
        <v>1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>
      <c r="A21" s="2">
        <v>45172</v>
      </c>
      <c r="B21" s="1">
        <v>29</v>
      </c>
      <c r="C21" s="1">
        <v>412386</v>
      </c>
      <c r="D21" t="str">
        <v>A</v>
      </c>
      <c r="E21">
        <v>2479</v>
      </c>
      <c r="F21">
        <v>416348</v>
      </c>
      <c r="G21">
        <f t="shared" si="12"/>
        <v>2479</v>
      </c>
      <c r="H21" s="2">
        <f t="shared" si="13"/>
        <v>45172</v>
      </c>
      <c r="I21">
        <f t="shared" si="14"/>
        <v>29</v>
      </c>
      <c r="J21">
        <f t="shared" si="15"/>
        <v>607</v>
      </c>
      <c r="K21">
        <f>IF(AND($H22&gt;0,$H22&lt;&gt;""),VLOOKUP($H22,'Weather Data'!$L$2:$P$4170,'DDD Model Calculations'!$D$22,FALSE),"")</f>
        <v>35147.100001104176</v>
      </c>
      <c r="L21">
        <f>IF(AND($K21&gt;0,$K21&lt;&gt;""),VLOOKUP($H21,'Weather Data'!$L$2:$P$4170,'DDD Model Calculations'!$D$22,FALSE),"")</f>
        <v>35154.300003774464</v>
      </c>
      <c r="M21">
        <f t="shared" si="16"/>
        <v>7.2000026702880859</v>
      </c>
      <c r="N21">
        <f t="shared" si="0"/>
        <v>85.482758620689651</v>
      </c>
      <c r="O21">
        <f t="shared" si="1"/>
        <v>0.24827595414786502</v>
      </c>
      <c r="P21">
        <f t="shared" si="17"/>
        <v>-4.7517240458521348</v>
      </c>
      <c r="Q21">
        <f t="shared" si="2"/>
        <v>0</v>
      </c>
      <c r="R21">
        <f t="shared" si="3"/>
        <v>2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4"/>
        <v>0</v>
      </c>
      <c r="U21">
        <f t="shared" si="5"/>
        <v>1</v>
      </c>
      <c r="V21">
        <f t="shared" si="6"/>
        <v>1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-232.60982473092628</v>
      </c>
      <c r="Y21">
        <f>IF(AND($N21&gt;0,$N21&lt;&gt;""),$N21-('DDD Model Calculations'!L$13+'DDD Model Calculations'!L$12*WorkingData!$P21),"")</f>
        <v>-226.3785803107528</v>
      </c>
      <c r="Z21">
        <f>IF(AND($N21&gt;0,$N21&lt;&gt;""),$N21-('DDD Model Calculations'!M$13+'DDD Model Calculations'!M$12*WorkingData!$P21),"")</f>
        <v>-122.1226584376561</v>
      </c>
      <c r="AA21">
        <f>IF(AND($N21&gt;0,$N21&lt;&gt;""),$N21-('DDD Model Calculations'!N$13+'DDD Model Calculations'!N$12*WorkingData!$P21),"")</f>
        <v>1.0627475157726849</v>
      </c>
      <c r="AB21">
        <f>IF(X21&lt;&gt;"",X21/'DDD Model Calculations'!K$11,"")</f>
        <v>-1.0899687268537397</v>
      </c>
      <c r="AC21">
        <f>IF(Y21&lt;&gt;"",Y21/'DDD Model Calculations'!L$11,"")</f>
        <v>-1.3633329529772795</v>
      </c>
      <c r="AD21">
        <f>IF(Z21&lt;&gt;"",Z21/'DDD Model Calculations'!M$11,"")</f>
        <v>-0.65634626106471861</v>
      </c>
      <c r="AE21">
        <f>IF(AA21&lt;&gt;"",AA21/'DDD Model Calculations'!N$11,"")</f>
        <v>3.4466952268712588E-3</v>
      </c>
      <c r="AF21">
        <f t="shared" si="8"/>
        <v>1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>
      <c r="A22" s="2">
        <v>45143</v>
      </c>
      <c r="B22" s="1">
        <v>33</v>
      </c>
      <c r="C22" s="1">
        <v>409907</v>
      </c>
      <c r="D22" t="str">
        <v>A</v>
      </c>
      <c r="E22">
        <v>748</v>
      </c>
      <c r="F22">
        <v>413869</v>
      </c>
      <c r="G22">
        <f t="shared" si="12"/>
        <v>748</v>
      </c>
      <c r="H22" s="2">
        <f t="shared" si="13"/>
        <v>45143</v>
      </c>
      <c r="I22">
        <f t="shared" si="14"/>
        <v>33</v>
      </c>
      <c r="J22">
        <f t="shared" si="15"/>
        <v>640</v>
      </c>
      <c r="K22">
        <f>IF(AND($H23&gt;0,$H23&lt;&gt;""),VLOOKUP($H23,'Weather Data'!$L$2:$P$4170,'DDD Model Calculations'!$D$22,FALSE),"")</f>
        <v>35147.100001104176</v>
      </c>
      <c r="L22">
        <f>IF(AND($K22&gt;0,$K22&lt;&gt;""),VLOOKUP($H22,'Weather Data'!$L$2:$P$4170,'DDD Model Calculations'!$D$22,FALSE),"")</f>
        <v>35147.100001104176</v>
      </c>
      <c r="M22">
        <f t="shared" si="16"/>
        <v>0</v>
      </c>
      <c r="N22">
        <f t="shared" si="0"/>
        <v>22.666666666666668</v>
      </c>
      <c r="O22">
        <f t="shared" si="1"/>
        <v>0</v>
      </c>
      <c r="P22">
        <f t="shared" si="17"/>
        <v>-5</v>
      </c>
      <c r="Q22">
        <f t="shared" si="2"/>
        <v>0</v>
      </c>
      <c r="R22">
        <f t="shared" si="3"/>
        <v>2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4"/>
        <v>0</v>
      </c>
      <c r="U22">
        <f t="shared" si="5"/>
        <v>1</v>
      </c>
      <c r="V22">
        <f t="shared" si="6"/>
        <v>1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-288.18065424636643</v>
      </c>
      <c r="Y22">
        <f>IF(AND($N22&gt;0,$N22&lt;&gt;""),$N22-('DDD Model Calculations'!L$13+'DDD Model Calculations'!L$12*WorkingData!$P22),"")</f>
        <v>-280.81718086655712</v>
      </c>
      <c r="Z22">
        <f>IF(AND($N22&gt;0,$N22&lt;&gt;""),$N22-('DDD Model Calculations'!M$13+'DDD Model Calculations'!M$12*WorkingData!$P22),"")</f>
        <v>-175.28345099540834</v>
      </c>
      <c r="AA22">
        <f>IF(AND($N22&gt;0,$N22&lt;&gt;""),$N22-('DDD Model Calculations'!N$13+'DDD Model Calculations'!N$12*WorkingData!$P22),"")</f>
        <v>-52.273294299113971</v>
      </c>
      <c r="AB22">
        <f>IF(X22&lt;&gt;"",X22/'DDD Model Calculations'!K$11,"")</f>
        <v>-1.3503638600654</v>
      </c>
      <c r="AC22">
        <f>IF(Y22&lt;&gt;"",Y22/'DDD Model Calculations'!L$11,"")</f>
        <v>-1.6911817183057631</v>
      </c>
      <c r="AD22">
        <f>IF(Z22&lt;&gt;"",Z22/'DDD Model Calculations'!M$11,"")</f>
        <v>-0.94205808454529072</v>
      </c>
      <c r="AE22">
        <f>IF(AA22&lt;&gt;"",AA22/'DDD Model Calculations'!N$11,"")</f>
        <v>-0.16953237836796786</v>
      </c>
      <c r="AF22">
        <f t="shared" si="8"/>
        <v>1</v>
      </c>
      <c r="AG22">
        <f t="shared" si="9"/>
        <v>1</v>
      </c>
      <c r="AH22">
        <f t="shared" si="10"/>
        <v>1</v>
      </c>
      <c r="AI22">
        <f t="shared" si="11"/>
        <v>1</v>
      </c>
    </row>
    <row r="23" spans="1:35">
      <c r="A23" s="2">
        <v>45110</v>
      </c>
      <c r="B23" s="1">
        <v>29</v>
      </c>
      <c r="C23" s="1">
        <v>409159</v>
      </c>
      <c r="D23" t="str">
        <v>A</v>
      </c>
      <c r="E23">
        <v>1660</v>
      </c>
      <c r="F23">
        <v>413121</v>
      </c>
      <c r="G23">
        <f t="shared" si="12"/>
        <v>1660</v>
      </c>
      <c r="H23" s="2">
        <f t="shared" si="13"/>
        <v>45110</v>
      </c>
      <c r="I23">
        <f t="shared" si="14"/>
        <v>29</v>
      </c>
      <c r="J23">
        <f t="shared" si="15"/>
        <v>669</v>
      </c>
      <c r="K23">
        <f>IF(AND($H24&gt;0,$H24&lt;&gt;""),VLOOKUP($H24,'Weather Data'!$L$2:$P$4170,'DDD Model Calculations'!$D$22,FALSE),"")</f>
        <v>35133.000002630055</v>
      </c>
      <c r="L23">
        <f>IF(AND($K23&gt;0,$K23&lt;&gt;""),VLOOKUP($H23,'Weather Data'!$L$2:$P$4170,'DDD Model Calculations'!$D$22,FALSE),"")</f>
        <v>35147.100001104176</v>
      </c>
      <c r="M23">
        <f t="shared" si="16"/>
        <v>14.099998474121094</v>
      </c>
      <c r="N23">
        <f t="shared" si="0"/>
        <v>57.241379310344826</v>
      </c>
      <c r="O23">
        <f t="shared" si="1"/>
        <v>0.48620684393521013</v>
      </c>
      <c r="P23">
        <f t="shared" si="17"/>
        <v>-4.5137931560647901</v>
      </c>
      <c r="Q23">
        <f t="shared" si="2"/>
        <v>0</v>
      </c>
      <c r="R23">
        <f t="shared" si="3"/>
        <v>2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4"/>
        <v>0</v>
      </c>
      <c r="U23">
        <f t="shared" si="5"/>
        <v>1</v>
      </c>
      <c r="V23">
        <f t="shared" si="6"/>
        <v>1</v>
      </c>
      <c r="W23">
        <f t="shared" si="7"/>
        <v>1</v>
      </c>
      <c r="X23">
        <f>IF(AND($N23&gt;0,$N23&lt;&gt;"",'DDD Model Calculations'!$K$3&gt;=3),$N23-('DDD Model Calculations'!K$13+'DDD Model Calculations'!K$12*WorkingData!$P23),"")</f>
        <v>-267.79457374725621</v>
      </c>
      <c r="Y23">
        <f>IF(AND($N23&gt;0,$N23&lt;&gt;""),$N23-('DDD Model Calculations'!L$13+'DDD Model Calculations'!L$12*WorkingData!$P23),"")</f>
        <v>-262.64838101778611</v>
      </c>
      <c r="Z23">
        <f>IF(AND($N23&gt;0,$N23&lt;&gt;""),$N23-('DDD Model Calculations'!M$13+'DDD Model Calculations'!M$12*WorkingData!$P23),"")</f>
        <v>-159.61702394395655</v>
      </c>
      <c r="AA23">
        <f>IF(AND($N23&gt;0,$N23&lt;&gt;""),$N23-('DDD Model Calculations'!N$13+'DDD Model Calculations'!N$12*WorkingData!$P23),"")</f>
        <v>-36.263670950196484</v>
      </c>
      <c r="AB23">
        <f>IF(X23&lt;&gt;"",X23/'DDD Model Calculations'!K$11,"")</f>
        <v>-1.2548382723871649</v>
      </c>
      <c r="AC23">
        <f>IF(Y23&lt;&gt;"",Y23/'DDD Model Calculations'!L$11,"")</f>
        <v>-1.5817626932554432</v>
      </c>
      <c r="AD23">
        <f>IF(Z23&lt;&gt;"",Z23/'DDD Model Calculations'!M$11,"")</f>
        <v>-0.85785912465519931</v>
      </c>
      <c r="AE23">
        <f>IF(AA23&lt;&gt;"",AA23/'DDD Model Calculations'!N$11,"")</f>
        <v>-0.11761008115083348</v>
      </c>
      <c r="AF23">
        <f t="shared" si="8"/>
        <v>1</v>
      </c>
      <c r="AG23">
        <f t="shared" si="9"/>
        <v>1</v>
      </c>
      <c r="AH23">
        <f t="shared" si="10"/>
        <v>1</v>
      </c>
      <c r="AI23">
        <f t="shared" si="11"/>
        <v>1</v>
      </c>
    </row>
    <row r="24" spans="1:35">
      <c r="A24" s="2">
        <v>45081</v>
      </c>
      <c r="B24" s="1">
        <v>31</v>
      </c>
      <c r="C24" s="1">
        <v>407499</v>
      </c>
      <c r="D24" t="str">
        <v>A</v>
      </c>
      <c r="E24">
        <v>3787</v>
      </c>
      <c r="F24">
        <v>411461</v>
      </c>
      <c r="G24">
        <f t="shared" si="12"/>
        <v>3787</v>
      </c>
      <c r="H24" s="2">
        <f t="shared" si="13"/>
        <v>45081</v>
      </c>
      <c r="I24">
        <f t="shared" si="14"/>
        <v>31</v>
      </c>
      <c r="J24">
        <f t="shared" si="15"/>
        <v>700</v>
      </c>
      <c r="K24">
        <f>IF(AND($H25&gt;0,$H25&lt;&gt;""),VLOOKUP($H25,'Weather Data'!$L$2:$P$4170,'DDD Model Calculations'!$D$22,FALSE),"")</f>
        <v>35021.500001676381</v>
      </c>
      <c r="L24">
        <f>IF(AND($K24&gt;0,$K24&lt;&gt;""),VLOOKUP($H24,'Weather Data'!$L$2:$P$4170,'DDD Model Calculations'!$D$22,FALSE),"")</f>
        <v>35133.000002630055</v>
      </c>
      <c r="M24">
        <f t="shared" si="16"/>
        <v>111.50000095367432</v>
      </c>
      <c r="N24">
        <f t="shared" si="0"/>
        <v>122.16129032258064</v>
      </c>
      <c r="O24">
        <f t="shared" si="1"/>
        <v>3.5967742243120746</v>
      </c>
      <c r="P24">
        <f t="shared" si="17"/>
        <v>-1.4032257756879254</v>
      </c>
      <c r="Q24">
        <f t="shared" si="2"/>
        <v>0</v>
      </c>
      <c r="R24">
        <f t="shared" si="3"/>
        <v>2</v>
      </c>
      <c r="S24">
        <f>IF('DDD Model Calculations'!$D$23=1,WorkingData!AF24,IF('DDD Model Calculations'!$D$23=2,WorkingData!AG24,IF('DDD Model Calculations'!$D$23=4,WorkingData!AH24,WorkingData!AI24)))</f>
        <v>1</v>
      </c>
      <c r="T24">
        <f t="shared" si="4"/>
        <v>0</v>
      </c>
      <c r="U24">
        <f t="shared" si="5"/>
        <v>1</v>
      </c>
      <c r="V24">
        <f t="shared" si="6"/>
        <v>1</v>
      </c>
      <c r="W24">
        <f t="shared" si="7"/>
        <v>1</v>
      </c>
      <c r="X24">
        <f>IF(AND($N24&gt;0,$N24&lt;&gt;"",'DDD Model Calculations'!$K$3&gt;=3),$N24-('DDD Model Calculations'!K$13+'DDD Model Calculations'!K$12*WorkingData!$P24),"")</f>
        <v>-293.64816144566555</v>
      </c>
      <c r="Y24">
        <f>IF(AND($N24&gt;0,$N24&lt;&gt;""),$N24-('DDD Model Calculations'!L$13+'DDD Model Calculations'!L$12*WorkingData!$P24),"")</f>
        <v>-302.68729117744203</v>
      </c>
      <c r="Z24">
        <f>IF(AND($N24&gt;0,$N24&lt;&gt;""),$N24-('DDD Model Calculations'!M$13+'DDD Model Calculations'!M$12*WorkingData!$P24),"")</f>
        <v>-215.66516822685904</v>
      </c>
      <c r="AA24">
        <f>IF(AND($N24&gt;0,$N24&lt;&gt;""),$N24-('DDD Model Calculations'!N$13+'DDD Model Calculations'!N$12*WorkingData!$P24),"")</f>
        <v>-90.116175206063275</v>
      </c>
      <c r="AB24">
        <f>IF(X24&lt;&gt;"",X24/'DDD Model Calculations'!K$11,"")</f>
        <v>-1.3759836371662912</v>
      </c>
      <c r="AC24">
        <f>IF(Y24&lt;&gt;"",Y24/'DDD Model Calculations'!L$11,"")</f>
        <v>-1.8228913616436992</v>
      </c>
      <c r="AD24">
        <f>IF(Z24&lt;&gt;"",Z24/'DDD Model Calculations'!M$11,"")</f>
        <v>-1.1590889734836112</v>
      </c>
      <c r="AE24">
        <f>IF(AA24&lt;&gt;"",AA24/'DDD Model Calculations'!N$11,"")</f>
        <v>-0.2922641420815783</v>
      </c>
      <c r="AF24">
        <f t="shared" si="8"/>
        <v>1</v>
      </c>
      <c r="AG24">
        <f t="shared" si="9"/>
        <v>1</v>
      </c>
      <c r="AH24">
        <f t="shared" si="10"/>
        <v>1</v>
      </c>
      <c r="AI24">
        <f t="shared" si="11"/>
        <v>1</v>
      </c>
    </row>
    <row r="25" spans="1:35">
      <c r="A25" s="2">
        <v>45050</v>
      </c>
      <c r="B25" s="1">
        <v>29</v>
      </c>
      <c r="C25" s="1">
        <v>403712</v>
      </c>
      <c r="D25" t="str">
        <v>A</v>
      </c>
      <c r="E25">
        <v>16997</v>
      </c>
      <c r="F25">
        <v>407674</v>
      </c>
      <c r="G25">
        <f t="shared" si="12"/>
        <v>16997</v>
      </c>
      <c r="H25" s="2">
        <f t="shared" si="13"/>
        <v>45050</v>
      </c>
      <c r="I25">
        <f t="shared" si="14"/>
        <v>29</v>
      </c>
      <c r="J25">
        <f t="shared" si="15"/>
        <v>729</v>
      </c>
      <c r="K25">
        <f>IF(AND($H26&gt;0,$H26&lt;&gt;""),VLOOKUP($H26,'Weather Data'!$L$2:$P$4170,'DDD Model Calculations'!$D$22,FALSE),"")</f>
        <v>34761.200001962483</v>
      </c>
      <c r="L25">
        <f>IF(AND($K25&gt;0,$K25&lt;&gt;""),VLOOKUP($H25,'Weather Data'!$L$2:$P$4170,'DDD Model Calculations'!$D$22,FALSE),"")</f>
        <v>35021.500001676381</v>
      </c>
      <c r="M25">
        <f t="shared" si="16"/>
        <v>260.29999971389771</v>
      </c>
      <c r="N25">
        <f t="shared" si="0"/>
        <v>586.10344827586209</v>
      </c>
      <c r="O25">
        <f t="shared" si="1"/>
        <v>8.9758620590999207</v>
      </c>
      <c r="P25">
        <f t="shared" si="17"/>
        <v>3.9758620590999207</v>
      </c>
      <c r="Q25">
        <f t="shared" si="2"/>
        <v>1</v>
      </c>
      <c r="R25">
        <f t="shared" si="3"/>
        <v>2</v>
      </c>
      <c r="S25">
        <f>IF('DDD Model Calculations'!$D$23=1,WorkingData!AF25,IF('DDD Model Calculations'!$D$23=2,WorkingData!AG25,IF('DDD Model Calculations'!$D$23=4,WorkingData!AH25,WorkingData!AI25)))</f>
        <v>1</v>
      </c>
      <c r="T25">
        <f t="shared" si="4"/>
        <v>0</v>
      </c>
      <c r="U25">
        <f t="shared" si="5"/>
        <v>1</v>
      </c>
      <c r="V25">
        <f t="shared" si="6"/>
        <v>1</v>
      </c>
      <c r="W25">
        <f t="shared" si="7"/>
        <v>1</v>
      </c>
      <c r="X25">
        <f>IF(AND($N25&gt;0,$N25&lt;&gt;"",'DDD Model Calculations'!$K$3&gt;=3),$N25-('DDD Model Calculations'!K$13+'DDD Model Calculations'!K$12*WorkingData!$P25),"")</f>
        <v>13.319861912144233</v>
      </c>
      <c r="Y25">
        <f>IF(AND($N25&gt;0,$N25&lt;&gt;""),$N25-('DDD Model Calculations'!L$13+'DDD Model Calculations'!L$12*WorkingData!$P25),"")</f>
        <v>-20.249871453297828</v>
      </c>
      <c r="Z25">
        <f>IF(AND($N25&gt;0,$N25&lt;&gt;""),$N25-('DDD Model Calculations'!M$13+'DDD Model Calculations'!M$12*WorkingData!$P25),"")</f>
        <v>39.087567005354117</v>
      </c>
      <c r="AA25">
        <f>IF(AND($N25&gt;0,$N25&lt;&gt;""),$N25-('DDD Model Calculations'!N$13+'DDD Model Calculations'!N$12*WorkingData!$P25),"")</f>
        <v>168.43346879382625</v>
      </c>
      <c r="AB25">
        <f>IF(X25&lt;&gt;"",X25/'DDD Model Calculations'!K$11,"")</f>
        <v>6.2414530198978392E-2</v>
      </c>
      <c r="AC25">
        <f>IF(Y25&lt;&gt;"",Y25/'DDD Model Calculations'!L$11,"")</f>
        <v>-0.12195198418480195</v>
      </c>
      <c r="AD25">
        <f>IF(Z25&lt;&gt;"",Z25/'DDD Model Calculations'!M$11,"")</f>
        <v>0.21007549938963832</v>
      </c>
      <c r="AE25">
        <f>IF(AA25&lt;&gt;"",AA25/'DDD Model Calculations'!N$11,"")</f>
        <v>0.54626223474628544</v>
      </c>
      <c r="AF25">
        <f t="shared" si="8"/>
        <v>1</v>
      </c>
      <c r="AG25">
        <f t="shared" si="9"/>
        <v>1</v>
      </c>
      <c r="AH25">
        <f t="shared" si="10"/>
        <v>1</v>
      </c>
      <c r="AI25">
        <f t="shared" si="11"/>
        <v>1</v>
      </c>
    </row>
    <row r="26" spans="1:35">
      <c r="A26" s="2">
        <v>45021</v>
      </c>
      <c r="B26" s="1">
        <v>29</v>
      </c>
      <c r="C26" s="1">
        <v>386715</v>
      </c>
      <c r="D26" t="str">
        <v>A</v>
      </c>
      <c r="E26">
        <v>25079</v>
      </c>
      <c r="F26">
        <v>390677</v>
      </c>
      <c r="G26">
        <f t="shared" si="12"/>
        <v>25079</v>
      </c>
      <c r="H26" s="2">
        <f t="shared" si="13"/>
        <v>45021</v>
      </c>
      <c r="I26">
        <f t="shared" si="14"/>
        <v>29</v>
      </c>
      <c r="J26">
        <f t="shared" si="15"/>
        <v>758</v>
      </c>
      <c r="K26">
        <f>IF(AND($H27&gt;0,$H27&lt;&gt;""),VLOOKUP($H27,'Weather Data'!$L$2:$P$4170,'DDD Model Calculations'!$D$22,FALSE),"")</f>
        <v>34295.40000141412</v>
      </c>
      <c r="L26">
        <f>IF(AND($K26&gt;0,$K26&lt;&gt;""),VLOOKUP($H26,'Weather Data'!$L$2:$P$4170,'DDD Model Calculations'!$D$22,FALSE),"")</f>
        <v>34761.200001962483</v>
      </c>
      <c r="M26">
        <f t="shared" si="16"/>
        <v>465.80000054836273</v>
      </c>
      <c r="N26">
        <f t="shared" si="0"/>
        <v>864.79310344827582</v>
      </c>
      <c r="O26">
        <f t="shared" si="1"/>
        <v>16.0620689844263</v>
      </c>
      <c r="P26">
        <f t="shared" si="17"/>
        <v>11.0620689844263</v>
      </c>
      <c r="Q26">
        <f t="shared" si="2"/>
        <v>1</v>
      </c>
      <c r="R26">
        <f t="shared" si="3"/>
        <v>3</v>
      </c>
      <c r="S26">
        <f>IF('DDD Model Calculations'!$D$23=1,WorkingData!AF26,IF('DDD Model Calculations'!$D$23=2,WorkingData!AG26,IF('DDD Model Calculations'!$D$23=4,WorkingData!AH26,WorkingData!AI26)))</f>
        <v>1</v>
      </c>
      <c r="T26">
        <f t="shared" si="4"/>
        <v>0</v>
      </c>
      <c r="U26">
        <f t="shared" si="5"/>
        <v>0</v>
      </c>
      <c r="V26">
        <f t="shared" si="6"/>
        <v>1</v>
      </c>
      <c r="W26">
        <f t="shared" si="7"/>
        <v>1</v>
      </c>
      <c r="X26">
        <f>IF(AND($N26&gt;0,$N26&lt;&gt;"",'DDD Model Calculations'!$K$3&gt;=3),$N26-('DDD Model Calculations'!K$13+'DDD Model Calculations'!K$12*WorkingData!$P26),"")</f>
        <v>85.217727503858896</v>
      </c>
      <c r="Y26">
        <f>IF(AND($N26&gt;0,$N26&lt;&gt;""),$N26-('DDD Model Calculations'!L$13+'DDD Model Calculations'!L$12*WorkingData!$P26),"")</f>
        <v>19.33230443595005</v>
      </c>
      <c r="Z26">
        <f>IF(AND($N26&gt;0,$N26&lt;&gt;""),$N26-('DDD Model Calculations'!M$13+'DDD Model Calculations'!M$12*WorkingData!$P26),"")</f>
        <v>42.198986328133969</v>
      </c>
      <c r="AA26">
        <f>IF(AND($N26&gt;0,$N26&lt;&gt;""),$N26-('DDD Model Calculations'!N$13+'DDD Model Calculations'!N$12*WorkingData!$P26),"")</f>
        <v>176.54679216255522</v>
      </c>
      <c r="AB26">
        <f>IF(X26&lt;&gt;"",X26/'DDD Model Calculations'!K$11,"")</f>
        <v>0.39931528283551754</v>
      </c>
      <c r="AC26">
        <f>IF(Y26&lt;&gt;"",Y26/'DDD Model Calculations'!L$11,"")</f>
        <v>0.11642606671682372</v>
      </c>
      <c r="AD26">
        <f>IF(Z26&lt;&gt;"",Z26/'DDD Model Calculations'!M$11,"")</f>
        <v>0.22679777243247096</v>
      </c>
      <c r="AE26">
        <f>IF(AA26&lt;&gt;"",AA26/'DDD Model Calculations'!N$11,"")</f>
        <v>0.57257530771426079</v>
      </c>
      <c r="AF26">
        <f t="shared" si="8"/>
        <v>1</v>
      </c>
      <c r="AG26">
        <f t="shared" si="9"/>
        <v>1</v>
      </c>
      <c r="AH26">
        <f t="shared" si="10"/>
        <v>1</v>
      </c>
      <c r="AI26">
        <f t="shared" si="11"/>
        <v>1</v>
      </c>
    </row>
    <row r="27" spans="1:35">
      <c r="A27" s="2">
        <v>44992</v>
      </c>
      <c r="B27" s="1">
        <v>25</v>
      </c>
      <c r="C27" s="1">
        <v>361636</v>
      </c>
      <c r="D27" t="str">
        <v>A</v>
      </c>
      <c r="E27">
        <v>17453</v>
      </c>
      <c r="F27">
        <v>365598</v>
      </c>
      <c r="G27">
        <f t="shared" si="12"/>
        <v>17453</v>
      </c>
      <c r="H27" s="2">
        <f t="shared" si="13"/>
        <v>44992</v>
      </c>
      <c r="I27">
        <f t="shared" si="14"/>
        <v>25</v>
      </c>
      <c r="J27">
        <f t="shared" si="15"/>
        <v>783</v>
      </c>
      <c r="K27">
        <f>IF(AND($H28&gt;0,$H28&lt;&gt;""),VLOOKUP($H28,'Weather Data'!$L$2:$P$4170,'DDD Model Calculations'!$D$22,FALSE),"")</f>
        <v>33838.30000103265</v>
      </c>
      <c r="L27">
        <f>IF(AND($K27&gt;0,$K27&lt;&gt;""),VLOOKUP($H27,'Weather Data'!$L$2:$P$4170,'DDD Model Calculations'!$D$22,FALSE),"")</f>
        <v>34295.40000141412</v>
      </c>
      <c r="M27">
        <f t="shared" si="16"/>
        <v>457.10000038146973</v>
      </c>
      <c r="N27">
        <f t="shared" si="0"/>
        <v>698.12</v>
      </c>
      <c r="O27">
        <f t="shared" si="1"/>
        <v>18.28400001525879</v>
      </c>
      <c r="P27">
        <f t="shared" si="17"/>
        <v>13.28400001525879</v>
      </c>
      <c r="Q27">
        <f t="shared" si="2"/>
        <v>1</v>
      </c>
      <c r="R27">
        <f t="shared" si="3"/>
        <v>3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1</v>
      </c>
      <c r="W27">
        <f t="shared" si="7"/>
        <v>1</v>
      </c>
      <c r="X27">
        <f>IF(AND($N27&gt;0,$N27&lt;&gt;"",'DDD Model Calculations'!$K$3&gt;=3),$N27-('DDD Model Calculations'!K$13+'DDD Model Calculations'!K$12*WorkingData!$P27),"")</f>
        <v>-146.2964254695936</v>
      </c>
      <c r="Y27">
        <f>IF(AND($N27&gt;0,$N27&lt;&gt;""),$N27-('DDD Model Calculations'!L$13+'DDD Model Calculations'!L$12*WorkingData!$P27),"")</f>
        <v>-222.31466493551613</v>
      </c>
      <c r="Z27">
        <f>IF(AND($N27&gt;0,$N27&lt;&gt;""),$N27-('DDD Model Calculations'!M$13+'DDD Model Calculations'!M$12*WorkingData!$P27),"")</f>
        <v>-210.88365047259538</v>
      </c>
      <c r="AA27">
        <f>IF(AND($N27&gt;0,$N27&lt;&gt;""),$N27-('DDD Model Calculations'!N$13+'DDD Model Calculations'!N$12*WorkingData!$P27),"")</f>
        <v>-74.967461731767685</v>
      </c>
      <c r="AB27">
        <f>IF(X27&lt;&gt;"",X27/'DDD Model Calculations'!K$11,"")</f>
        <v>-0.68551931887142425</v>
      </c>
      <c r="AC27">
        <f>IF(Y27&lt;&gt;"",Y27/'DDD Model Calculations'!L$11,"")</f>
        <v>-1.3388585979320022</v>
      </c>
      <c r="AD27">
        <f>IF(Z27&lt;&gt;"",Z27/'DDD Model Calculations'!M$11,"")</f>
        <v>-1.1333907833166517</v>
      </c>
      <c r="AE27">
        <f>IF(AA27&lt;&gt;"",AA27/'DDD Model Calculations'!N$11,"")</f>
        <v>-0.24313394168103183</v>
      </c>
      <c r="AF27">
        <f t="shared" si="8"/>
        <v>1</v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>
      <c r="A28" s="2">
        <v>44967</v>
      </c>
      <c r="B28" s="1">
        <v>35</v>
      </c>
      <c r="C28" s="1">
        <v>344183</v>
      </c>
      <c r="D28" t="str">
        <v>A</v>
      </c>
      <c r="E28">
        <v>37322</v>
      </c>
      <c r="F28">
        <v>348145</v>
      </c>
      <c r="G28">
        <f t="shared" si="12"/>
        <v>37322</v>
      </c>
      <c r="H28" s="2">
        <f t="shared" si="13"/>
        <v>44967</v>
      </c>
      <c r="I28">
        <f t="shared" si="14"/>
        <v>35</v>
      </c>
      <c r="J28">
        <f t="shared" si="15"/>
        <v>818</v>
      </c>
      <c r="K28">
        <f>IF(AND($H29&gt;0,$H29&lt;&gt;""),VLOOKUP($H29,'Weather Data'!$L$2:$P$4170,'DDD Model Calculations'!$D$22,FALSE),"")</f>
        <v>33132.100002355874</v>
      </c>
      <c r="L28">
        <f>IF(AND($K28&gt;0,$K28&lt;&gt;""),VLOOKUP($H28,'Weather Data'!$L$2:$P$4170,'DDD Model Calculations'!$D$22,FALSE),"")</f>
        <v>33838.30000103265</v>
      </c>
      <c r="M28">
        <f t="shared" si="16"/>
        <v>706.19999867677689</v>
      </c>
      <c r="N28">
        <f t="shared" si="0"/>
        <v>1066.3428571428572</v>
      </c>
      <c r="O28">
        <f t="shared" si="1"/>
        <v>20.177142819336481</v>
      </c>
      <c r="P28">
        <f t="shared" si="17"/>
        <v>15.177142819336481</v>
      </c>
      <c r="Q28">
        <f t="shared" si="2"/>
        <v>1</v>
      </c>
      <c r="R28">
        <f t="shared" si="3"/>
        <v>3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1</v>
      </c>
      <c r="W28">
        <f t="shared" si="7"/>
        <v>1</v>
      </c>
      <c r="X28">
        <f>IF(AND($N28&gt;0,$N28&lt;&gt;"",'DDD Model Calculations'!$K$3&gt;=3),$N28-('DDD Model Calculations'!K$13+'DDD Model Calculations'!K$12*WorkingData!$P28),"")</f>
        <v>166.68017757533971</v>
      </c>
      <c r="Y28">
        <f>IF(AND($N28&gt;0,$N28&lt;&gt;""),$N28-('DDD Model Calculations'!L$13+'DDD Model Calculations'!L$12*WorkingData!$P28),"")</f>
        <v>82.028516017214656</v>
      </c>
      <c r="Z28">
        <f>IF(AND($N28&gt;0,$N28&lt;&gt;""),$N28-('DDD Model Calculations'!M$13+'DDD Model Calculations'!M$12*WorkingData!$P28),"")</f>
        <v>83.716045555032224</v>
      </c>
      <c r="AA28">
        <f>IF(AND($N28&gt;0,$N28&lt;&gt;""),$N28-('DDD Model Calculations'!N$13+'DDD Model Calculations'!N$12*WorkingData!$P28),"")</f>
        <v>220.96853716579619</v>
      </c>
      <c r="AB28">
        <f>IF(X28&lt;&gt;"",X28/'DDD Model Calculations'!K$11,"")</f>
        <v>0.78103399610787716</v>
      </c>
      <c r="AC28">
        <f>IF(Y28&lt;&gt;"",Y28/'DDD Model Calculations'!L$11,"")</f>
        <v>0.49400512546982078</v>
      </c>
      <c r="AD28">
        <f>IF(Z28&lt;&gt;"",Z28/'DDD Model Calculations'!M$11,"")</f>
        <v>0.44993053864135685</v>
      </c>
      <c r="AE28">
        <f>IF(AA28&lt;&gt;"",AA28/'DDD Model Calculations'!N$11,"")</f>
        <v>0.71664359693594237</v>
      </c>
      <c r="AF28">
        <f t="shared" si="8"/>
        <v>1</v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>
      <c r="A29" s="2">
        <v>44932</v>
      </c>
      <c r="B29" s="1">
        <v>31</v>
      </c>
      <c r="C29" s="1">
        <v>306861</v>
      </c>
      <c r="D29" t="str">
        <v>A</v>
      </c>
      <c r="E29">
        <v>30302</v>
      </c>
      <c r="F29">
        <v>310823</v>
      </c>
      <c r="G29">
        <f t="shared" si="12"/>
        <v>30302</v>
      </c>
      <c r="H29" s="2">
        <f t="shared" si="13"/>
        <v>44932</v>
      </c>
      <c r="I29">
        <f t="shared" si="14"/>
        <v>31</v>
      </c>
      <c r="J29">
        <f t="shared" si="15"/>
        <v>849</v>
      </c>
      <c r="K29">
        <f>IF(AND($H30&gt;0,$H30&lt;&gt;""),VLOOKUP($H30,'Weather Data'!$L$2:$P$4170,'DDD Model Calculations'!$D$22,FALSE),"")</f>
        <v>32561.800002120435</v>
      </c>
      <c r="L29">
        <f>IF(AND($K29&gt;0,$K29&lt;&gt;""),VLOOKUP($H29,'Weather Data'!$L$2:$P$4170,'DDD Model Calculations'!$D$22,FALSE),"")</f>
        <v>33132.100002355874</v>
      </c>
      <c r="M29">
        <f t="shared" si="16"/>
        <v>570.30000023543835</v>
      </c>
      <c r="N29">
        <f t="shared" si="0"/>
        <v>977.48387096774195</v>
      </c>
      <c r="O29">
        <f t="shared" si="1"/>
        <v>18.396774201143174</v>
      </c>
      <c r="P29">
        <f t="shared" si="17"/>
        <v>13.396774201143174</v>
      </c>
      <c r="Q29">
        <f t="shared" si="2"/>
        <v>1</v>
      </c>
      <c r="R29">
        <f t="shared" si="3"/>
        <v>3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4"/>
        <v>0</v>
      </c>
      <c r="U29">
        <f t="shared" si="5"/>
        <v>0</v>
      </c>
      <c r="V29">
        <f t="shared" si="6"/>
        <v>1</v>
      </c>
      <c r="W29">
        <f t="shared" si="7"/>
        <v>1</v>
      </c>
      <c r="X29">
        <f>IF(AND($N29&gt;0,$N29&lt;&gt;"",'DDD Model Calculations'!$K$3&gt;=3),$N29-('DDD Model Calculations'!K$13+'DDD Model Calculations'!K$12*WorkingData!$P29),"")</f>
        <v>129.77643579954793</v>
      </c>
      <c r="Y29">
        <f>IF(AND($N29&gt;0,$N29&lt;&gt;""),$N29-('DDD Model Calculations'!L$13+'DDD Model Calculations'!L$12*WorkingData!$P29),"")</f>
        <v>53.243904888866382</v>
      </c>
      <c r="Z29">
        <f>IF(AND($N29&gt;0,$N29&lt;&gt;""),$N29-('DDD Model Calculations'!M$13+'DDD Model Calculations'!M$12*WorkingData!$P29),"")</f>
        <v>64.094501658130639</v>
      </c>
      <c r="AA29">
        <f>IF(AND($N29&gt;0,$N29&lt;&gt;""),$N29-('DDD Model Calculations'!N$13+'DDD Model Calculations'!N$12*WorkingData!$P29),"")</f>
        <v>200.09029372731129</v>
      </c>
      <c r="AB29">
        <f>IF(X29&lt;&gt;"",X29/'DDD Model Calculations'!K$11,"")</f>
        <v>0.60810955284315971</v>
      </c>
      <c r="AC29">
        <f>IF(Y29&lt;&gt;"",Y29/'DDD Model Calculations'!L$11,"")</f>
        <v>0.32065387979965032</v>
      </c>
      <c r="AD29">
        <f>IF(Z29&lt;&gt;"",Z29/'DDD Model Calculations'!M$11,"")</f>
        <v>0.34447486696006013</v>
      </c>
      <c r="AE29">
        <f>IF(AA29&lt;&gt;"",AA29/'DDD Model Calculations'!N$11,"")</f>
        <v>0.64893142547764271</v>
      </c>
      <c r="AF29">
        <f t="shared" si="8"/>
        <v>1</v>
      </c>
      <c r="AG29">
        <f t="shared" si="9"/>
        <v>1</v>
      </c>
      <c r="AH29">
        <f t="shared" si="10"/>
        <v>1</v>
      </c>
      <c r="AI29">
        <f t="shared" si="11"/>
        <v>1</v>
      </c>
    </row>
    <row r="30" spans="1:35">
      <c r="A30" s="2">
        <v>44901</v>
      </c>
      <c r="B30" s="1">
        <v>30</v>
      </c>
      <c r="C30" s="1">
        <v>276559</v>
      </c>
      <c r="D30" t="str">
        <v>A</v>
      </c>
      <c r="E30">
        <v>19056</v>
      </c>
      <c r="F30">
        <v>280521</v>
      </c>
      <c r="G30">
        <f t="shared" si="12"/>
        <v>19056</v>
      </c>
      <c r="H30" s="2">
        <f t="shared" si="13"/>
        <v>44901</v>
      </c>
      <c r="I30">
        <f t="shared" si="14"/>
        <v>30</v>
      </c>
      <c r="J30">
        <f t="shared" si="15"/>
        <v>879</v>
      </c>
      <c r="K30">
        <f>IF(AND($H31&gt;0,$H31&lt;&gt;""),VLOOKUP($H31,'Weather Data'!$L$2:$P$4170,'DDD Model Calculations'!$D$22,FALSE),"")</f>
        <v>32114.300002261996</v>
      </c>
      <c r="L30">
        <f>IF(AND($K30&gt;0,$K30&lt;&gt;""),VLOOKUP($H30,'Weather Data'!$L$2:$P$4170,'DDD Model Calculations'!$D$22,FALSE),"")</f>
        <v>32561.800002120435</v>
      </c>
      <c r="M30">
        <f t="shared" si="16"/>
        <v>447.49999985843897</v>
      </c>
      <c r="N30">
        <f t="shared" si="0"/>
        <v>635.20000000000005</v>
      </c>
      <c r="O30">
        <f t="shared" si="1"/>
        <v>14.916666661947966</v>
      </c>
      <c r="P30">
        <f t="shared" si="17"/>
        <v>9.916666661947966</v>
      </c>
      <c r="Q30">
        <f t="shared" si="2"/>
        <v>1</v>
      </c>
      <c r="R30">
        <f t="shared" si="3"/>
        <v>3</v>
      </c>
      <c r="S30">
        <f>IF('DDD Model Calculations'!$D$23=1,WorkingData!AF30,IF('DDD Model Calculations'!$D$23=2,WorkingData!AG30,IF('DDD Model Calculations'!$D$23=4,WorkingData!AH30,WorkingData!AI30)))</f>
        <v>1</v>
      </c>
      <c r="T30">
        <f t="shared" si="4"/>
        <v>0</v>
      </c>
      <c r="U30">
        <f t="shared" si="5"/>
        <v>0</v>
      </c>
      <c r="V30">
        <f t="shared" si="6"/>
        <v>1</v>
      </c>
      <c r="W30">
        <f t="shared" si="7"/>
        <v>1</v>
      </c>
      <c r="X30">
        <f>IF(AND($N30&gt;0,$N30&lt;&gt;"",'DDD Model Calculations'!$K$3&gt;=3),$N30-('DDD Model Calculations'!K$13+'DDD Model Calculations'!K$12*WorkingData!$P30),"")</f>
        <v>-110.94990607722491</v>
      </c>
      <c r="Y30">
        <f>IF(AND($N30&gt;0,$N30&lt;&gt;""),$N30-('DDD Model Calculations'!L$13+'DDD Model Calculations'!L$12*WorkingData!$P30),"")</f>
        <v>-171.61187653815387</v>
      </c>
      <c r="Z30">
        <f>IF(AND($N30&gt;0,$N30&lt;&gt;""),$N30-('DDD Model Calculations'!M$13+'DDD Model Calculations'!M$12*WorkingData!$P30),"")</f>
        <v>-142.85012416411973</v>
      </c>
      <c r="AA30">
        <f>IF(AND($N30&gt;0,$N30&lt;&gt;""),$N30-('DDD Model Calculations'!N$13+'DDD Model Calculations'!N$12*WorkingData!$P30),"")</f>
        <v>-9.3108175128888888</v>
      </c>
      <c r="AB30">
        <f>IF(X30&lt;&gt;"",X30/'DDD Model Calculations'!K$11,"")</f>
        <v>-0.51989174580834685</v>
      </c>
      <c r="AC30">
        <f>IF(Y30&lt;&gt;"",Y30/'DDD Model Calculations'!L$11,"")</f>
        <v>-1.0335082324730902</v>
      </c>
      <c r="AD30">
        <f>IF(Z30&lt;&gt;"",Z30/'DDD Model Calculations'!M$11,"")</f>
        <v>-0.76774569180882235</v>
      </c>
      <c r="AE30">
        <f>IF(AA30&lt;&gt;"",AA30/'DDD Model Calculations'!N$11,"")</f>
        <v>-3.0196777507036435E-2</v>
      </c>
      <c r="AF30">
        <f t="shared" si="8"/>
        <v>1</v>
      </c>
      <c r="AG30">
        <f t="shared" si="9"/>
        <v>1</v>
      </c>
      <c r="AH30">
        <f t="shared" si="10"/>
        <v>1</v>
      </c>
      <c r="AI30">
        <f t="shared" si="11"/>
        <v>1</v>
      </c>
    </row>
    <row r="31" spans="1:35">
      <c r="A31" s="2">
        <v>44871</v>
      </c>
      <c r="B31" s="1">
        <v>32</v>
      </c>
      <c r="C31" s="1">
        <v>257503</v>
      </c>
      <c r="D31" t="str">
        <v>A</v>
      </c>
      <c r="E31">
        <v>17291</v>
      </c>
      <c r="F31">
        <v>261465</v>
      </c>
      <c r="G31">
        <f t="shared" si="12"/>
        <v>17291</v>
      </c>
      <c r="H31" s="2">
        <f t="shared" si="13"/>
        <v>44871</v>
      </c>
      <c r="I31">
        <f t="shared" si="14"/>
        <v>32</v>
      </c>
      <c r="J31">
        <f t="shared" si="15"/>
        <v>911</v>
      </c>
      <c r="K31">
        <f>IF(AND($H32&gt;0,$H32&lt;&gt;""),VLOOKUP($H32,'Weather Data'!$L$2:$P$4170,'DDD Model Calculations'!$D$22,FALSE),"")</f>
        <v>31876.800002738833</v>
      </c>
      <c r="L31">
        <f>IF(AND($K31&gt;0,$K31&lt;&gt;""),VLOOKUP($H31,'Weather Data'!$L$2:$P$4170,'DDD Model Calculations'!$D$22,FALSE),"")</f>
        <v>32114.300002261996</v>
      </c>
      <c r="M31">
        <f t="shared" si="16"/>
        <v>237.49999952316284</v>
      </c>
      <c r="N31">
        <f t="shared" si="0"/>
        <v>540.34375</v>
      </c>
      <c r="O31">
        <f t="shared" si="1"/>
        <v>7.4218749850988388</v>
      </c>
      <c r="P31">
        <f t="shared" si="17"/>
        <v>2.4218749850988388</v>
      </c>
      <c r="Q31">
        <f t="shared" si="2"/>
        <v>1</v>
      </c>
      <c r="R31">
        <f t="shared" si="3"/>
        <v>3</v>
      </c>
      <c r="S31">
        <f>IF('DDD Model Calculations'!$D$23=1,WorkingData!AF31,IF('DDD Model Calculations'!$D$23=2,WorkingData!AG31,IF('DDD Model Calculations'!$D$23=4,WorkingData!AH31,WorkingData!AI31)))</f>
        <v>1</v>
      </c>
      <c r="T31">
        <f t="shared" si="4"/>
        <v>0</v>
      </c>
      <c r="U31">
        <f t="shared" si="5"/>
        <v>0</v>
      </c>
      <c r="V31">
        <f t="shared" si="6"/>
        <v>1</v>
      </c>
      <c r="W31">
        <f t="shared" si="7"/>
        <v>1</v>
      </c>
      <c r="X31">
        <f>IF(AND($N31&gt;0,$N31&lt;&gt;"",'DDD Model Calculations'!$K$3&gt;=3),$N31-('DDD Model Calculations'!K$13+'DDD Model Calculations'!K$12*WorkingData!$P31),"")</f>
        <v>12.909074753940104</v>
      </c>
      <c r="Y31">
        <f>IF(AND($N31&gt;0,$N31&lt;&gt;""),$N31-('DDD Model Calculations'!L$13+'DDD Model Calculations'!L$12*WorkingData!$P31),"")</f>
        <v>-13.573910423895313</v>
      </c>
      <c r="Z31">
        <f>IF(AND($N31&gt;0,$N31&lt;&gt;""),$N31-('DDD Model Calculations'!M$13+'DDD Model Calculations'!M$12*WorkingData!$P31),"")</f>
        <v>53.761471769757236</v>
      </c>
      <c r="AA31">
        <f>IF(AND($N31&gt;0,$N31&lt;&gt;""),$N31-('DDD Model Calculations'!N$13+'DDD Model Calculations'!N$12*WorkingData!$P31),"")</f>
        <v>182.01046878043945</v>
      </c>
      <c r="AB31">
        <f>IF(X31&lt;&gt;"",X31/'DDD Model Calculations'!K$11,"")</f>
        <v>6.0489653825619889E-2</v>
      </c>
      <c r="AC31">
        <f>IF(Y31&lt;&gt;"",Y31/'DDD Model Calculations'!L$11,"")</f>
        <v>-8.1746953957636717E-2</v>
      </c>
      <c r="AD31">
        <f>IF(Z31&lt;&gt;"",Z31/'DDD Model Calculations'!M$11,"")</f>
        <v>0.28894016423193275</v>
      </c>
      <c r="AE31">
        <f>IF(AA31&lt;&gt;"",AA31/'DDD Model Calculations'!N$11,"")</f>
        <v>0.59029506507952534</v>
      </c>
      <c r="AF31">
        <f t="shared" si="8"/>
        <v>1</v>
      </c>
      <c r="AG31">
        <f t="shared" si="9"/>
        <v>1</v>
      </c>
      <c r="AH31">
        <f t="shared" si="10"/>
        <v>1</v>
      </c>
      <c r="AI31">
        <f t="shared" si="11"/>
        <v>1</v>
      </c>
    </row>
    <row r="32" spans="1:35">
      <c r="A32" s="2">
        <v>44839</v>
      </c>
      <c r="B32" s="1">
        <v>31</v>
      </c>
      <c r="C32" s="1">
        <v>240212</v>
      </c>
      <c r="D32" t="str">
        <v>A</v>
      </c>
      <c r="E32">
        <v>8946</v>
      </c>
      <c r="F32">
        <v>244174</v>
      </c>
      <c r="G32">
        <f t="shared" si="12"/>
        <v>8946</v>
      </c>
      <c r="H32" s="2">
        <f t="shared" si="13"/>
        <v>44839</v>
      </c>
      <c r="I32">
        <f t="shared" si="14"/>
        <v>31</v>
      </c>
      <c r="J32">
        <f t="shared" si="15"/>
        <v>942</v>
      </c>
      <c r="K32">
        <f>IF(AND($H33&gt;0,$H33&lt;&gt;""),VLOOKUP($H33,'Weather Data'!$L$2:$P$4170,'DDD Model Calculations'!$D$22,FALSE),"")</f>
        <v>31797.700003311038</v>
      </c>
      <c r="L32">
        <f>IF(AND($K32&gt;0,$K32&lt;&gt;""),VLOOKUP($H32,'Weather Data'!$L$2:$P$4170,'DDD Model Calculations'!$D$22,FALSE),"")</f>
        <v>31876.800002738833</v>
      </c>
      <c r="M32">
        <f t="shared" si="16"/>
        <v>79.09999942779541</v>
      </c>
      <c r="N32">
        <f t="shared" si="0"/>
        <v>288.58064516129031</v>
      </c>
      <c r="O32">
        <f t="shared" si="1"/>
        <v>2.5516128847675938</v>
      </c>
      <c r="P32">
        <f t="shared" si="17"/>
        <v>-2.4483871152324062</v>
      </c>
      <c r="Q32">
        <f t="shared" si="2"/>
        <v>0</v>
      </c>
      <c r="R32">
        <f t="shared" si="3"/>
        <v>3</v>
      </c>
      <c r="S32">
        <f>IF('DDD Model Calculations'!$D$23=1,WorkingData!AF32,IF('DDD Model Calculations'!$D$23=2,WorkingData!AG32,IF('DDD Model Calculations'!$D$23=4,WorkingData!AH32,WorkingData!AI32)))</f>
        <v>1</v>
      </c>
      <c r="T32">
        <f t="shared" si="4"/>
        <v>0</v>
      </c>
      <c r="U32">
        <f t="shared" si="5"/>
        <v>0</v>
      </c>
      <c r="V32">
        <f t="shared" si="6"/>
        <v>1</v>
      </c>
      <c r="W32">
        <f t="shared" si="7"/>
        <v>1</v>
      </c>
      <c r="X32">
        <f>IF(AND($N32&gt;0,$N32&lt;&gt;"",'DDD Model Calculations'!$K$3&gt;=3),$N32-('DDD Model Calculations'!K$13+'DDD Model Calculations'!K$12*WorkingData!$P32),"")</f>
        <v>-96.728598797259565</v>
      </c>
      <c r="Y32">
        <f>IF(AND($N32&gt;0,$N32&lt;&gt;""),$N32-('DDD Model Calculations'!L$13+'DDD Model Calculations'!L$12*WorkingData!$P32),"")</f>
        <v>-101.00141138734773</v>
      </c>
      <c r="Z32">
        <f>IF(AND($N32&gt;0,$N32&lt;&gt;""),$N32-('DDD Model Calculations'!M$13+'DDD Model Calculations'!M$12*WorkingData!$P32),"")</f>
        <v>-8.6001307027482312</v>
      </c>
      <c r="AA32">
        <f>IF(AND($N32&gt;0,$N32&lt;&gt;""),$N32-('DDD Model Calculations'!N$13+'DDD Model Calculations'!N$12*WorkingData!$P32),"")</f>
        <v>116.21111971639522</v>
      </c>
      <c r="AB32">
        <f>IF(X32&lt;&gt;"",X32/'DDD Model Calculations'!K$11,"")</f>
        <v>-0.45325320116359535</v>
      </c>
      <c r="AC32">
        <f>IF(Y32&lt;&gt;"",Y32/'DDD Model Calculations'!L$11,"")</f>
        <v>-0.60826670196696719</v>
      </c>
      <c r="AD32">
        <f>IF(Z32&lt;&gt;"",Z32/'DDD Model Calculations'!M$11,"")</f>
        <v>-4.6221263962234381E-2</v>
      </c>
      <c r="AE32">
        <f>IF(AA32&lt;&gt;"",AA32/'DDD Model Calculations'!N$11,"")</f>
        <v>0.37689508156096957</v>
      </c>
      <c r="AF32">
        <f t="shared" si="8"/>
        <v>1</v>
      </c>
      <c r="AG32">
        <f t="shared" si="9"/>
        <v>1</v>
      </c>
      <c r="AH32">
        <f t="shared" si="10"/>
        <v>1</v>
      </c>
      <c r="AI32">
        <f t="shared" si="11"/>
        <v>1</v>
      </c>
    </row>
    <row r="33" spans="1:35">
      <c r="A33" s="2">
        <v>44808</v>
      </c>
      <c r="B33" s="1">
        <v>33</v>
      </c>
      <c r="C33" s="1">
        <v>231266</v>
      </c>
      <c r="D33" t="str">
        <v>A</v>
      </c>
      <c r="E33">
        <v>5572</v>
      </c>
      <c r="F33">
        <v>235228</v>
      </c>
      <c r="G33">
        <f t="shared" si="12"/>
        <v>5572</v>
      </c>
      <c r="H33" s="2">
        <f t="shared" si="13"/>
        <v>44808</v>
      </c>
      <c r="I33">
        <f t="shared" si="14"/>
        <v>33</v>
      </c>
      <c r="J33">
        <f t="shared" si="15"/>
        <v>975</v>
      </c>
      <c r="K33">
        <f>IF(AND($H34&gt;0,$H34&lt;&gt;""),VLOOKUP($H34,'Weather Data'!$L$2:$P$4170,'DDD Model Calculations'!$D$22,FALSE),"")</f>
        <v>31797.700003311038</v>
      </c>
      <c r="L33">
        <f>IF(AND($K33&gt;0,$K33&lt;&gt;""),VLOOKUP($H33,'Weather Data'!$L$2:$P$4170,'DDD Model Calculations'!$D$22,FALSE),"")</f>
        <v>31797.700003311038</v>
      </c>
      <c r="M33">
        <f t="shared" si="16"/>
        <v>0</v>
      </c>
      <c r="N33">
        <f t="shared" si="0"/>
        <v>168.84848484848484</v>
      </c>
      <c r="O33">
        <f t="shared" si="1"/>
        <v>0</v>
      </c>
      <c r="P33">
        <f t="shared" si="17"/>
        <v>-5</v>
      </c>
      <c r="Q33">
        <f t="shared" si="2"/>
        <v>0</v>
      </c>
      <c r="R33">
        <f t="shared" si="3"/>
        <v>3</v>
      </c>
      <c r="S33">
        <f>IF('DDD Model Calculations'!$D$23=1,WorkingData!AF33,IF('DDD Model Calculations'!$D$23=2,WorkingData!AG33,IF('DDD Model Calculations'!$D$23=4,WorkingData!AH33,WorkingData!AI33)))</f>
        <v>1</v>
      </c>
      <c r="T33">
        <f t="shared" si="4"/>
        <v>0</v>
      </c>
      <c r="U33">
        <f t="shared" si="5"/>
        <v>0</v>
      </c>
      <c r="V33">
        <f t="shared" si="6"/>
        <v>1</v>
      </c>
      <c r="W33">
        <f t="shared" si="7"/>
        <v>1</v>
      </c>
      <c r="X33">
        <f>IF(AND($N33&gt;0,$N33&lt;&gt;"",'DDD Model Calculations'!$K$3&gt;=3),$N33-('DDD Model Calculations'!K$13+'DDD Model Calculations'!K$12*WorkingData!$P33),"")</f>
        <v>-141.99883606454827</v>
      </c>
      <c r="Y33">
        <f>IF(AND($N33&gt;0,$N33&lt;&gt;""),$N33-('DDD Model Calculations'!L$13+'DDD Model Calculations'!L$12*WorkingData!$P33),"")</f>
        <v>-134.63536268473896</v>
      </c>
      <c r="Z33">
        <f>IF(AND($N33&gt;0,$N33&lt;&gt;""),$N33-('DDD Model Calculations'!M$13+'DDD Model Calculations'!M$12*WorkingData!$P33),"")</f>
        <v>-29.101632813590157</v>
      </c>
      <c r="AA33">
        <f>IF(AND($N33&gt;0,$N33&lt;&gt;""),$N33-('DDD Model Calculations'!N$13+'DDD Model Calculations'!N$12*WorkingData!$P33),"")</f>
        <v>93.908523882704202</v>
      </c>
      <c r="AB33">
        <f>IF(X33&lt;&gt;"",X33/'DDD Model Calculations'!K$11,"")</f>
        <v>-0.6653815707871551</v>
      </c>
      <c r="AC33">
        <f>IF(Y33&lt;&gt;"",Y33/'DDD Model Calculations'!L$11,"")</f>
        <v>-0.81082241231563013</v>
      </c>
      <c r="AD33">
        <f>IF(Z33&lt;&gt;"",Z33/'DDD Model Calculations'!M$11,"")</f>
        <v>-0.15640625689318091</v>
      </c>
      <c r="AE33">
        <f>IF(AA33&lt;&gt;"",AA33/'DDD Model Calculations'!N$11,"")</f>
        <v>0.30456346048827093</v>
      </c>
      <c r="AF33">
        <f t="shared" si="8"/>
        <v>1</v>
      </c>
      <c r="AG33">
        <f t="shared" si="9"/>
        <v>1</v>
      </c>
      <c r="AH33">
        <f t="shared" si="10"/>
        <v>1</v>
      </c>
      <c r="AI33">
        <f t="shared" si="11"/>
        <v>1</v>
      </c>
    </row>
    <row r="34" spans="1:35">
      <c r="A34" s="2">
        <v>44775</v>
      </c>
      <c r="B34" s="1">
        <v>30</v>
      </c>
      <c r="C34" s="1">
        <v>225694</v>
      </c>
      <c r="D34" t="str">
        <v>A</v>
      </c>
      <c r="E34">
        <v>2654</v>
      </c>
      <c r="F34">
        <v>229656</v>
      </c>
      <c r="G34">
        <f t="shared" si="12"/>
        <v>2654</v>
      </c>
      <c r="H34" s="2">
        <f t="shared" si="13"/>
        <v>44775</v>
      </c>
      <c r="I34">
        <f t="shared" si="14"/>
        <v>30</v>
      </c>
      <c r="J34">
        <f t="shared" si="15"/>
        <v>1005</v>
      </c>
      <c r="K34">
        <f>IF(AND($H35&gt;0,$H35&lt;&gt;""),VLOOKUP($H35,'Weather Data'!$L$2:$P$4170,'DDD Model Calculations'!$D$22,FALSE),"")</f>
        <v>31797.700003311038</v>
      </c>
      <c r="L34">
        <f>IF(AND($K34&gt;0,$K34&lt;&gt;""),VLOOKUP($H34,'Weather Data'!$L$2:$P$4170,'DDD Model Calculations'!$D$22,FALSE),"")</f>
        <v>31797.700003311038</v>
      </c>
      <c r="M34">
        <f t="shared" si="16"/>
        <v>0</v>
      </c>
      <c r="N34">
        <f t="shared" ref="N34:N65" si="18">IF(AND($I34&gt;0,$I34&lt;&gt;""),G34/$I34,"")</f>
        <v>88.466666666666669</v>
      </c>
      <c r="O34">
        <f t="shared" ref="O34:O65" si="19">IF(AND($I34&gt;0,$I34&lt;&gt;""),$M34/$I34,"")</f>
        <v>0</v>
      </c>
      <c r="P34">
        <f t="shared" si="17"/>
        <v>-5</v>
      </c>
      <c r="Q34">
        <f t="shared" ref="Q34:Q65" si="20">IF(P34="","",IF(P34&gt;=0,1,0))</f>
        <v>0</v>
      </c>
      <c r="R34">
        <f t="shared" si="3"/>
        <v>3</v>
      </c>
      <c r="S34">
        <f>IF('DDD Model Calculations'!$D$23=1,WorkingData!AF34,IF('DDD Model Calculations'!$D$23=2,WorkingData!AG34,IF('DDD Model Calculations'!$D$23=4,WorkingData!AH34,WorkingData!AI34)))</f>
        <v>1</v>
      </c>
      <c r="T34">
        <f t="shared" ref="T34:T65" si="21">IF($R34&lt;&gt;"",IF($R34=1,1,0),"")</f>
        <v>0</v>
      </c>
      <c r="U34">
        <f t="shared" ref="U34:U65" si="22">IF($R34&lt;&gt;"",IF($R34&lt;=2,1,0),"")</f>
        <v>0</v>
      </c>
      <c r="V34">
        <f t="shared" ref="V34:V65" si="23">IF($R34&lt;&gt;"",IF($R34&lt;=4,1,0),"")</f>
        <v>1</v>
      </c>
      <c r="W34">
        <f t="shared" ref="W34:W65" si="24">IF($R34&lt;&gt;"",IF($R34&lt;=10,1,0),"")</f>
        <v>1</v>
      </c>
      <c r="X34">
        <f>IF(AND($N34&gt;0,$N34&lt;&gt;"",'DDD Model Calculations'!$K$3&gt;=3),$N34-('DDD Model Calculations'!K$13+'DDD Model Calculations'!K$12*WorkingData!$P34),"")</f>
        <v>-222.38065424636645</v>
      </c>
      <c r="Y34">
        <f>IF(AND($N34&gt;0,$N34&lt;&gt;""),$N34-('DDD Model Calculations'!L$13+'DDD Model Calculations'!L$12*WorkingData!$P34),"")</f>
        <v>-215.01718086655714</v>
      </c>
      <c r="Z34">
        <f>IF(AND($N34&gt;0,$N34&lt;&gt;""),$N34-('DDD Model Calculations'!M$13+'DDD Model Calculations'!M$12*WorkingData!$P34),"")</f>
        <v>-109.48345099540833</v>
      </c>
      <c r="AA34">
        <f>IF(AND($N34&gt;0,$N34&lt;&gt;""),$N34-('DDD Model Calculations'!N$13+'DDD Model Calculations'!N$12*WorkingData!$P34),"")</f>
        <v>13.526705700886026</v>
      </c>
      <c r="AB34">
        <f>IF(X34&lt;&gt;"",X34/'DDD Model Calculations'!K$11,"")</f>
        <v>-1.0420366330880408</v>
      </c>
      <c r="AC34">
        <f>IF(Y34&lt;&gt;"",Y34/'DDD Model Calculations'!L$11,"")</f>
        <v>-1.2949105331840851</v>
      </c>
      <c r="AD34">
        <f>IF(Z34&lt;&gt;"",Z34/'DDD Model Calculations'!M$11,"")</f>
        <v>-0.58841704421282981</v>
      </c>
      <c r="AE34">
        <f>IF(AA34&lt;&gt;"",AA34/'DDD Model Calculations'!N$11,"")</f>
        <v>4.3869716261475941E-2</v>
      </c>
      <c r="AF34">
        <f t="shared" ref="AF34:AF65" si="25">IF(AB34="","",IF(ABS(AB34)&gt;2,0,1))</f>
        <v>1</v>
      </c>
      <c r="AG34">
        <f t="shared" ref="AG34:AG65" si="26">IF(AC34="","",IF(ABS(AC34)&gt;2,0,1))</f>
        <v>1</v>
      </c>
      <c r="AH34">
        <f t="shared" ref="AH34:AH65" si="27">IF(AD34="","",IF(ABS(AD34)&gt;2,0,1))</f>
        <v>1</v>
      </c>
      <c r="AI34">
        <f t="shared" ref="AI34:AI65" si="28">IF(AE34="","",IF(ABS(AE34)&gt;2,0,1))</f>
        <v>1</v>
      </c>
    </row>
    <row r="35" spans="1:35">
      <c r="A35" s="2">
        <v>44745</v>
      </c>
      <c r="B35" s="1">
        <v>26</v>
      </c>
      <c r="C35" s="1">
        <v>223040</v>
      </c>
      <c r="D35" t="str">
        <v>A</v>
      </c>
      <c r="E35">
        <v>1079</v>
      </c>
      <c r="F35">
        <v>227002</v>
      </c>
      <c r="G35">
        <f t="shared" si="12"/>
        <v>3937</v>
      </c>
      <c r="H35" s="2">
        <f t="shared" si="13"/>
        <v>44745</v>
      </c>
      <c r="I35">
        <f t="shared" si="14"/>
        <v>59</v>
      </c>
      <c r="J35">
        <f t="shared" ref="J35:J66" si="29">IF(AND(I35&gt;0,I35&lt;&gt;""),I35+J34,"")</f>
        <v>1064</v>
      </c>
      <c r="K35">
        <f>IF(AND($H36&gt;0,$H36&lt;&gt;""),VLOOKUP($H36,'Weather Data'!$L$2:$P$4170,'DDD Model Calculations'!$D$22,FALSE),"")</f>
        <v>31711.500004455447</v>
      </c>
      <c r="L35">
        <f>IF(AND($K35&gt;0,$K35&lt;&gt;""),VLOOKUP($H35,'Weather Data'!$L$2:$P$4170,'DDD Model Calculations'!$D$22,FALSE),"")</f>
        <v>31797.700003311038</v>
      </c>
      <c r="M35">
        <f t="shared" ref="M35:M66" si="30">IF(AND(K35&gt;0,K35&lt;&gt;""),L35-K35,"")</f>
        <v>86.19999885559082</v>
      </c>
      <c r="N35">
        <f t="shared" si="18"/>
        <v>66.728813559322035</v>
      </c>
      <c r="O35">
        <f t="shared" si="19"/>
        <v>1.4610169297557767</v>
      </c>
      <c r="P35">
        <f t="shared" ref="P35:P66" si="31">IF(AND($I35&gt;0,$I35&lt;&gt;""),M35/$I35-5,"")</f>
        <v>-3.5389830702442233</v>
      </c>
      <c r="Q35">
        <f t="shared" si="20"/>
        <v>0</v>
      </c>
      <c r="R35">
        <f t="shared" si="3"/>
        <v>3</v>
      </c>
      <c r="S35">
        <f>IF('DDD Model Calculations'!$D$23=1,WorkingData!AF35,IF('DDD Model Calculations'!$D$23=2,WorkingData!AG35,IF('DDD Model Calculations'!$D$23=4,WorkingData!AH35,WorkingData!AI35)))</f>
        <v>1</v>
      </c>
      <c r="T35">
        <f t="shared" si="21"/>
        <v>0</v>
      </c>
      <c r="U35">
        <f t="shared" si="22"/>
        <v>0</v>
      </c>
      <c r="V35">
        <f t="shared" si="23"/>
        <v>1</v>
      </c>
      <c r="W35">
        <f t="shared" si="24"/>
        <v>1</v>
      </c>
      <c r="X35">
        <f>IF(AND($N35&gt;0,$N35&lt;&gt;"",'DDD Model Calculations'!$K$3&gt;=3),$N35-('DDD Model Calculations'!K$13+'DDD Model Calculations'!K$12*WorkingData!$P35),"")</f>
        <v>-286.75433618226032</v>
      </c>
      <c r="Y35">
        <f>IF(AND($N35&gt;0,$N35&lt;&gt;""),$N35-('DDD Model Calculations'!L$13+'DDD Model Calculations'!L$12*WorkingData!$P35),"")</f>
        <v>-286.05363320269072</v>
      </c>
      <c r="Z35">
        <f>IF(AND($N35&gt;0,$N35&lt;&gt;""),$N35-('DDD Model Calculations'!M$13+'DDD Model Calculations'!M$12*WorkingData!$P35),"")</f>
        <v>-188.03935532414056</v>
      </c>
      <c r="AA35">
        <f>IF(AND($N35&gt;0,$N35&lt;&gt;""),$N35-('DDD Model Calculations'!N$13+'DDD Model Calculations'!N$12*WorkingData!$P35),"")</f>
        <v>-63.997918202485309</v>
      </c>
      <c r="AB35">
        <f>IF(X35&lt;&gt;"",X35/'DDD Model Calculations'!K$11,"")</f>
        <v>-1.3436803844803915</v>
      </c>
      <c r="AC35">
        <f>IF(Y35&lt;&gt;"",Y35/'DDD Model Calculations'!L$11,"")</f>
        <v>-1.7227175112096058</v>
      </c>
      <c r="AD35">
        <f>IF(Z35&lt;&gt;"",Z35/'DDD Model Calculations'!M$11,"")</f>
        <v>-1.0106144869342604</v>
      </c>
      <c r="AE35">
        <f>IF(AA35&lt;&gt;"",AA35/'DDD Model Calculations'!N$11,"")</f>
        <v>-0.20755759568896923</v>
      </c>
      <c r="AF35">
        <f t="shared" si="25"/>
        <v>1</v>
      </c>
      <c r="AG35">
        <f t="shared" si="26"/>
        <v>1</v>
      </c>
      <c r="AH35">
        <f t="shared" si="27"/>
        <v>1</v>
      </c>
      <c r="AI35">
        <f t="shared" si="28"/>
        <v>1</v>
      </c>
    </row>
    <row r="36" spans="1:35">
      <c r="A36" s="2">
        <v>44686</v>
      </c>
      <c r="B36" s="1">
        <v>30</v>
      </c>
      <c r="C36" s="1">
        <v>219103</v>
      </c>
      <c r="D36" t="str">
        <v>A</v>
      </c>
      <c r="E36">
        <v>16473</v>
      </c>
      <c r="F36">
        <v>223065</v>
      </c>
      <c r="G36">
        <f t="shared" si="12"/>
        <v>16473</v>
      </c>
      <c r="H36" s="2">
        <f t="shared" si="13"/>
        <v>44686</v>
      </c>
      <c r="I36">
        <f t="shared" si="14"/>
        <v>30</v>
      </c>
      <c r="J36">
        <f t="shared" si="29"/>
        <v>1094</v>
      </c>
      <c r="K36">
        <f>IF(AND($H37&gt;0,$H37&lt;&gt;""),VLOOKUP($H37,'Weather Data'!$L$2:$P$4170,'DDD Model Calculations'!$D$22,FALSE),"")</f>
        <v>31405.400003358722</v>
      </c>
      <c r="L36">
        <f>IF(AND($K36&gt;0,$K36&lt;&gt;""),VLOOKUP($H36,'Weather Data'!$L$2:$P$4170,'DDD Model Calculations'!$D$22,FALSE),"")</f>
        <v>31711.500004455447</v>
      </c>
      <c r="M36">
        <f t="shared" si="30"/>
        <v>306.10000109672546</v>
      </c>
      <c r="N36">
        <f t="shared" si="18"/>
        <v>549.1</v>
      </c>
      <c r="O36">
        <f t="shared" si="19"/>
        <v>10.203333369890849</v>
      </c>
      <c r="P36">
        <f t="shared" si="31"/>
        <v>5.2033333698908493</v>
      </c>
      <c r="Q36">
        <f t="shared" si="20"/>
        <v>1</v>
      </c>
      <c r="R36">
        <f t="shared" si="3"/>
        <v>3</v>
      </c>
      <c r="S36">
        <f>IF('DDD Model Calculations'!$D$23=1,WorkingData!AF36,IF('DDD Model Calculations'!$D$23=2,WorkingData!AG36,IF('DDD Model Calculations'!$D$23=4,WorkingData!AH36,WorkingData!AI36)))</f>
        <v>1</v>
      </c>
      <c r="T36">
        <f t="shared" si="21"/>
        <v>0</v>
      </c>
      <c r="U36">
        <f t="shared" si="22"/>
        <v>0</v>
      </c>
      <c r="V36">
        <f t="shared" si="23"/>
        <v>1</v>
      </c>
      <c r="W36">
        <f t="shared" si="24"/>
        <v>1</v>
      </c>
      <c r="X36">
        <f>IF(AND($N36&gt;0,$N36&lt;&gt;"",'DDD Model Calculations'!$K$3&gt;=3),$N36-('DDD Model Calculations'!K$13+'DDD Model Calculations'!K$12*WorkingData!$P36),"")</f>
        <v>-59.504017758434884</v>
      </c>
      <c r="Y36">
        <f>IF(AND($N36&gt;0,$N36&lt;&gt;""),$N36-('DDD Model Calculations'!L$13+'DDD Model Calculations'!L$12*WorkingData!$P36),"")</f>
        <v>-98.671468268775811</v>
      </c>
      <c r="Z36">
        <f>IF(AND($N36&gt;0,$N36&lt;&gt;""),$N36-('DDD Model Calculations'!M$13+'DDD Model Calculations'!M$12*WorkingData!$P36),"")</f>
        <v>-45.651486785333077</v>
      </c>
      <c r="AA36">
        <f>IF(AND($N36&gt;0,$N36&lt;&gt;""),$N36-('DDD Model Calculations'!N$13+'DDD Model Calculations'!N$12*WorkingData!$P36),"")</f>
        <v>84.56084379648803</v>
      </c>
      <c r="AB36">
        <f>IF(X36&lt;&gt;"",X36/'DDD Model Calculations'!K$11,"")</f>
        <v>-0.27882536154209375</v>
      </c>
      <c r="AC36">
        <f>IF(Y36&lt;&gt;"",Y36/'DDD Model Calculations'!L$11,"")</f>
        <v>-0.59423494937027121</v>
      </c>
      <c r="AD36">
        <f>IF(Z36&lt;&gt;"",Z36/'DDD Model Calculations'!M$11,"")</f>
        <v>-0.24535318053934316</v>
      </c>
      <c r="AE36">
        <f>IF(AA36&lt;&gt;"",AA36/'DDD Model Calculations'!N$11,"")</f>
        <v>0.27424713054413002</v>
      </c>
      <c r="AF36">
        <f t="shared" si="25"/>
        <v>1</v>
      </c>
      <c r="AG36">
        <f t="shared" si="26"/>
        <v>1</v>
      </c>
      <c r="AH36">
        <f t="shared" si="27"/>
        <v>1</v>
      </c>
      <c r="AI36">
        <f t="shared" si="28"/>
        <v>1</v>
      </c>
    </row>
    <row r="37" spans="1:35">
      <c r="A37" s="2">
        <v>44656</v>
      </c>
      <c r="B37" s="1">
        <v>32</v>
      </c>
      <c r="C37" s="1">
        <v>202630</v>
      </c>
      <c r="D37" t="str">
        <v>A</v>
      </c>
      <c r="E37">
        <v>24121</v>
      </c>
      <c r="F37">
        <v>206592</v>
      </c>
      <c r="G37">
        <f t="shared" si="12"/>
        <v>24121</v>
      </c>
      <c r="H37" s="2">
        <f t="shared" si="13"/>
        <v>44656</v>
      </c>
      <c r="I37">
        <f t="shared" si="14"/>
        <v>32</v>
      </c>
      <c r="J37">
        <f t="shared" si="29"/>
        <v>1126</v>
      </c>
      <c r="K37">
        <f>IF(AND($H38&gt;0,$H38&lt;&gt;""),VLOOKUP($H38,'Weather Data'!$L$2:$P$4170,'DDD Model Calculations'!$D$22,FALSE),"")</f>
        <v>30892.200003959239</v>
      </c>
      <c r="L37">
        <f>IF(AND($K37&gt;0,$K37&lt;&gt;""),VLOOKUP($H37,'Weather Data'!$L$2:$P$4170,'DDD Model Calculations'!$D$22,FALSE),"")</f>
        <v>31405.400003358722</v>
      </c>
      <c r="M37">
        <f t="shared" si="30"/>
        <v>513.1999993994832</v>
      </c>
      <c r="N37">
        <f t="shared" si="18"/>
        <v>753.78125</v>
      </c>
      <c r="O37">
        <f t="shared" si="19"/>
        <v>16.03749998123385</v>
      </c>
      <c r="P37">
        <f t="shared" si="31"/>
        <v>11.03749998123385</v>
      </c>
      <c r="Q37">
        <f t="shared" si="20"/>
        <v>1</v>
      </c>
      <c r="R37">
        <f t="shared" si="3"/>
        <v>4</v>
      </c>
      <c r="S37">
        <f>IF('DDD Model Calculations'!$D$23=1,WorkingData!AF37,IF('DDD Model Calculations'!$D$23=2,WorkingData!AG37,IF('DDD Model Calculations'!$D$23=4,WorkingData!AH37,WorkingData!AI37)))</f>
        <v>1</v>
      </c>
      <c r="T37">
        <f t="shared" si="21"/>
        <v>0</v>
      </c>
      <c r="U37">
        <f t="shared" si="22"/>
        <v>0</v>
      </c>
      <c r="V37">
        <f t="shared" si="23"/>
        <v>1</v>
      </c>
      <c r="W37">
        <f t="shared" si="24"/>
        <v>1</v>
      </c>
      <c r="X37">
        <f>IF(AND($N37&gt;0,$N37&lt;&gt;"",'DDD Model Calculations'!$K$3&gt;=3),$N37-('DDD Model Calculations'!K$13+'DDD Model Calculations'!K$12*WorkingData!$P37),"")</f>
        <v>-25.077146015391349</v>
      </c>
      <c r="Y37">
        <f>IF(AND($N37&gt;0,$N37&lt;&gt;""),$N37-('DDD Model Calculations'!L$13+'DDD Model Calculations'!L$12*WorkingData!$P37),"")</f>
        <v>-90.85052546224415</v>
      </c>
      <c r="Z37">
        <f>IF(AND($N37&gt;0,$N37&lt;&gt;""),$N37-('DDD Model Calculations'!M$13+'DDD Model Calculations'!M$12*WorkingData!$P37),"")</f>
        <v>-67.857393673245952</v>
      </c>
      <c r="AA37">
        <f>IF(AND($N37&gt;0,$N37&lt;&gt;""),$N37-('DDD Model Calculations'!N$13+'DDD Model Calculations'!N$12*WorkingData!$P37),"")</f>
        <v>66.473069766609569</v>
      </c>
      <c r="AB37">
        <f>IF(X37&lt;&gt;"",X37/'DDD Model Calculations'!K$11,"")</f>
        <v>-0.11750709561446732</v>
      </c>
      <c r="AC37">
        <f>IF(Y37&lt;&gt;"",Y37/'DDD Model Calculations'!L$11,"")</f>
        <v>-0.54713442847797389</v>
      </c>
      <c r="AD37">
        <f>IF(Z37&lt;&gt;"",Z37/'DDD Model Calculations'!M$11,"")</f>
        <v>-0.36469846949629248</v>
      </c>
      <c r="AE37">
        <f>IF(AA37&lt;&gt;"",AA37/'DDD Model Calculations'!N$11,"")</f>
        <v>0.21558498973622547</v>
      </c>
      <c r="AF37">
        <f t="shared" si="25"/>
        <v>1</v>
      </c>
      <c r="AG37">
        <f t="shared" si="26"/>
        <v>1</v>
      </c>
      <c r="AH37">
        <f t="shared" si="27"/>
        <v>1</v>
      </c>
      <c r="AI37">
        <f t="shared" si="28"/>
        <v>1</v>
      </c>
    </row>
    <row r="38" spans="1:35">
      <c r="A38" s="2">
        <v>44624</v>
      </c>
      <c r="B38" s="1">
        <v>29</v>
      </c>
      <c r="C38" s="1">
        <v>178509</v>
      </c>
      <c r="D38" t="str">
        <v>A</v>
      </c>
      <c r="E38">
        <v>27458</v>
      </c>
      <c r="F38">
        <v>182471</v>
      </c>
      <c r="G38">
        <f t="shared" si="12"/>
        <v>27458</v>
      </c>
      <c r="H38" s="2">
        <f t="shared" si="13"/>
        <v>44624</v>
      </c>
      <c r="I38">
        <f t="shared" si="14"/>
        <v>29</v>
      </c>
      <c r="J38">
        <f t="shared" si="29"/>
        <v>1155</v>
      </c>
      <c r="K38">
        <f>IF(AND($H39&gt;0,$H39&lt;&gt;""),VLOOKUP($H39,'Weather Data'!$L$2:$P$4170,'DDD Model Calculations'!$D$22,FALSE),"")</f>
        <v>30249.800003625453</v>
      </c>
      <c r="L38">
        <f>IF(AND($K38&gt;0,$K38&lt;&gt;""),VLOOKUP($H38,'Weather Data'!$L$2:$P$4170,'DDD Model Calculations'!$D$22,FALSE),"")</f>
        <v>30892.200003959239</v>
      </c>
      <c r="M38">
        <f t="shared" si="30"/>
        <v>642.40000033378601</v>
      </c>
      <c r="N38">
        <f t="shared" si="18"/>
        <v>946.82758620689651</v>
      </c>
      <c r="O38">
        <f t="shared" si="19"/>
        <v>22.151724149440899</v>
      </c>
      <c r="P38">
        <f t="shared" si="31"/>
        <v>17.151724149440899</v>
      </c>
      <c r="Q38">
        <f t="shared" si="20"/>
        <v>1</v>
      </c>
      <c r="R38">
        <f t="shared" si="3"/>
        <v>4</v>
      </c>
      <c r="S38">
        <f>IF('DDD Model Calculations'!$D$23=1,WorkingData!AF38,IF('DDD Model Calculations'!$D$23=2,WorkingData!AG38,IF('DDD Model Calculations'!$D$23=4,WorkingData!AH38,WorkingData!AI38)))</f>
        <v>1</v>
      </c>
      <c r="T38">
        <f t="shared" si="21"/>
        <v>0</v>
      </c>
      <c r="U38">
        <f t="shared" si="22"/>
        <v>0</v>
      </c>
      <c r="V38">
        <f t="shared" si="23"/>
        <v>1</v>
      </c>
      <c r="W38">
        <f t="shared" si="24"/>
        <v>1</v>
      </c>
      <c r="X38">
        <f>IF(AND($N38&gt;0,$N38&lt;&gt;"",'DDD Model Calculations'!$K$3&gt;=3),$N38-('DDD Model Calculations'!K$13+'DDD Model Calculations'!K$12*WorkingData!$P38),"")</f>
        <v>-10.457910648887264</v>
      </c>
      <c r="Y38">
        <f>IF(AND($N38&gt;0,$N38&lt;&gt;""),$N38-('DDD Model Calculations'!L$13+'DDD Model Calculations'!L$12*WorkingData!$P38),"")</f>
        <v>-104.11438369902203</v>
      </c>
      <c r="Z38">
        <f>IF(AND($N38&gt;0,$N38&lt;&gt;""),$N38-('DDD Model Calculations'!M$13+'DDD Model Calculations'!M$12*WorkingData!$P38),"")</f>
        <v>-112.5894807638158</v>
      </c>
      <c r="AA38">
        <f>IF(AND($N38&gt;0,$N38&lt;&gt;""),$N38-('DDD Model Calculations'!N$13+'DDD Model Calculations'!N$12*WorkingData!$P38),"")</f>
        <v>26.056798305906568</v>
      </c>
      <c r="AB38">
        <f>IF(X38&lt;&gt;"",X38/'DDD Model Calculations'!K$11,"")</f>
        <v>-4.9003929944504657E-2</v>
      </c>
      <c r="AC38">
        <f>IF(Y38&lt;&gt;"",Y38/'DDD Model Calculations'!L$11,"")</f>
        <v>-0.62701413703076869</v>
      </c>
      <c r="AD38">
        <f>IF(Z38&lt;&gt;"",Z38/'DDD Model Calculations'!M$11,"")</f>
        <v>-0.60511035118248346</v>
      </c>
      <c r="AE38">
        <f>IF(AA38&lt;&gt;"",AA38/'DDD Model Calculations'!N$11,"")</f>
        <v>8.4507223978987911E-2</v>
      </c>
      <c r="AF38">
        <f t="shared" si="25"/>
        <v>1</v>
      </c>
      <c r="AG38">
        <f t="shared" si="26"/>
        <v>1</v>
      </c>
      <c r="AH38">
        <f t="shared" si="27"/>
        <v>1</v>
      </c>
      <c r="AI38">
        <f t="shared" si="28"/>
        <v>1</v>
      </c>
    </row>
    <row r="39" spans="1:35">
      <c r="A39" s="2">
        <v>44595</v>
      </c>
      <c r="B39" s="1">
        <v>31</v>
      </c>
      <c r="C39" s="1">
        <v>151051</v>
      </c>
      <c r="D39" t="str">
        <v>A</v>
      </c>
      <c r="E39">
        <v>50480</v>
      </c>
      <c r="F39">
        <v>155013</v>
      </c>
      <c r="G39">
        <f t="shared" si="12"/>
        <v>50480</v>
      </c>
      <c r="H39" s="2">
        <f t="shared" si="13"/>
        <v>44595</v>
      </c>
      <c r="I39">
        <f t="shared" si="14"/>
        <v>31</v>
      </c>
      <c r="J39">
        <f t="shared" si="29"/>
        <v>1186</v>
      </c>
      <c r="K39">
        <f>IF(AND($H40&gt;0,$H40&lt;&gt;""),VLOOKUP($H40,'Weather Data'!$L$2:$P$4170,'DDD Model Calculations'!$D$22,FALSE),"")</f>
        <v>29445.000004209578</v>
      </c>
      <c r="L39">
        <f>IF(AND($K39&gt;0,$K39&lt;&gt;""),VLOOKUP($H39,'Weather Data'!$L$2:$P$4170,'DDD Model Calculations'!$D$22,FALSE),"")</f>
        <v>30249.800003625453</v>
      </c>
      <c r="M39">
        <f t="shared" si="30"/>
        <v>804.79999941587448</v>
      </c>
      <c r="N39">
        <f t="shared" si="18"/>
        <v>1628.3870967741937</v>
      </c>
      <c r="O39">
        <f t="shared" si="19"/>
        <v>25.961290303737886</v>
      </c>
      <c r="P39">
        <f t="shared" si="31"/>
        <v>20.961290303737886</v>
      </c>
      <c r="Q39">
        <f t="shared" si="20"/>
        <v>1</v>
      </c>
      <c r="R39">
        <f t="shared" si="3"/>
        <v>4</v>
      </c>
      <c r="S39">
        <f>IF('DDD Model Calculations'!$D$23=1,WorkingData!AF39,IF('DDD Model Calculations'!$D$23=2,WorkingData!AG39,IF('DDD Model Calculations'!$D$23=4,WorkingData!AH39,WorkingData!AI39)))</f>
        <v>0</v>
      </c>
      <c r="T39">
        <f t="shared" si="21"/>
        <v>0</v>
      </c>
      <c r="U39">
        <f t="shared" si="22"/>
        <v>0</v>
      </c>
      <c r="V39">
        <f t="shared" si="23"/>
        <v>1</v>
      </c>
      <c r="W39">
        <f t="shared" si="24"/>
        <v>1</v>
      </c>
      <c r="X39">
        <f>IF(AND($N39&gt;0,$N39&lt;&gt;"",'DDD Model Calculations'!$K$3&gt;=3),$N39-('DDD Model Calculations'!K$13+'DDD Model Calculations'!K$12*WorkingData!$P39),"")</f>
        <v>559.92971192886307</v>
      </c>
      <c r="Y39">
        <f>IF(AND($N39&gt;0,$N39&lt;&gt;""),$N39-('DDD Model Calculations'!L$13+'DDD Model Calculations'!L$12*WorkingData!$P39),"")</f>
        <v>448.90022690764317</v>
      </c>
      <c r="Z39">
        <f>IF(AND($N39&gt;0,$N39&lt;&gt;""),$N39-('DDD Model Calculations'!M$13+'DDD Model Calculations'!M$12*WorkingData!$P39),"")</f>
        <v>420.8183414296218</v>
      </c>
      <c r="AA39">
        <f>IF(AND($N39&gt;0,$N39&lt;&gt;""),$N39-('DDD Model Calculations'!N$13+'DDD Model Calculations'!N$12*WorkingData!$P39),"")</f>
        <v>562.15365915730172</v>
      </c>
      <c r="AB39">
        <f>IF(X39&lt;&gt;"",X39/'DDD Model Calculations'!K$11,"")</f>
        <v>2.623732148651337</v>
      </c>
      <c r="AC39">
        <f>IF(Y39&lt;&gt;"",Y39/'DDD Model Calculations'!L$11,"")</f>
        <v>2.7034380686638597</v>
      </c>
      <c r="AD39">
        <f>IF(Z39&lt;&gt;"",Z39/'DDD Model Calculations'!M$11,"")</f>
        <v>2.261681398999273</v>
      </c>
      <c r="AE39">
        <f>IF(AA39&lt;&gt;"",AA39/'DDD Model Calculations'!N$11,"")</f>
        <v>1.8231727715467265</v>
      </c>
      <c r="AF39">
        <f t="shared" si="25"/>
        <v>0</v>
      </c>
      <c r="AG39">
        <f t="shared" si="26"/>
        <v>0</v>
      </c>
      <c r="AH39">
        <f t="shared" si="27"/>
        <v>0</v>
      </c>
      <c r="AI39">
        <f t="shared" si="28"/>
        <v>1</v>
      </c>
    </row>
    <row r="40" spans="1:35">
      <c r="A40" s="2">
        <v>44564</v>
      </c>
      <c r="B40" s="1">
        <v>30</v>
      </c>
      <c r="C40" s="1">
        <v>100571</v>
      </c>
      <c r="D40" t="str">
        <v>A</v>
      </c>
      <c r="E40">
        <v>11818</v>
      </c>
      <c r="F40">
        <v>104533</v>
      </c>
      <c r="G40">
        <f t="shared" si="12"/>
        <v>11818</v>
      </c>
      <c r="H40" s="2">
        <f t="shared" si="13"/>
        <v>44564</v>
      </c>
      <c r="I40">
        <f t="shared" si="14"/>
        <v>30</v>
      </c>
      <c r="J40">
        <f t="shared" si="29"/>
        <v>1216</v>
      </c>
      <c r="K40">
        <f>IF(AND($H41&gt;0,$H41&lt;&gt;""),VLOOKUP($H41,'Weather Data'!$L$2:$P$4170,'DDD Model Calculations'!$D$22,FALSE),"")</f>
        <v>28929.000004641712</v>
      </c>
      <c r="L40">
        <f>IF(AND($K40&gt;0,$K40&lt;&gt;""),VLOOKUP($H40,'Weather Data'!$L$2:$P$4170,'DDD Model Calculations'!$D$22,FALSE),"")</f>
        <v>29445.000004209578</v>
      </c>
      <c r="M40">
        <f t="shared" si="30"/>
        <v>515.99999956786633</v>
      </c>
      <c r="N40">
        <f t="shared" si="18"/>
        <v>393.93333333333334</v>
      </c>
      <c r="O40">
        <f t="shared" si="19"/>
        <v>17.199999985595543</v>
      </c>
      <c r="P40">
        <f t="shared" si="31"/>
        <v>12.199999985595543</v>
      </c>
      <c r="Q40">
        <f t="shared" si="20"/>
        <v>1</v>
      </c>
      <c r="R40">
        <f t="shared" si="3"/>
        <v>4</v>
      </c>
      <c r="S40">
        <f>IF('DDD Model Calculations'!$D$23=1,WorkingData!AF40,IF('DDD Model Calculations'!$D$23=2,WorkingData!AG40,IF('DDD Model Calculations'!$D$23=4,WorkingData!AH40,WorkingData!AI40)))</f>
        <v>0</v>
      </c>
      <c r="T40">
        <f t="shared" si="21"/>
        <v>0</v>
      </c>
      <c r="U40">
        <f t="shared" si="22"/>
        <v>0</v>
      </c>
      <c r="V40">
        <f t="shared" si="23"/>
        <v>1</v>
      </c>
      <c r="W40">
        <f t="shared" si="24"/>
        <v>1</v>
      </c>
      <c r="X40">
        <f>IF(AND($N40&gt;0,$N40&lt;&gt;"",'DDD Model Calculations'!$K$3&gt;=3),$N40-('DDD Model Calculations'!K$13+'DDD Model Calculations'!K$12*WorkingData!$P40),"")</f>
        <v>-418.84948216666868</v>
      </c>
      <c r="Y40">
        <f>IF(AND($N40&gt;0,$N40&lt;&gt;""),$N40-('DDD Model Calculations'!L$13+'DDD Model Calculations'!L$12*WorkingData!$P40),"")</f>
        <v>-489.92428588971671</v>
      </c>
      <c r="Z40">
        <f>IF(AND($N40&gt;0,$N40&lt;&gt;""),$N40-('DDD Model Calculations'!M$13+'DDD Model Calculations'!M$12*WorkingData!$P40),"")</f>
        <v>-472.91422164508623</v>
      </c>
      <c r="AA40">
        <f>IF(AND($N40&gt;0,$N40&lt;&gt;""),$N40-('DDD Model Calculations'!N$13+'DDD Model Calculations'!N$12*WorkingData!$P40),"")</f>
        <v>-337.76319037020875</v>
      </c>
      <c r="AB40">
        <f>IF(X40&lt;&gt;"",X40/'DDD Model Calculations'!K$11,"")</f>
        <v>-1.9626550054308793</v>
      </c>
      <c r="AC40">
        <f>IF(Y40&lt;&gt;"",Y40/'DDD Model Calculations'!L$11,"")</f>
        <v>-2.9504996563740105</v>
      </c>
      <c r="AD40">
        <f>IF(Z40&lt;&gt;"",Z40/'DDD Model Calculations'!M$11,"")</f>
        <v>-2.5416698682459615</v>
      </c>
      <c r="AE40">
        <f>IF(AA40&lt;&gt;"",AA40/'DDD Model Calculations'!N$11,"")</f>
        <v>-1.0954311901782088</v>
      </c>
      <c r="AF40">
        <f t="shared" si="25"/>
        <v>1</v>
      </c>
      <c r="AG40">
        <f t="shared" si="26"/>
        <v>0</v>
      </c>
      <c r="AH40">
        <f t="shared" si="27"/>
        <v>0</v>
      </c>
      <c r="AI40">
        <f t="shared" si="28"/>
        <v>1</v>
      </c>
    </row>
    <row r="41" spans="1:35">
      <c r="A41" s="2">
        <v>44534</v>
      </c>
      <c r="B41" s="1">
        <v>31</v>
      </c>
      <c r="C41" s="1">
        <v>88753</v>
      </c>
      <c r="D41" t="str">
        <v>A</v>
      </c>
      <c r="E41">
        <v>20396</v>
      </c>
      <c r="F41">
        <v>92715</v>
      </c>
      <c r="G41">
        <f t="shared" si="12"/>
        <v>20396</v>
      </c>
      <c r="H41" s="2">
        <f t="shared" si="13"/>
        <v>44534</v>
      </c>
      <c r="I41">
        <f t="shared" si="14"/>
        <v>31</v>
      </c>
      <c r="J41">
        <f t="shared" si="29"/>
        <v>1247</v>
      </c>
      <c r="K41">
        <f>IF(AND($H42&gt;0,$H42&lt;&gt;""),VLOOKUP($H42,'Weather Data'!$L$2:$P$4170,'DDD Model Calculations'!$D$22,FALSE),"")</f>
        <v>28493.900004915893</v>
      </c>
      <c r="L41">
        <f>IF(AND($K41&gt;0,$K41&lt;&gt;""),VLOOKUP($H41,'Weather Data'!$L$2:$P$4170,'DDD Model Calculations'!$D$22,FALSE),"")</f>
        <v>28929.000004641712</v>
      </c>
      <c r="M41">
        <f t="shared" si="30"/>
        <v>435.09999972581863</v>
      </c>
      <c r="N41">
        <f t="shared" si="18"/>
        <v>657.93548387096769</v>
      </c>
      <c r="O41">
        <f t="shared" si="19"/>
        <v>14.035483862123181</v>
      </c>
      <c r="P41">
        <f t="shared" si="31"/>
        <v>9.035483862123181</v>
      </c>
      <c r="Q41">
        <f t="shared" si="20"/>
        <v>1</v>
      </c>
      <c r="R41">
        <f t="shared" si="3"/>
        <v>4</v>
      </c>
      <c r="S41">
        <f>IF('DDD Model Calculations'!$D$23=1,WorkingData!AF41,IF('DDD Model Calculations'!$D$23=2,WorkingData!AG41,IF('DDD Model Calculations'!$D$23=4,WorkingData!AH41,WorkingData!AI41)))</f>
        <v>1</v>
      </c>
      <c r="T41">
        <f t="shared" si="21"/>
        <v>0</v>
      </c>
      <c r="U41">
        <f t="shared" si="22"/>
        <v>0</v>
      </c>
      <c r="V41">
        <f t="shared" si="23"/>
        <v>1</v>
      </c>
      <c r="W41">
        <f t="shared" si="24"/>
        <v>1</v>
      </c>
      <c r="X41">
        <f>IF(AND($N41&gt;0,$N41&lt;&gt;"",'DDD Model Calculations'!$K$3&gt;=3),$N41-('DDD Model Calculations'!K$13+'DDD Model Calculations'!K$12*WorkingData!$P41),"")</f>
        <v>-62.499484716606503</v>
      </c>
      <c r="Y41">
        <f>IF(AND($N41&gt;0,$N41&lt;&gt;""),$N41-('DDD Model Calculations'!L$13+'DDD Model Calculations'!L$12*WorkingData!$P41),"")</f>
        <v>-119.14294002120926</v>
      </c>
      <c r="Z41">
        <f>IF(AND($N41&gt;0,$N41&lt;&gt;""),$N41-('DDD Model Calculations'!M$13+'DDD Model Calculations'!M$12*WorkingData!$P41),"")</f>
        <v>-85.845982322009036</v>
      </c>
      <c r="AA41">
        <f>IF(AND($N41&gt;0,$N41&lt;&gt;""),$N41-('DDD Model Calculations'!N$13+'DDD Model Calculations'!N$12*WorkingData!$P41),"")</f>
        <v>47.071328406987163</v>
      </c>
      <c r="AB41">
        <f>IF(X41&lt;&gt;"",X41/'DDD Model Calculations'!K$11,"")</f>
        <v>-0.29286159285995639</v>
      </c>
      <c r="AC41">
        <f>IF(Y41&lt;&gt;"",Y41/'DDD Model Calculations'!L$11,"")</f>
        <v>-0.71752148998610343</v>
      </c>
      <c r="AD41">
        <f>IF(Z41&lt;&gt;"",Z41/'DDD Model Calculations'!M$11,"")</f>
        <v>-0.4613778494941842</v>
      </c>
      <c r="AE41">
        <f>IF(AA41&lt;&gt;"",AA41/'DDD Model Calculations'!N$11,"")</f>
        <v>0.15266139937753043</v>
      </c>
      <c r="AF41">
        <f t="shared" si="25"/>
        <v>1</v>
      </c>
      <c r="AG41">
        <f t="shared" si="26"/>
        <v>1</v>
      </c>
      <c r="AH41">
        <f t="shared" si="27"/>
        <v>1</v>
      </c>
      <c r="AI41">
        <f t="shared" si="28"/>
        <v>1</v>
      </c>
    </row>
    <row r="42" spans="1:35">
      <c r="A42" s="2">
        <v>44503</v>
      </c>
      <c r="B42" s="1">
        <v>30</v>
      </c>
      <c r="C42" s="1">
        <v>68357</v>
      </c>
      <c r="D42" t="str">
        <v>A</v>
      </c>
      <c r="E42">
        <v>14960</v>
      </c>
      <c r="F42">
        <v>72319</v>
      </c>
      <c r="G42">
        <f t="shared" si="12"/>
        <v>14960</v>
      </c>
      <c r="H42" s="2">
        <f t="shared" si="13"/>
        <v>44503</v>
      </c>
      <c r="I42">
        <f t="shared" si="14"/>
        <v>30</v>
      </c>
      <c r="J42">
        <f t="shared" si="29"/>
        <v>1277</v>
      </c>
      <c r="K42">
        <f>IF(AND($H43&gt;0,$H43&lt;&gt;""),VLOOKUP($H43,'Weather Data'!$L$2:$P$4170,'DDD Model Calculations'!$D$22,FALSE),"")</f>
        <v>28316.000004820526</v>
      </c>
      <c r="L42">
        <f>IF(AND($K42&gt;0,$K42&lt;&gt;""),VLOOKUP($H42,'Weather Data'!$L$2:$P$4170,'DDD Model Calculations'!$D$22,FALSE),"")</f>
        <v>28493.900004915893</v>
      </c>
      <c r="M42">
        <f t="shared" si="30"/>
        <v>177.90000009536743</v>
      </c>
      <c r="N42">
        <f t="shared" si="18"/>
        <v>498.66666666666669</v>
      </c>
      <c r="O42">
        <f t="shared" si="19"/>
        <v>5.9300000031789146</v>
      </c>
      <c r="P42">
        <f t="shared" si="31"/>
        <v>0.93000000317891462</v>
      </c>
      <c r="Q42">
        <f t="shared" si="20"/>
        <v>1</v>
      </c>
      <c r="R42">
        <f t="shared" si="3"/>
        <v>4</v>
      </c>
      <c r="S42">
        <f>IF('DDD Model Calculations'!$D$23=1,WorkingData!AF42,IF('DDD Model Calculations'!$D$23=2,WorkingData!AG42,IF('DDD Model Calculations'!$D$23=4,WorkingData!AH42,WorkingData!AI42)))</f>
        <v>1</v>
      </c>
      <c r="T42">
        <f t="shared" si="21"/>
        <v>0</v>
      </c>
      <c r="U42">
        <f t="shared" si="22"/>
        <v>0</v>
      </c>
      <c r="V42">
        <f t="shared" si="23"/>
        <v>1</v>
      </c>
      <c r="W42">
        <f t="shared" si="24"/>
        <v>1</v>
      </c>
      <c r="X42">
        <f>IF(AND($N42&gt;0,$N42&lt;&gt;"",'DDD Model Calculations'!$K$3&gt;=3),$N42-('DDD Model Calculations'!K$13+'DDD Model Calculations'!K$12*WorkingData!$P42),"")</f>
        <v>14.768329068224205</v>
      </c>
      <c r="Y42">
        <f>IF(AND($N42&gt;0,$N42&lt;&gt;""),$N42-('DDD Model Calculations'!L$13+'DDD Model Calculations'!L$12*WorkingData!$P42),"")</f>
        <v>-4.911161729805599</v>
      </c>
      <c r="Z42">
        <f>IF(AND($N42&gt;0,$N42&lt;&gt;""),$N42-('DDD Model Calculations'!M$13+'DDD Model Calculations'!M$12*WorkingData!$P42),"")</f>
        <v>70.102490357256727</v>
      </c>
      <c r="AA42">
        <f>IF(AND($N42&gt;0,$N42&lt;&gt;""),$N42-('DDD Model Calculations'!N$13+'DDD Model Calculations'!N$12*WorkingData!$P42),"")</f>
        <v>197.2984253297073</v>
      </c>
      <c r="AB42">
        <f>IF(X42&lt;&gt;"",X42/'DDD Model Calculations'!K$11,"")</f>
        <v>6.9201792533354067E-2</v>
      </c>
      <c r="AC42">
        <f>IF(Y42&lt;&gt;"",Y42/'DDD Model Calculations'!L$11,"")</f>
        <v>-2.9576776276509047E-2</v>
      </c>
      <c r="AD42">
        <f>IF(Z42&lt;&gt;"",Z42/'DDD Model Calculations'!M$11,"")</f>
        <v>0.37676470546864094</v>
      </c>
      <c r="AE42">
        <f>IF(AA42&lt;&gt;"",AA42/'DDD Model Calculations'!N$11,"")</f>
        <v>0.63987685763602509</v>
      </c>
      <c r="AF42">
        <f t="shared" si="25"/>
        <v>1</v>
      </c>
      <c r="AG42">
        <f t="shared" si="26"/>
        <v>1</v>
      </c>
      <c r="AH42">
        <f t="shared" si="27"/>
        <v>1</v>
      </c>
      <c r="AI42">
        <f t="shared" si="28"/>
        <v>1</v>
      </c>
    </row>
    <row r="43" spans="1:35">
      <c r="A43" s="2">
        <v>44473</v>
      </c>
      <c r="B43" s="1">
        <v>31</v>
      </c>
      <c r="C43" s="1">
        <v>53397</v>
      </c>
      <c r="D43" t="str">
        <v>A</v>
      </c>
      <c r="E43">
        <v>2108</v>
      </c>
      <c r="F43">
        <v>57359</v>
      </c>
      <c r="G43">
        <f t="shared" si="12"/>
        <v>2108</v>
      </c>
      <c r="H43" s="2">
        <f t="shared" si="13"/>
        <v>44473</v>
      </c>
      <c r="I43">
        <f t="shared" si="14"/>
        <v>31</v>
      </c>
      <c r="J43">
        <f t="shared" si="29"/>
        <v>1308</v>
      </c>
      <c r="K43">
        <f>IF(AND($H44&gt;0,$H44&lt;&gt;""),VLOOKUP($H44,'Weather Data'!$L$2:$P$4170,'DDD Model Calculations'!$D$22,FALSE),"")</f>
        <v>28274.400004439056</v>
      </c>
      <c r="L43">
        <f>IF(AND($K43&gt;0,$K43&lt;&gt;""),VLOOKUP($H43,'Weather Data'!$L$2:$P$4170,'DDD Model Calculations'!$D$22,FALSE),"")</f>
        <v>28316.000004820526</v>
      </c>
      <c r="M43">
        <f t="shared" si="30"/>
        <v>41.600000381469727</v>
      </c>
      <c r="N43">
        <f t="shared" si="18"/>
        <v>68</v>
      </c>
      <c r="O43">
        <f t="shared" si="19"/>
        <v>1.3419354961764427</v>
      </c>
      <c r="P43">
        <f t="shared" si="31"/>
        <v>-3.6580645038235575</v>
      </c>
      <c r="Q43">
        <f t="shared" si="20"/>
        <v>0</v>
      </c>
      <c r="R43">
        <f t="shared" si="3"/>
        <v>4</v>
      </c>
      <c r="S43">
        <f>IF('DDD Model Calculations'!$D$23=1,WorkingData!AF43,IF('DDD Model Calculations'!$D$23=2,WorkingData!AG43,IF('DDD Model Calculations'!$D$23=4,WorkingData!AH43,WorkingData!AI43)))</f>
        <v>1</v>
      </c>
      <c r="T43">
        <f t="shared" si="21"/>
        <v>0</v>
      </c>
      <c r="U43">
        <f t="shared" si="22"/>
        <v>0</v>
      </c>
      <c r="V43">
        <f t="shared" si="23"/>
        <v>1</v>
      </c>
      <c r="W43">
        <f t="shared" si="24"/>
        <v>1</v>
      </c>
      <c r="X43">
        <f>IF(AND($N43&gt;0,$N43&lt;&gt;"",'DDD Model Calculations'!$K$3&gt;=3),$N43-('DDD Model Calculations'!K$13+'DDD Model Calculations'!K$12*WorkingData!$P43),"")</f>
        <v>-282.00808007240647</v>
      </c>
      <c r="Y43">
        <f>IF(AND($N43&gt;0,$N43&lt;&gt;""),$N43-('DDD Model Calculations'!L$13+'DDD Model Calculations'!L$12*WorkingData!$P43),"")</f>
        <v>-280.76432229674828</v>
      </c>
      <c r="Z43">
        <f>IF(AND($N43&gt;0,$N43&lt;&gt;""),$N43-('DDD Model Calculations'!M$13+'DDD Model Calculations'!M$12*WorkingData!$P43),"")</f>
        <v>-182.13716505672534</v>
      </c>
      <c r="AA43">
        <f>IF(AND($N43&gt;0,$N43&lt;&gt;""),$N43-('DDD Model Calculations'!N$13+'DDD Model Calculations'!N$12*WorkingData!$P43),"")</f>
        <v>-58.179783327566383</v>
      </c>
      <c r="AB43">
        <f>IF(X43&lt;&gt;"",X43/'DDD Model Calculations'!K$11,"")</f>
        <v>-1.3214402631296989</v>
      </c>
      <c r="AC43">
        <f>IF(Y43&lt;&gt;"",Y43/'DDD Model Calculations'!L$11,"")</f>
        <v>-1.6908633850519337</v>
      </c>
      <c r="AD43">
        <f>IF(Z43&lt;&gt;"",Z43/'DDD Model Calculations'!M$11,"")</f>
        <v>-0.97889326039309255</v>
      </c>
      <c r="AE43">
        <f>IF(AA43&lt;&gt;"",AA43/'DDD Model Calculations'!N$11,"")</f>
        <v>-0.18868826181139603</v>
      </c>
      <c r="AF43">
        <f t="shared" si="25"/>
        <v>1</v>
      </c>
      <c r="AG43">
        <f t="shared" si="26"/>
        <v>1</v>
      </c>
      <c r="AH43">
        <f t="shared" si="27"/>
        <v>1</v>
      </c>
      <c r="AI43">
        <f t="shared" si="28"/>
        <v>1</v>
      </c>
    </row>
    <row r="44" spans="1:35">
      <c r="A44" s="2">
        <v>44442</v>
      </c>
      <c r="B44" s="1">
        <v>33</v>
      </c>
      <c r="C44" s="1">
        <v>51289</v>
      </c>
      <c r="D44" t="str">
        <v>A</v>
      </c>
      <c r="E44">
        <v>125</v>
      </c>
      <c r="F44">
        <v>55251</v>
      </c>
      <c r="G44">
        <f t="shared" si="12"/>
        <v>125</v>
      </c>
      <c r="H44" s="2">
        <f t="shared" si="13"/>
        <v>44442</v>
      </c>
      <c r="I44">
        <f t="shared" si="14"/>
        <v>33</v>
      </c>
      <c r="J44">
        <f t="shared" si="29"/>
        <v>1341</v>
      </c>
      <c r="K44">
        <f>IF(AND($H45&gt;0,$H45&lt;&gt;""),VLOOKUP($H45,'Weather Data'!$L$2:$P$4170,'DDD Model Calculations'!$D$22,FALSE),"")</f>
        <v>28273.300004057586</v>
      </c>
      <c r="L44">
        <f>IF(AND($K44&gt;0,$K44&lt;&gt;""),VLOOKUP($H44,'Weather Data'!$L$2:$P$4170,'DDD Model Calculations'!$D$22,FALSE),"")</f>
        <v>28274.400004439056</v>
      </c>
      <c r="M44">
        <f t="shared" si="30"/>
        <v>1.1000003814697266</v>
      </c>
      <c r="N44">
        <f t="shared" si="18"/>
        <v>3.7878787878787881</v>
      </c>
      <c r="O44">
        <f t="shared" si="19"/>
        <v>3.3333344893022018E-2</v>
      </c>
      <c r="P44">
        <f t="shared" si="31"/>
        <v>-4.9666666551069776</v>
      </c>
      <c r="Q44">
        <f t="shared" si="20"/>
        <v>0</v>
      </c>
      <c r="R44">
        <f t="shared" si="3"/>
        <v>4</v>
      </c>
      <c r="S44">
        <f>IF('DDD Model Calculations'!$D$23=1,WorkingData!AF44,IF('DDD Model Calculations'!$D$23=2,WorkingData!AG44,IF('DDD Model Calculations'!$D$23=4,WorkingData!AH44,WorkingData!AI44)))</f>
        <v>1</v>
      </c>
      <c r="T44">
        <f t="shared" si="21"/>
        <v>0</v>
      </c>
      <c r="U44">
        <f t="shared" si="22"/>
        <v>0</v>
      </c>
      <c r="V44">
        <f t="shared" si="23"/>
        <v>1</v>
      </c>
      <c r="W44">
        <f t="shared" si="24"/>
        <v>1</v>
      </c>
      <c r="X44">
        <f>IF(AND($N44&gt;0,$N44&lt;&gt;"",'DDD Model Calculations'!$K$3&gt;=3),$N44-('DDD Model Calculations'!K$13+'DDD Model Calculations'!K$12*WorkingData!$P44),"")</f>
        <v>-308.03218566987113</v>
      </c>
      <c r="Y44">
        <f>IF(AND($N44&gt;0,$N44&lt;&gt;""),$N44-('DDD Model Calculations'!L$13+'DDD Model Calculations'!L$12*WorkingData!$P44),"")</f>
        <v>-300.82072450783352</v>
      </c>
      <c r="Z44">
        <f>IF(AND($N44&gt;0,$N44&lt;&gt;""),$N44-('DDD Model Calculations'!M$13+'DDD Model Calculations'!M$12*WorkingData!$P44),"")</f>
        <v>-195.45855218784723</v>
      </c>
      <c r="AA44">
        <f>IF(AND($N44&gt;0,$N44&lt;&gt;""),$N44-('DDD Model Calculations'!N$13+'DDD Model Calculations'!N$12*WorkingData!$P44),"")</f>
        <v>-72.424866656670901</v>
      </c>
      <c r="AB44">
        <f>IF(X44&lt;&gt;"",X44/'DDD Model Calculations'!K$11,"")</f>
        <v>-1.4433846447928029</v>
      </c>
      <c r="AC44">
        <f>IF(Y44&lt;&gt;"",Y44/'DDD Model Calculations'!L$11,"")</f>
        <v>-1.8116502281136933</v>
      </c>
      <c r="AD44">
        <f>IF(Z44&lt;&gt;"",Z44/'DDD Model Calculations'!M$11,"")</f>
        <v>-1.0504888409967612</v>
      </c>
      <c r="AE44">
        <f>IF(AA44&lt;&gt;"",AA44/'DDD Model Calculations'!N$11,"")</f>
        <v>-0.23488781531598379</v>
      </c>
      <c r="AF44">
        <f t="shared" si="25"/>
        <v>1</v>
      </c>
      <c r="AG44">
        <f t="shared" si="26"/>
        <v>1</v>
      </c>
      <c r="AH44">
        <f t="shared" si="27"/>
        <v>1</v>
      </c>
      <c r="AI44">
        <f t="shared" si="28"/>
        <v>1</v>
      </c>
    </row>
    <row r="45" spans="1:35">
      <c r="A45" s="2">
        <v>44409</v>
      </c>
      <c r="B45" s="1">
        <v>30</v>
      </c>
      <c r="C45" s="1">
        <v>51164</v>
      </c>
      <c r="D45" t="str">
        <v>A</v>
      </c>
      <c r="E45">
        <v>354</v>
      </c>
      <c r="F45">
        <v>55126</v>
      </c>
      <c r="G45">
        <f t="shared" si="12"/>
        <v>354</v>
      </c>
      <c r="H45" s="2">
        <f t="shared" si="13"/>
        <v>44409</v>
      </c>
      <c r="I45">
        <f t="shared" si="14"/>
        <v>30</v>
      </c>
      <c r="J45">
        <f t="shared" si="29"/>
        <v>1371</v>
      </c>
      <c r="K45">
        <f>IF(AND($H46&gt;0,$H46&lt;&gt;""),VLOOKUP($H46,'Weather Data'!$L$2:$P$4170,'DDD Model Calculations'!$D$22,FALSE),"")</f>
        <v>28268.900004439056</v>
      </c>
      <c r="L45">
        <f>IF(AND($K45&gt;0,$K45&lt;&gt;""),VLOOKUP($H45,'Weather Data'!$L$2:$P$4170,'DDD Model Calculations'!$D$22,FALSE),"")</f>
        <v>28273.300004057586</v>
      </c>
      <c r="M45">
        <f t="shared" si="30"/>
        <v>4.3999996185302734</v>
      </c>
      <c r="N45">
        <f t="shared" si="18"/>
        <v>11.8</v>
      </c>
      <c r="O45">
        <f t="shared" si="19"/>
        <v>0.14666665395100911</v>
      </c>
      <c r="P45">
        <f t="shared" si="31"/>
        <v>-4.8533333460489905</v>
      </c>
      <c r="Q45">
        <f t="shared" si="20"/>
        <v>0</v>
      </c>
      <c r="R45">
        <f t="shared" si="3"/>
        <v>4</v>
      </c>
      <c r="S45">
        <f>IF('DDD Model Calculations'!$D$23=1,WorkingData!AF45,IF('DDD Model Calculations'!$D$23=2,WorkingData!AG45,IF('DDD Model Calculations'!$D$23=4,WorkingData!AH45,WorkingData!AI45)))</f>
        <v>1</v>
      </c>
      <c r="T45">
        <f t="shared" si="21"/>
        <v>0</v>
      </c>
      <c r="U45">
        <f t="shared" si="22"/>
        <v>0</v>
      </c>
      <c r="V45">
        <f t="shared" si="23"/>
        <v>1</v>
      </c>
      <c r="W45">
        <f t="shared" si="24"/>
        <v>1</v>
      </c>
      <c r="X45">
        <f>IF(AND($N45&gt;0,$N45&lt;&gt;"",'DDD Model Calculations'!$K$3&gt;=3),$N45-('DDD Model Calculations'!K$13+'DDD Model Calculations'!K$12*WorkingData!$P45),"")</f>
        <v>-303.32739065442655</v>
      </c>
      <c r="Y45">
        <f>IF(AND($N45&gt;0,$N45&lt;&gt;""),$N45-('DDD Model Calculations'!L$13+'DDD Model Calculations'!L$12*WorkingData!$P45),"")</f>
        <v>-296.63277074287265</v>
      </c>
      <c r="Z45">
        <f>IF(AND($N45&gt;0,$N45&lt;&gt;""),$N45-('DDD Model Calculations'!M$13+'DDD Model Calculations'!M$12*WorkingData!$P45),"")</f>
        <v>-191.85389376961879</v>
      </c>
      <c r="AA45">
        <f>IF(AND($N45&gt;0,$N45&lt;&gt;""),$N45-('DDD Model Calculations'!N$13+'DDD Model Calculations'!N$12*WorkingData!$P45),"")</f>
        <v>-68.740210244721467</v>
      </c>
      <c r="AB45">
        <f>IF(X45&lt;&gt;"",X45/'DDD Model Calculations'!K$11,"")</f>
        <v>-1.4213388028382599</v>
      </c>
      <c r="AC45">
        <f>IF(Y45&lt;&gt;"",Y45/'DDD Model Calculations'!L$11,"")</f>
        <v>-1.7864288694256107</v>
      </c>
      <c r="AD45">
        <f>IF(Z45&lt;&gt;"",Z45/'DDD Model Calculations'!M$11,"")</f>
        <v>-1.031115662378745</v>
      </c>
      <c r="AE45">
        <f>IF(AA45&lt;&gt;"",AA45/'DDD Model Calculations'!N$11,"")</f>
        <v>-0.22293776370048501</v>
      </c>
      <c r="AF45">
        <f t="shared" si="25"/>
        <v>1</v>
      </c>
      <c r="AG45">
        <f t="shared" si="26"/>
        <v>1</v>
      </c>
      <c r="AH45">
        <f t="shared" si="27"/>
        <v>1</v>
      </c>
      <c r="AI45">
        <f t="shared" si="28"/>
        <v>1</v>
      </c>
    </row>
    <row r="46" spans="1:35">
      <c r="A46" s="2">
        <v>44379</v>
      </c>
      <c r="B46" s="1">
        <v>29</v>
      </c>
      <c r="C46" s="1">
        <v>50810</v>
      </c>
      <c r="D46" t="str">
        <v>A</v>
      </c>
      <c r="E46">
        <v>283</v>
      </c>
      <c r="F46">
        <v>54772</v>
      </c>
      <c r="G46">
        <f t="shared" si="12"/>
        <v>283</v>
      </c>
      <c r="H46" s="2">
        <f t="shared" si="13"/>
        <v>44379</v>
      </c>
      <c r="I46">
        <f t="shared" si="14"/>
        <v>29</v>
      </c>
      <c r="J46">
        <f t="shared" si="29"/>
        <v>1400</v>
      </c>
      <c r="K46">
        <f>IF(AND($H47&gt;0,$H47&lt;&gt;""),VLOOKUP($H47,'Weather Data'!$L$2:$P$4170,'DDD Model Calculations'!$D$22,FALSE),"")</f>
        <v>28261.900003485382</v>
      </c>
      <c r="L46">
        <f>IF(AND($K46&gt;0,$K46&lt;&gt;""),VLOOKUP($H46,'Weather Data'!$L$2:$P$4170,'DDD Model Calculations'!$D$22,FALSE),"")</f>
        <v>28268.900004439056</v>
      </c>
      <c r="M46">
        <f t="shared" si="30"/>
        <v>7.0000009536743164</v>
      </c>
      <c r="N46">
        <f t="shared" si="18"/>
        <v>9.7586206896551726</v>
      </c>
      <c r="O46">
        <f t="shared" si="19"/>
        <v>0.24137934323014884</v>
      </c>
      <c r="P46">
        <f t="shared" si="31"/>
        <v>-4.7586206567698515</v>
      </c>
      <c r="Q46">
        <f t="shared" si="20"/>
        <v>0</v>
      </c>
      <c r="R46">
        <f t="shared" ref="R46:R77" si="32">IF(AND(J46&gt;0,J46&lt;&gt;""),TRUNC(J46/365.25,0)+1,"")</f>
        <v>4</v>
      </c>
      <c r="S46">
        <f>IF('DDD Model Calculations'!$D$23=1,WorkingData!AF46,IF('DDD Model Calculations'!$D$23=2,WorkingData!AG46,IF('DDD Model Calculations'!$D$23=4,WorkingData!AH46,WorkingData!AI46)))</f>
        <v>1</v>
      </c>
      <c r="T46">
        <f t="shared" si="21"/>
        <v>0</v>
      </c>
      <c r="U46">
        <f t="shared" si="22"/>
        <v>0</v>
      </c>
      <c r="V46">
        <f t="shared" si="23"/>
        <v>1</v>
      </c>
      <c r="W46">
        <f t="shared" si="24"/>
        <v>1</v>
      </c>
      <c r="X46">
        <f>IF(AND($N46&gt;0,$N46&lt;&gt;"",'DDD Model Calculations'!$K$3&gt;=3),$N46-('DDD Model Calculations'!K$13+'DDD Model Calculations'!K$12*WorkingData!$P46),"")</f>
        <v>-308.13270371923653</v>
      </c>
      <c r="Y46">
        <f>IF(AND($N46&gt;0,$N46&lt;&gt;""),$N46-('DDD Model Calculations'!L$13+'DDD Model Calculations'!L$12*WorkingData!$P46),"")</f>
        <v>-301.87000823634861</v>
      </c>
      <c r="Z46">
        <f>IF(AND($N46&gt;0,$N46&lt;&gt;""),$N46-('DDD Model Calculations'!M$13+'DDD Model Calculations'!M$12*WorkingData!$P46),"")</f>
        <v>-197.57859140515035</v>
      </c>
      <c r="AA46">
        <f>IF(AND($N46&gt;0,$N46&lt;&gt;""),$N46-('DDD Model Calculations'!N$13+'DDD Model Calculations'!N$12*WorkingData!$P46),"")</f>
        <v>-74.398053526619208</v>
      </c>
      <c r="AB46">
        <f>IF(X46&lt;&gt;"",X46/'DDD Model Calculations'!K$11,"")</f>
        <v>-1.4438556546928334</v>
      </c>
      <c r="AC46">
        <f>IF(Y46&lt;&gt;"",Y46/'DDD Model Calculations'!L$11,"")</f>
        <v>-1.817969390828398</v>
      </c>
      <c r="AD46">
        <f>IF(Z46&lt;&gt;"",Z46/'DDD Model Calculations'!M$11,"")</f>
        <v>-1.0618829576282611</v>
      </c>
      <c r="AE46">
        <f>IF(AA46&lt;&gt;"",AA46/'DDD Model Calculations'!N$11,"")</f>
        <v>-0.24128724101723431</v>
      </c>
      <c r="AF46">
        <f t="shared" si="25"/>
        <v>1</v>
      </c>
      <c r="AG46">
        <f t="shared" si="26"/>
        <v>1</v>
      </c>
      <c r="AH46">
        <f t="shared" si="27"/>
        <v>1</v>
      </c>
      <c r="AI46">
        <f t="shared" si="28"/>
        <v>1</v>
      </c>
    </row>
    <row r="47" spans="1:35">
      <c r="A47" s="2">
        <v>44350</v>
      </c>
      <c r="B47" s="1">
        <v>33</v>
      </c>
      <c r="C47" s="1">
        <v>50527</v>
      </c>
      <c r="D47" t="str">
        <v>A</v>
      </c>
      <c r="E47">
        <v>1028</v>
      </c>
      <c r="F47">
        <v>54489</v>
      </c>
      <c r="G47">
        <f t="shared" si="12"/>
        <v>1028</v>
      </c>
      <c r="H47" s="2">
        <f t="shared" si="13"/>
        <v>44350</v>
      </c>
      <c r="I47">
        <f t="shared" si="14"/>
        <v>33</v>
      </c>
      <c r="J47">
        <f t="shared" si="29"/>
        <v>1433</v>
      </c>
      <c r="K47">
        <f>IF(AND($H48&gt;0,$H48&lt;&gt;""),VLOOKUP($H48,'Weather Data'!$L$2:$P$4170,'DDD Model Calculations'!$D$22,FALSE),"")</f>
        <v>28108.200001768768</v>
      </c>
      <c r="L47">
        <f>IF(AND($K47&gt;0,$K47&lt;&gt;""),VLOOKUP($H47,'Weather Data'!$L$2:$P$4170,'DDD Model Calculations'!$D$22,FALSE),"")</f>
        <v>28261.900003485382</v>
      </c>
      <c r="M47">
        <f t="shared" si="30"/>
        <v>153.70000171661377</v>
      </c>
      <c r="N47">
        <f t="shared" si="18"/>
        <v>31.151515151515152</v>
      </c>
      <c r="O47">
        <f t="shared" si="19"/>
        <v>4.6575758095943565</v>
      </c>
      <c r="P47">
        <f t="shared" si="31"/>
        <v>-0.34242419040564354</v>
      </c>
      <c r="Q47">
        <f t="shared" si="20"/>
        <v>0</v>
      </c>
      <c r="R47">
        <f t="shared" si="32"/>
        <v>4</v>
      </c>
      <c r="S47">
        <f>IF('DDD Model Calculations'!$D$23=1,WorkingData!AF47,IF('DDD Model Calculations'!$D$23=2,WorkingData!AG47,IF('DDD Model Calculations'!$D$23=4,WorkingData!AH47,WorkingData!AI47)))</f>
        <v>0</v>
      </c>
      <c r="T47">
        <f t="shared" si="21"/>
        <v>0</v>
      </c>
      <c r="U47">
        <f t="shared" si="22"/>
        <v>0</v>
      </c>
      <c r="V47">
        <f t="shared" si="23"/>
        <v>1</v>
      </c>
      <c r="W47">
        <f t="shared" si="24"/>
        <v>1</v>
      </c>
      <c r="X47">
        <f>IF(AND($N47&gt;0,$N47&lt;&gt;"",'DDD Model Calculations'!$K$3&gt;=3),$N47-('DDD Model Calculations'!K$13+'DDD Model Calculations'!K$12*WorkingData!$P47),"")</f>
        <v>-415.6145627105227</v>
      </c>
      <c r="Y47">
        <f>IF(AND($N47&gt;0,$N47&lt;&gt;""),$N47-('DDD Model Calculations'!L$13+'DDD Model Calculations'!L$12*WorkingData!$P47),"")</f>
        <v>-429.4913348124856</v>
      </c>
      <c r="Z47">
        <f>IF(AND($N47&gt;0,$N47&lt;&gt;""),$N47-('DDD Model Calculations'!M$13+'DDD Model Calculations'!M$12*WorkingData!$P47),"")</f>
        <v>-347.92886563575445</v>
      </c>
      <c r="AA47">
        <f>IF(AND($N47&gt;0,$N47&lt;&gt;""),$N47-('DDD Model Calculations'!N$13+'DDD Model Calculations'!N$12*WorkingData!$P47),"")</f>
        <v>-221.63109011435051</v>
      </c>
      <c r="AB47">
        <f>IF(X47&lt;&gt;"",X47/'DDD Model Calculations'!K$11,"")</f>
        <v>-1.9474967418228459</v>
      </c>
      <c r="AC47">
        <f>IF(Y47&lt;&gt;"",Y47/'DDD Model Calculations'!L$11,"")</f>
        <v>-2.5865507636114757</v>
      </c>
      <c r="AD47">
        <f>IF(Z47&lt;&gt;"",Z47/'DDD Model Calculations'!M$11,"")</f>
        <v>-1.8699380851842127</v>
      </c>
      <c r="AE47">
        <f>IF(AA47&lt;&gt;"",AA47/'DDD Model Calculations'!N$11,"")</f>
        <v>-0.71879238397278755</v>
      </c>
      <c r="AF47">
        <f t="shared" si="25"/>
        <v>1</v>
      </c>
      <c r="AG47">
        <f t="shared" si="26"/>
        <v>0</v>
      </c>
      <c r="AH47">
        <f t="shared" si="27"/>
        <v>1</v>
      </c>
      <c r="AI47">
        <f t="shared" si="28"/>
        <v>1</v>
      </c>
    </row>
    <row r="48" spans="1:35">
      <c r="A48" s="2">
        <v>44317</v>
      </c>
      <c r="B48" s="1">
        <v>29</v>
      </c>
      <c r="C48" s="1">
        <v>49499</v>
      </c>
      <c r="D48" t="str">
        <v>A</v>
      </c>
      <c r="E48">
        <v>1442</v>
      </c>
      <c r="F48">
        <v>53461</v>
      </c>
      <c r="G48">
        <f t="shared" si="12"/>
        <v>1442</v>
      </c>
      <c r="H48" s="2">
        <f t="shared" si="13"/>
        <v>44317</v>
      </c>
      <c r="I48">
        <f t="shared" si="14"/>
        <v>29</v>
      </c>
      <c r="J48">
        <f t="shared" si="29"/>
        <v>1462</v>
      </c>
      <c r="K48">
        <f>IF(AND($H49&gt;0,$H49&lt;&gt;""),VLOOKUP($H49,'Weather Data'!$L$2:$P$4170,'DDD Model Calculations'!$D$22,FALSE),"")</f>
        <v>27831.200003437698</v>
      </c>
      <c r="L48">
        <f>IF(AND($K48&gt;0,$K48&lt;&gt;""),VLOOKUP($H48,'Weather Data'!$L$2:$P$4170,'DDD Model Calculations'!$D$22,FALSE),"")</f>
        <v>28108.200001768768</v>
      </c>
      <c r="M48">
        <f t="shared" si="30"/>
        <v>276.99999833106995</v>
      </c>
      <c r="N48">
        <f t="shared" si="18"/>
        <v>49.724137931034484</v>
      </c>
      <c r="O48">
        <f t="shared" si="19"/>
        <v>9.5517240803817227</v>
      </c>
      <c r="P48">
        <f t="shared" si="31"/>
        <v>4.5517240803817227</v>
      </c>
      <c r="Q48">
        <f t="shared" si="20"/>
        <v>1</v>
      </c>
      <c r="R48">
        <f t="shared" si="32"/>
        <v>5</v>
      </c>
      <c r="S48">
        <f>IF('DDD Model Calculations'!$D$23=1,WorkingData!AF48,IF('DDD Model Calculations'!$D$23=2,WorkingData!AG48,IF('DDD Model Calculations'!$D$23=4,WorkingData!AH48,WorkingData!AI48)))</f>
        <v>0</v>
      </c>
      <c r="T48">
        <f t="shared" si="21"/>
        <v>0</v>
      </c>
      <c r="U48">
        <f t="shared" si="22"/>
        <v>0</v>
      </c>
      <c r="V48">
        <f t="shared" si="23"/>
        <v>0</v>
      </c>
      <c r="W48">
        <f t="shared" si="24"/>
        <v>1</v>
      </c>
      <c r="X48">
        <f>IF(AND($N48&gt;0,$N48&lt;&gt;"",'DDD Model Calculations'!$K$3&gt;=3),$N48-('DDD Model Calculations'!K$13+'DDD Model Calculations'!K$12*WorkingData!$P48),"")</f>
        <v>-539.86442452035772</v>
      </c>
      <c r="Y48">
        <f>IF(AND($N48&gt;0,$N48&lt;&gt;""),$N48-('DDD Model Calculations'!L$13+'DDD Model Calculations'!L$12*WorkingData!$P48),"")</f>
        <v>-576.06029886464523</v>
      </c>
      <c r="Z48">
        <f>IF(AND($N48&gt;0,$N48&lt;&gt;""),$N48-('DDD Model Calculations'!M$13+'DDD Model Calculations'!M$12*WorkingData!$P48),"")</f>
        <v>-519.6866637235313</v>
      </c>
      <c r="AA48">
        <f>IF(AND($N48&gt;0,$N48&lt;&gt;""),$N48-('DDD Model Calculations'!N$13+'DDD Model Calculations'!N$12*WorkingData!$P48),"")</f>
        <v>-389.93428120361688</v>
      </c>
      <c r="AB48">
        <f>IF(X48&lt;&gt;"",X48/'DDD Model Calculations'!K$11,"")</f>
        <v>-2.5297097409740088</v>
      </c>
      <c r="AC48">
        <f>IF(Y48&lt;&gt;"",Y48/'DDD Model Calculations'!L$11,"")</f>
        <v>-3.4692416008000158</v>
      </c>
      <c r="AD48">
        <f>IF(Z48&lt;&gt;"",Z48/'DDD Model Calculations'!M$11,"")</f>
        <v>-2.7930476049558566</v>
      </c>
      <c r="AE48">
        <f>IF(AA48&lt;&gt;"",AA48/'DDD Model Calculations'!N$11,"")</f>
        <v>-1.2646321029890335</v>
      </c>
      <c r="AF48">
        <f t="shared" si="25"/>
        <v>0</v>
      </c>
      <c r="AG48">
        <f t="shared" si="26"/>
        <v>0</v>
      </c>
      <c r="AH48">
        <f t="shared" si="27"/>
        <v>0</v>
      </c>
      <c r="AI48">
        <f t="shared" si="28"/>
        <v>1</v>
      </c>
    </row>
    <row r="49" spans="1:35">
      <c r="A49" s="2">
        <v>44288</v>
      </c>
      <c r="B49" s="1">
        <v>32</v>
      </c>
      <c r="C49" s="1">
        <v>48057</v>
      </c>
      <c r="D49" t="str">
        <v>A</v>
      </c>
      <c r="E49">
        <v>4195</v>
      </c>
      <c r="F49">
        <v>52019</v>
      </c>
      <c r="G49">
        <f t="shared" si="12"/>
        <v>4195</v>
      </c>
      <c r="H49" s="2">
        <f t="shared" si="13"/>
        <v>44288</v>
      </c>
      <c r="I49">
        <f t="shared" si="14"/>
        <v>32</v>
      </c>
      <c r="J49">
        <f t="shared" si="29"/>
        <v>1494</v>
      </c>
      <c r="K49">
        <f>IF(AND($H50&gt;0,$H50&lt;&gt;""),VLOOKUP($H50,'Weather Data'!$L$2:$P$4170,'DDD Model Calculations'!$D$22,FALSE),"")</f>
        <v>27354.800003223121</v>
      </c>
      <c r="L49">
        <f>IF(AND($K49&gt;0,$K49&lt;&gt;""),VLOOKUP($H49,'Weather Data'!$L$2:$P$4170,'DDD Model Calculations'!$D$22,FALSE),"")</f>
        <v>27831.200003437698</v>
      </c>
      <c r="M49">
        <f t="shared" si="30"/>
        <v>476.40000021457672</v>
      </c>
      <c r="N49">
        <f t="shared" si="18"/>
        <v>131.09375</v>
      </c>
      <c r="O49">
        <f t="shared" si="19"/>
        <v>14.887500006705523</v>
      </c>
      <c r="P49">
        <f t="shared" si="31"/>
        <v>9.8875000067055225</v>
      </c>
      <c r="Q49">
        <f t="shared" si="20"/>
        <v>1</v>
      </c>
      <c r="R49">
        <f t="shared" si="32"/>
        <v>5</v>
      </c>
      <c r="S49">
        <f>IF('DDD Model Calculations'!$D$23=1,WorkingData!AF49,IF('DDD Model Calculations'!$D$23=2,WorkingData!AG49,IF('DDD Model Calculations'!$D$23=4,WorkingData!AH49,WorkingData!AI49)))</f>
        <v>0</v>
      </c>
      <c r="T49">
        <f t="shared" si="21"/>
        <v>0</v>
      </c>
      <c r="U49">
        <f t="shared" si="22"/>
        <v>0</v>
      </c>
      <c r="V49">
        <f t="shared" si="23"/>
        <v>0</v>
      </c>
      <c r="W49">
        <f t="shared" si="24"/>
        <v>1</v>
      </c>
      <c r="X49">
        <f>IF(AND($N49&gt;0,$N49&lt;&gt;"",'DDD Model Calculations'!$K$3&gt;=3),$N49-('DDD Model Calculations'!K$13+'DDD Model Calculations'!K$12*WorkingData!$P49),"")</f>
        <v>-614.20500610415388</v>
      </c>
      <c r="Y49">
        <f>IF(AND($N49&gt;0,$N49&lt;&gt;""),$N49-('DDD Model Calculations'!L$13+'DDD Model Calculations'!L$12*WorkingData!$P49),"")</f>
        <v>-674.73396597275803</v>
      </c>
      <c r="Z49">
        <f>IF(AND($N49&gt;0,$N49&lt;&gt;""),$N49-('DDD Model Calculations'!M$13+'DDD Model Calculations'!M$12*WorkingData!$P49),"")</f>
        <v>-645.82210085231179</v>
      </c>
      <c r="AA49">
        <f>IF(AND($N49&gt;0,$N49&lt;&gt;""),$N49-('DDD Model Calculations'!N$13+'DDD Model Calculations'!N$12*WorkingData!$P49),"")</f>
        <v>-512.30338191639908</v>
      </c>
      <c r="AB49">
        <f>IF(X49&lt;&gt;"",X49/'DDD Model Calculations'!K$11,"")</f>
        <v>-2.878056631120149</v>
      </c>
      <c r="AC49">
        <f>IF(Y49&lt;&gt;"",Y49/'DDD Model Calculations'!L$11,"")</f>
        <v>-4.0634897923689186</v>
      </c>
      <c r="AD49">
        <f>IF(Z49&lt;&gt;"",Z49/'DDD Model Calculations'!M$11,"")</f>
        <v>-3.4709604804727507</v>
      </c>
      <c r="AE49">
        <f>IF(AA49&lt;&gt;"",AA49/'DDD Model Calculations'!N$11,"")</f>
        <v>-1.6614987049651595</v>
      </c>
      <c r="AF49">
        <f t="shared" si="25"/>
        <v>0</v>
      </c>
      <c r="AG49">
        <f t="shared" si="26"/>
        <v>0</v>
      </c>
      <c r="AH49">
        <f t="shared" si="27"/>
        <v>0</v>
      </c>
      <c r="AI49">
        <f t="shared" si="28"/>
        <v>1</v>
      </c>
    </row>
    <row r="50" spans="1:35">
      <c r="A50" s="2">
        <v>44256</v>
      </c>
      <c r="B50" s="1">
        <v>27</v>
      </c>
      <c r="C50" s="1">
        <v>43862</v>
      </c>
      <c r="D50" t="str">
        <v>A</v>
      </c>
      <c r="E50">
        <v>14062</v>
      </c>
      <c r="F50">
        <v>47824</v>
      </c>
      <c r="G50">
        <f t="shared" si="12"/>
        <v>14062</v>
      </c>
      <c r="H50" s="2">
        <f t="shared" si="13"/>
        <v>44256</v>
      </c>
      <c r="I50">
        <f t="shared" si="14"/>
        <v>27</v>
      </c>
      <c r="J50">
        <f t="shared" si="29"/>
        <v>1521</v>
      </c>
      <c r="K50">
        <f>IF(AND($H51&gt;0,$H51&lt;&gt;""),VLOOKUP($H51,'Weather Data'!$L$2:$P$4170,'DDD Model Calculations'!$D$22,FALSE),"")</f>
        <v>26734.500003390014</v>
      </c>
      <c r="L50">
        <f>IF(AND($K50&gt;0,$K50&lt;&gt;""),VLOOKUP($H50,'Weather Data'!$L$2:$P$4170,'DDD Model Calculations'!$D$22,FALSE),"")</f>
        <v>27354.800003223121</v>
      </c>
      <c r="M50">
        <f t="shared" si="30"/>
        <v>620.29999983310699</v>
      </c>
      <c r="N50">
        <f t="shared" si="18"/>
        <v>520.81481481481478</v>
      </c>
      <c r="O50">
        <f t="shared" si="19"/>
        <v>22.97407406789285</v>
      </c>
      <c r="P50">
        <f t="shared" si="31"/>
        <v>17.97407406789285</v>
      </c>
      <c r="Q50">
        <f t="shared" si="20"/>
        <v>1</v>
      </c>
      <c r="R50">
        <f t="shared" si="32"/>
        <v>5</v>
      </c>
      <c r="S50">
        <f>IF('DDD Model Calculations'!$D$23=1,WorkingData!AF50,IF('DDD Model Calculations'!$D$23=2,WorkingData!AG50,IF('DDD Model Calculations'!$D$23=4,WorkingData!AH50,WorkingData!AI50)))</f>
        <v>0</v>
      </c>
      <c r="T50">
        <f t="shared" si="21"/>
        <v>0</v>
      </c>
      <c r="U50">
        <f t="shared" si="22"/>
        <v>0</v>
      </c>
      <c r="V50">
        <f t="shared" si="23"/>
        <v>0</v>
      </c>
      <c r="W50">
        <f t="shared" si="24"/>
        <v>1</v>
      </c>
      <c r="X50">
        <f>IF(AND($N50&gt;0,$N50&lt;&gt;"",'DDD Model Calculations'!$K$3&gt;=3),$N50-('DDD Model Calculations'!K$13+'DDD Model Calculations'!K$12*WorkingData!$P50),"")</f>
        <v>-460.46874095884186</v>
      </c>
      <c r="Y50">
        <f>IF(AND($N50&gt;0,$N50&lt;&gt;""),$N50-('DDD Model Calculations'!L$13+'DDD Model Calculations'!L$12*WorkingData!$P50),"")</f>
        <v>-557.87542975508518</v>
      </c>
      <c r="Z50">
        <f>IF(AND($N50&gt;0,$N50&lt;&gt;""),$N50-('DDD Model Calculations'!M$13+'DDD Model Calculations'!M$12*WorkingData!$P50),"")</f>
        <v>-570.58293549836731</v>
      </c>
      <c r="AA50">
        <f>IF(AND($N50&gt;0,$N50&lt;&gt;""),$N50-('DDD Model Calculations'!N$13+'DDD Model Calculations'!N$12*WorkingData!$P50),"")</f>
        <v>-431.35618856655219</v>
      </c>
      <c r="AB50">
        <f>IF(X50&lt;&gt;"",X50/'DDD Model Calculations'!K$11,"")</f>
        <v>-2.157675532060725</v>
      </c>
      <c r="AC50">
        <f>IF(Y50&lt;&gt;"",Y50/'DDD Model Calculations'!L$11,"")</f>
        <v>-3.3597258009014146</v>
      </c>
      <c r="AD50">
        <f>IF(Z50&lt;&gt;"",Z50/'DDD Model Calculations'!M$11,"")</f>
        <v>-3.0665887979573259</v>
      </c>
      <c r="AE50">
        <f>IF(AA50&lt;&gt;"",AA50/'DDD Model Calculations'!N$11,"")</f>
        <v>-1.39897133999203</v>
      </c>
      <c r="AF50">
        <f t="shared" si="25"/>
        <v>0</v>
      </c>
      <c r="AG50">
        <f t="shared" si="26"/>
        <v>0</v>
      </c>
      <c r="AH50">
        <f t="shared" si="27"/>
        <v>0</v>
      </c>
      <c r="AI50">
        <f t="shared" si="28"/>
        <v>1</v>
      </c>
    </row>
    <row r="51" spans="1:35">
      <c r="A51" s="2">
        <v>44229</v>
      </c>
      <c r="B51" s="1">
        <v>30</v>
      </c>
      <c r="C51" s="1">
        <v>29800</v>
      </c>
      <c r="D51" t="str">
        <v>A</v>
      </c>
      <c r="E51">
        <v>4833</v>
      </c>
      <c r="F51">
        <v>33762</v>
      </c>
      <c r="G51">
        <f t="shared" si="12"/>
        <v>4833</v>
      </c>
      <c r="H51" s="2">
        <f t="shared" si="13"/>
        <v>44229</v>
      </c>
      <c r="I51">
        <f t="shared" si="14"/>
        <v>30</v>
      </c>
      <c r="J51">
        <f t="shared" si="29"/>
        <v>1551</v>
      </c>
      <c r="K51">
        <f>IF(AND($H52&gt;0,$H52&lt;&gt;""),VLOOKUP($H52,'Weather Data'!$L$2:$P$4170,'DDD Model Calculations'!$D$22,FALSE),"")</f>
        <v>26102.30000320822</v>
      </c>
      <c r="L51">
        <f>IF(AND($K51&gt;0,$K51&lt;&gt;""),VLOOKUP($H51,'Weather Data'!$L$2:$P$4170,'DDD Model Calculations'!$D$22,FALSE),"")</f>
        <v>26734.500003390014</v>
      </c>
      <c r="M51">
        <f t="shared" si="30"/>
        <v>632.20000018179417</v>
      </c>
      <c r="N51">
        <f t="shared" si="18"/>
        <v>161.1</v>
      </c>
      <c r="O51">
        <f t="shared" si="19"/>
        <v>21.073333339393137</v>
      </c>
      <c r="P51">
        <f t="shared" si="31"/>
        <v>16.073333339393137</v>
      </c>
      <c r="Q51">
        <f t="shared" si="20"/>
        <v>1</v>
      </c>
      <c r="R51">
        <f t="shared" si="32"/>
        <v>5</v>
      </c>
      <c r="S51">
        <f>IF('DDD Model Calculations'!$D$23=1,WorkingData!AF51,IF('DDD Model Calculations'!$D$23=2,WorkingData!AG51,IF('DDD Model Calculations'!$D$23=4,WorkingData!AH51,WorkingData!AI51)))</f>
        <v>0</v>
      </c>
      <c r="T51">
        <f t="shared" si="21"/>
        <v>0</v>
      </c>
      <c r="U51">
        <f t="shared" si="22"/>
        <v>0</v>
      </c>
      <c r="V51">
        <f t="shared" si="23"/>
        <v>0</v>
      </c>
      <c r="W51">
        <f t="shared" si="24"/>
        <v>1</v>
      </c>
      <c r="X51">
        <f>IF(AND($N51&gt;0,$N51&lt;&gt;"",'DDD Model Calculations'!$K$3&gt;=3),$N51-('DDD Model Calculations'!K$13+'DDD Model Calculations'!K$12*WorkingData!$P51),"")</f>
        <v>-764.71557679458181</v>
      </c>
      <c r="Y51">
        <f>IF(AND($N51&gt;0,$N51&lt;&gt;""),$N51-('DDD Model Calculations'!L$13+'DDD Model Calculations'!L$12*WorkingData!$P51),"")</f>
        <v>-853.45419419038308</v>
      </c>
      <c r="Z51">
        <f>IF(AND($N51&gt;0,$N51&lt;&gt;""),$N51-('DDD Model Calculations'!M$13+'DDD Model Calculations'!M$12*WorkingData!$P51),"")</f>
        <v>-856.37911058289035</v>
      </c>
      <c r="AA51">
        <f>IF(AND($N51&gt;0,$N51&lt;&gt;""),$N51-('DDD Model Calculations'!N$13+'DDD Model Calculations'!N$12*WorkingData!$P51),"")</f>
        <v>-718.4940296284268</v>
      </c>
      <c r="AB51">
        <f>IF(X51&lt;&gt;"",X51/'DDD Model Calculations'!K$11,"")</f>
        <v>-3.5833226933049431</v>
      </c>
      <c r="AC51">
        <f>IF(Y51&lt;&gt;"",Y51/'DDD Model Calculations'!L$11,"")</f>
        <v>-5.139807066548479</v>
      </c>
      <c r="AD51">
        <f>IF(Z51&lt;&gt;"",Z51/'DDD Model Calculations'!M$11,"")</f>
        <v>-4.6025957383817762</v>
      </c>
      <c r="AE51">
        <f>IF(AA51&lt;&gt;"",AA51/'DDD Model Calculations'!N$11,"")</f>
        <v>-2.3302147553412755</v>
      </c>
      <c r="AF51">
        <f t="shared" si="25"/>
        <v>0</v>
      </c>
      <c r="AG51">
        <f t="shared" si="26"/>
        <v>0</v>
      </c>
      <c r="AH51">
        <f t="shared" si="27"/>
        <v>0</v>
      </c>
      <c r="AI51">
        <f t="shared" si="28"/>
        <v>0</v>
      </c>
    </row>
    <row r="52" spans="1:35">
      <c r="A52" s="2">
        <v>44199</v>
      </c>
      <c r="B52" s="1">
        <v>31</v>
      </c>
      <c r="C52" s="1">
        <v>24967</v>
      </c>
      <c r="D52" t="str">
        <v>A</v>
      </c>
      <c r="E52">
        <v>7751</v>
      </c>
      <c r="F52">
        <v>28929</v>
      </c>
      <c r="G52">
        <f t="shared" si="12"/>
        <v>7751</v>
      </c>
      <c r="H52" s="2">
        <f t="shared" si="13"/>
        <v>44199</v>
      </c>
      <c r="I52">
        <f t="shared" si="14"/>
        <v>31</v>
      </c>
      <c r="J52">
        <f t="shared" si="29"/>
        <v>1582</v>
      </c>
      <c r="K52">
        <f>IF(AND($H53&gt;0,$H53&lt;&gt;""),VLOOKUP($H53,'Weather Data'!$L$2:$P$4170,'DDD Model Calculations'!$D$22,FALSE),"")</f>
        <v>25531.900003425777</v>
      </c>
      <c r="L52">
        <f>IF(AND($K52&gt;0,$K52&lt;&gt;""),VLOOKUP($H52,'Weather Data'!$L$2:$P$4170,'DDD Model Calculations'!$D$22,FALSE),"")</f>
        <v>26102.30000320822</v>
      </c>
      <c r="M52">
        <f t="shared" si="30"/>
        <v>570.39999978244305</v>
      </c>
      <c r="N52">
        <f t="shared" si="18"/>
        <v>250.03225806451613</v>
      </c>
      <c r="O52">
        <f t="shared" si="19"/>
        <v>18.399999992982035</v>
      </c>
      <c r="P52">
        <f t="shared" si="31"/>
        <v>13.399999992982035</v>
      </c>
      <c r="Q52">
        <f t="shared" si="20"/>
        <v>1</v>
      </c>
      <c r="R52">
        <f t="shared" si="32"/>
        <v>5</v>
      </c>
      <c r="S52">
        <f>IF('DDD Model Calculations'!$D$23=1,WorkingData!AF52,IF('DDD Model Calculations'!$D$23=2,WorkingData!AG52,IF('DDD Model Calculations'!$D$23=4,WorkingData!AH52,WorkingData!AI52)))</f>
        <v>0</v>
      </c>
      <c r="T52">
        <f t="shared" si="21"/>
        <v>0</v>
      </c>
      <c r="U52">
        <f t="shared" si="22"/>
        <v>0</v>
      </c>
      <c r="V52">
        <f t="shared" si="23"/>
        <v>0</v>
      </c>
      <c r="W52">
        <f t="shared" si="24"/>
        <v>1</v>
      </c>
      <c r="X52">
        <f>IF(AND($N52&gt;0,$N52&lt;&gt;"",'DDD Model Calculations'!$K$3&gt;=3),$N52-('DDD Model Calculations'!K$13+'DDD Model Calculations'!K$12*WorkingData!$P52),"")</f>
        <v>-597.76931311666794</v>
      </c>
      <c r="Y52">
        <f>IF(AND($N52&gt;0,$N52&lt;&gt;""),$N52-('DDD Model Calculations'!L$13+'DDD Model Calculations'!L$12*WorkingData!$P52),"")</f>
        <v>-674.31655481539281</v>
      </c>
      <c r="Z52">
        <f>IF(AND($N52&gt;0,$N52&lt;&gt;""),$N52-('DDD Model Calculations'!M$13+'DDD Model Calculations'!M$12*WorkingData!$P52),"")</f>
        <v>-663.48256030882408</v>
      </c>
      <c r="AA52">
        <f>IF(AND($N52&gt;0,$N52&lt;&gt;""),$N52-('DDD Model Calculations'!N$13+'DDD Model Calculations'!N$12*WorkingData!$P52),"")</f>
        <v>-527.48449126672699</v>
      </c>
      <c r="AB52">
        <f>IF(X52&lt;&gt;"",X52/'DDD Model Calculations'!K$11,"")</f>
        <v>-2.8010418645201067</v>
      </c>
      <c r="AC52">
        <f>IF(Y52&lt;&gt;"",Y52/'DDD Model Calculations'!L$11,"")</f>
        <v>-4.0609759927638711</v>
      </c>
      <c r="AD52">
        <f>IF(Z52&lt;&gt;"",Z52/'DDD Model Calculations'!M$11,"")</f>
        <v>-3.5658763354112044</v>
      </c>
      <c r="AE52">
        <f>IF(AA52&lt;&gt;"",AA52/'DDD Model Calculations'!N$11,"")</f>
        <v>-1.710733971441734</v>
      </c>
      <c r="AF52">
        <f t="shared" si="25"/>
        <v>0</v>
      </c>
      <c r="AG52">
        <f t="shared" si="26"/>
        <v>0</v>
      </c>
      <c r="AH52">
        <f t="shared" si="27"/>
        <v>0</v>
      </c>
      <c r="AI52">
        <f t="shared" si="28"/>
        <v>1</v>
      </c>
    </row>
    <row r="53" spans="1:35">
      <c r="A53" s="2">
        <v>44168</v>
      </c>
      <c r="B53" s="1">
        <v>30</v>
      </c>
      <c r="C53" s="1">
        <v>17216</v>
      </c>
      <c r="D53" t="str">
        <v>A</v>
      </c>
      <c r="E53">
        <v>2190</v>
      </c>
      <c r="F53">
        <v>21178</v>
      </c>
      <c r="G53">
        <f t="shared" si="12"/>
        <v>2190</v>
      </c>
      <c r="H53" s="2">
        <f t="shared" si="13"/>
        <v>44168</v>
      </c>
      <c r="I53">
        <f t="shared" si="14"/>
        <v>30</v>
      </c>
      <c r="J53">
        <f t="shared" si="29"/>
        <v>1612</v>
      </c>
      <c r="K53">
        <f>IF(AND($H54&gt;0,$H54&lt;&gt;""),VLOOKUP($H54,'Weather Data'!$L$2:$P$4170,'DDD Model Calculations'!$D$22,FALSE),"")</f>
        <v>25184.700003422797</v>
      </c>
      <c r="L53">
        <f>IF(AND($K53&gt;0,$K53&lt;&gt;""),VLOOKUP($H53,'Weather Data'!$L$2:$P$4170,'DDD Model Calculations'!$D$22,FALSE),"")</f>
        <v>25531.900003425777</v>
      </c>
      <c r="M53">
        <f t="shared" si="30"/>
        <v>347.20000000298023</v>
      </c>
      <c r="N53">
        <f t="shared" si="18"/>
        <v>73</v>
      </c>
      <c r="O53">
        <f t="shared" si="19"/>
        <v>11.573333333432675</v>
      </c>
      <c r="P53">
        <f t="shared" si="31"/>
        <v>6.5733333334326751</v>
      </c>
      <c r="Q53">
        <f t="shared" si="20"/>
        <v>1</v>
      </c>
      <c r="R53">
        <f t="shared" si="32"/>
        <v>5</v>
      </c>
      <c r="S53">
        <f>IF('DDD Model Calculations'!$D$23=1,WorkingData!AF53,IF('DDD Model Calculations'!$D$23=2,WorkingData!AG53,IF('DDD Model Calculations'!$D$23=4,WorkingData!AH53,WorkingData!AI53)))</f>
        <v>0</v>
      </c>
      <c r="T53">
        <f t="shared" si="21"/>
        <v>0</v>
      </c>
      <c r="U53">
        <f t="shared" si="22"/>
        <v>0</v>
      </c>
      <c r="V53">
        <f t="shared" si="23"/>
        <v>0</v>
      </c>
      <c r="W53">
        <f t="shared" si="24"/>
        <v>1</v>
      </c>
      <c r="X53">
        <f>IF(AND($N53&gt;0,$N53&lt;&gt;"",'DDD Model Calculations'!$K$3&gt;=3),$N53-('DDD Model Calculations'!K$13+'DDD Model Calculations'!K$12*WorkingData!$P53),"")</f>
        <v>-575.5837625177594</v>
      </c>
      <c r="Y53">
        <f>IF(AND($N53&gt;0,$N53&lt;&gt;""),$N53-('DDD Model Calculations'!L$13+'DDD Model Calculations'!L$12*WorkingData!$P53),"")</f>
        <v>-620.99891284561158</v>
      </c>
      <c r="Z53">
        <f>IF(AND($N53&gt;0,$N53&lt;&gt;""),$N53-('DDD Model Calculations'!M$13+'DDD Model Calculations'!M$12*WorkingData!$P53),"")</f>
        <v>-575.02994408208076</v>
      </c>
      <c r="AA53">
        <f>IF(AND($N53&gt;0,$N53&lt;&gt;""),$N53-('DDD Model Calculations'!N$13+'DDD Model Calculations'!N$12*WorkingData!$P53),"")</f>
        <v>-443.85057874770416</v>
      </c>
      <c r="AB53">
        <f>IF(X53&lt;&gt;"",X53/'DDD Model Calculations'!K$11,"")</f>
        <v>-2.6970842764482623</v>
      </c>
      <c r="AC53">
        <f>IF(Y53&lt;&gt;"",Y53/'DDD Model Calculations'!L$11,"")</f>
        <v>-3.7398780418328905</v>
      </c>
      <c r="AD53">
        <f>IF(Z53&lt;&gt;"",Z53/'DDD Model Calculations'!M$11,"")</f>
        <v>-3.0904891739742224</v>
      </c>
      <c r="AE53">
        <f>IF(AA53&lt;&gt;"",AA53/'DDD Model Calculations'!N$11,"")</f>
        <v>-1.439493057860957</v>
      </c>
      <c r="AF53">
        <f t="shared" si="25"/>
        <v>0</v>
      </c>
      <c r="AG53">
        <f t="shared" si="26"/>
        <v>0</v>
      </c>
      <c r="AH53">
        <f t="shared" si="27"/>
        <v>0</v>
      </c>
      <c r="AI53">
        <f t="shared" si="28"/>
        <v>1</v>
      </c>
    </row>
    <row r="54" spans="1:35">
      <c r="A54" s="2">
        <v>44138</v>
      </c>
      <c r="B54" s="1">
        <v>31</v>
      </c>
      <c r="C54" s="1">
        <v>15026</v>
      </c>
      <c r="D54" t="str">
        <v>A</v>
      </c>
      <c r="E54">
        <v>1003</v>
      </c>
      <c r="F54">
        <v>18988</v>
      </c>
      <c r="G54">
        <f t="shared" si="12"/>
        <v>1003</v>
      </c>
      <c r="H54" s="2">
        <f t="shared" si="13"/>
        <v>44138</v>
      </c>
      <c r="I54">
        <f t="shared" si="14"/>
        <v>31</v>
      </c>
      <c r="J54">
        <f t="shared" si="29"/>
        <v>1643</v>
      </c>
      <c r="K54">
        <f>IF(AND($H55&gt;0,$H55&lt;&gt;""),VLOOKUP($H55,'Weather Data'!$L$2:$P$4170,'DDD Model Calculations'!$D$22,FALSE),"")</f>
        <v>24896.30000398308</v>
      </c>
      <c r="L54">
        <f>IF(AND($K54&gt;0,$K54&lt;&gt;""),VLOOKUP($H54,'Weather Data'!$L$2:$P$4170,'DDD Model Calculations'!$D$22,FALSE),"")</f>
        <v>25184.700003422797</v>
      </c>
      <c r="M54">
        <f t="shared" si="30"/>
        <v>288.39999943971634</v>
      </c>
      <c r="N54">
        <f t="shared" si="18"/>
        <v>32.354838709677416</v>
      </c>
      <c r="O54">
        <f t="shared" si="19"/>
        <v>9.3032257883779472</v>
      </c>
      <c r="P54">
        <f t="shared" si="31"/>
        <v>4.3032257883779472</v>
      </c>
      <c r="Q54">
        <f t="shared" si="20"/>
        <v>1</v>
      </c>
      <c r="R54">
        <f t="shared" si="32"/>
        <v>5</v>
      </c>
      <c r="S54">
        <f>IF('DDD Model Calculations'!$D$23=1,WorkingData!AF54,IF('DDD Model Calculations'!$D$23=2,WorkingData!AG54,IF('DDD Model Calculations'!$D$23=4,WorkingData!AH54,WorkingData!AI54)))</f>
        <v>0</v>
      </c>
      <c r="T54">
        <f t="shared" si="21"/>
        <v>0</v>
      </c>
      <c r="U54">
        <f t="shared" si="22"/>
        <v>0</v>
      </c>
      <c r="V54">
        <f t="shared" si="23"/>
        <v>0</v>
      </c>
      <c r="W54">
        <f t="shared" si="24"/>
        <v>1</v>
      </c>
      <c r="X54">
        <f>IF(AND($N54&gt;0,$N54&lt;&gt;"",'DDD Model Calculations'!$K$3&gt;=3),$N54-('DDD Model Calculations'!K$13+'DDD Model Calculations'!K$12*WorkingData!$P54),"")</f>
        <v>-549.98197297395961</v>
      </c>
      <c r="Y54">
        <f>IF(AND($N54&gt;0,$N54&lt;&gt;""),$N54-('DDD Model Calculations'!L$13+'DDD Model Calculations'!L$12*WorkingData!$P54),"")</f>
        <v>-585.0446044168458</v>
      </c>
      <c r="Z54">
        <f>IF(AND($N54&gt;0,$N54&lt;&gt;""),$N54-('DDD Model Calculations'!M$13+'DDD Model Calculations'!M$12*WorkingData!$P54),"")</f>
        <v>-527.39201696593386</v>
      </c>
      <c r="AA54">
        <f>IF(AND($N54&gt;0,$N54&lt;&gt;""),$N54-('DDD Model Calculations'!N$13+'DDD Model Calculations'!N$12*WorkingData!$P54),"")</f>
        <v>-397.81504064362036</v>
      </c>
      <c r="AB54">
        <f>IF(X54&lt;&gt;"",X54/'DDD Model Calculations'!K$11,"")</f>
        <v>-2.5771187935349231</v>
      </c>
      <c r="AC54">
        <f>IF(Y54&lt;&gt;"",Y54/'DDD Model Calculations'!L$11,"")</f>
        <v>-3.5233483091384019</v>
      </c>
      <c r="AD54">
        <f>IF(Z54&lt;&gt;"",Z54/'DDD Model Calculations'!M$11,"")</f>
        <v>-2.8344599018672905</v>
      </c>
      <c r="AE54">
        <f>IF(AA54&lt;&gt;"",AA54/'DDD Model Calculations'!N$11,"")</f>
        <v>-1.290190926268175</v>
      </c>
      <c r="AF54">
        <f t="shared" si="25"/>
        <v>0</v>
      </c>
      <c r="AG54">
        <f t="shared" si="26"/>
        <v>0</v>
      </c>
      <c r="AH54">
        <f t="shared" si="27"/>
        <v>0</v>
      </c>
      <c r="AI54">
        <f t="shared" si="28"/>
        <v>1</v>
      </c>
    </row>
    <row r="55" spans="1:35">
      <c r="A55" s="2">
        <v>44107</v>
      </c>
      <c r="B55" s="1">
        <v>30</v>
      </c>
      <c r="C55" s="1">
        <v>14023</v>
      </c>
      <c r="D55" t="str">
        <v>A</v>
      </c>
      <c r="E55">
        <v>462</v>
      </c>
      <c r="F55">
        <v>17985</v>
      </c>
      <c r="G55">
        <f t="shared" si="12"/>
        <v>462</v>
      </c>
      <c r="H55" s="2">
        <f t="shared" si="13"/>
        <v>44107</v>
      </c>
      <c r="I55">
        <f t="shared" si="14"/>
        <v>30</v>
      </c>
      <c r="J55">
        <f t="shared" si="29"/>
        <v>1673</v>
      </c>
      <c r="K55">
        <f>IF(AND($H56&gt;0,$H56&lt;&gt;""),VLOOKUP($H56,'Weather Data'!$L$2:$P$4170,'DDD Model Calculations'!$D$22,FALSE),"")</f>
        <v>24805.00000474602</v>
      </c>
      <c r="L55">
        <f>IF(AND($K55&gt;0,$K55&lt;&gt;""),VLOOKUP($H55,'Weather Data'!$L$2:$P$4170,'DDD Model Calculations'!$D$22,FALSE),"")</f>
        <v>24896.30000398308</v>
      </c>
      <c r="M55">
        <f t="shared" si="30"/>
        <v>91.299999237060547</v>
      </c>
      <c r="N55">
        <f t="shared" si="18"/>
        <v>15.4</v>
      </c>
      <c r="O55">
        <f t="shared" si="19"/>
        <v>3.0433333079020182</v>
      </c>
      <c r="P55">
        <f t="shared" si="31"/>
        <v>-1.9566666920979818</v>
      </c>
      <c r="Q55">
        <f t="shared" si="20"/>
        <v>0</v>
      </c>
      <c r="R55">
        <f t="shared" si="32"/>
        <v>5</v>
      </c>
      <c r="S55">
        <f>IF('DDD Model Calculations'!$D$23=1,WorkingData!AF55,IF('DDD Model Calculations'!$D$23=2,WorkingData!AG55,IF('DDD Model Calculations'!$D$23=4,WorkingData!AH55,WorkingData!AI55)))</f>
        <v>0</v>
      </c>
      <c r="T55">
        <f t="shared" si="21"/>
        <v>0</v>
      </c>
      <c r="U55">
        <f t="shared" si="22"/>
        <v>0</v>
      </c>
      <c r="V55">
        <f t="shared" si="23"/>
        <v>0</v>
      </c>
      <c r="W55">
        <f t="shared" si="24"/>
        <v>1</v>
      </c>
      <c r="X55">
        <f>IF(AND($N55&gt;0,$N55&lt;&gt;"",'DDD Model Calculations'!$K$3&gt;=3),$N55-('DDD Model Calculations'!K$13+'DDD Model Calculations'!K$12*WorkingData!$P55),"")</f>
        <v>-384.25877500454919</v>
      </c>
      <c r="Y55">
        <f>IF(AND($N55&gt;0,$N55&lt;&gt;""),$N55-('DDD Model Calculations'!L$13+'DDD Model Calculations'!L$12*WorkingData!$P55),"")</f>
        <v>-390.77401217831488</v>
      </c>
      <c r="Z55">
        <f>IF(AND($N55&gt;0,$N55&lt;&gt;""),$N55-('DDD Model Calculations'!M$13+'DDD Model Calculations'!M$12*WorkingData!$P55),"")</f>
        <v>-300.90348116556049</v>
      </c>
      <c r="AA55">
        <f>IF(AND($N55&gt;0,$N55&lt;&gt;""),$N55-('DDD Model Calculations'!N$13+'DDD Model Calculations'!N$12*WorkingData!$P55),"")</f>
        <v>-175.74514260746341</v>
      </c>
      <c r="AB55">
        <f>IF(X55&lt;&gt;"",X55/'DDD Model Calculations'!K$11,"")</f>
        <v>-1.8005690355451318</v>
      </c>
      <c r="AC55">
        <f>IF(Y55&lt;&gt;"",Y55/'DDD Model Calculations'!L$11,"")</f>
        <v>-2.3533811690068984</v>
      </c>
      <c r="AD55">
        <f>IF(Z55&lt;&gt;"",Z55/'DDD Model Calculations'!M$11,"")</f>
        <v>-1.6172009136633414</v>
      </c>
      <c r="AE55">
        <f>IF(AA55&lt;&gt;"",AA55/'DDD Model Calculations'!N$11,"")</f>
        <v>-0.56997540354685416</v>
      </c>
      <c r="AF55">
        <f t="shared" si="25"/>
        <v>1</v>
      </c>
      <c r="AG55">
        <f t="shared" si="26"/>
        <v>0</v>
      </c>
      <c r="AH55">
        <f t="shared" si="27"/>
        <v>1</v>
      </c>
      <c r="AI55">
        <f t="shared" si="28"/>
        <v>1</v>
      </c>
    </row>
    <row r="56" spans="1:35">
      <c r="A56" s="2">
        <v>44077</v>
      </c>
      <c r="B56" s="1">
        <v>31</v>
      </c>
      <c r="C56" s="1">
        <v>13561</v>
      </c>
      <c r="D56" t="str">
        <v>A</v>
      </c>
      <c r="E56">
        <v>4711</v>
      </c>
      <c r="F56">
        <v>17523</v>
      </c>
      <c r="G56">
        <f t="shared" si="12"/>
        <v>4711</v>
      </c>
      <c r="H56" s="2">
        <f t="shared" si="13"/>
        <v>44077</v>
      </c>
      <c r="I56">
        <f t="shared" si="14"/>
        <v>31</v>
      </c>
      <c r="J56">
        <f t="shared" si="29"/>
        <v>1704</v>
      </c>
      <c r="K56">
        <f>IF(AND($H57&gt;0,$H57&lt;&gt;""),VLOOKUP($H57,'Weather Data'!$L$2:$P$4170,'DDD Model Calculations'!$D$22,FALSE),"")</f>
        <v>24804.200005508959</v>
      </c>
      <c r="L56">
        <f>IF(AND($K56&gt;0,$K56&lt;&gt;""),VLOOKUP($H56,'Weather Data'!$L$2:$P$4170,'DDD Model Calculations'!$D$22,FALSE),"")</f>
        <v>24805.00000474602</v>
      </c>
      <c r="M56">
        <f t="shared" si="30"/>
        <v>0.79999923706054688</v>
      </c>
      <c r="N56">
        <f t="shared" si="18"/>
        <v>151.96774193548387</v>
      </c>
      <c r="O56">
        <f t="shared" si="19"/>
        <v>2.5806427001953125E-2</v>
      </c>
      <c r="P56">
        <f t="shared" si="31"/>
        <v>-4.9741935729980469</v>
      </c>
      <c r="Q56">
        <f t="shared" si="20"/>
        <v>0</v>
      </c>
      <c r="R56">
        <f t="shared" si="32"/>
        <v>5</v>
      </c>
      <c r="S56">
        <f>IF('DDD Model Calculations'!$D$23=1,WorkingData!AF56,IF('DDD Model Calculations'!$D$23=2,WorkingData!AG56,IF('DDD Model Calculations'!$D$23=4,WorkingData!AH56,WorkingData!AI56)))</f>
        <v>1</v>
      </c>
      <c r="T56">
        <f t="shared" si="21"/>
        <v>0</v>
      </c>
      <c r="U56">
        <f t="shared" si="22"/>
        <v>0</v>
      </c>
      <c r="V56">
        <f t="shared" si="23"/>
        <v>0</v>
      </c>
      <c r="W56">
        <f t="shared" si="24"/>
        <v>1</v>
      </c>
      <c r="X56">
        <f>IF(AND($N56&gt;0,$N56&lt;&gt;"",'DDD Model Calculations'!$K$3&gt;=3),$N56-('DDD Model Calculations'!K$13+'DDD Model Calculations'!K$12*WorkingData!$P56),"")</f>
        <v>-159.63266977473504</v>
      </c>
      <c r="Y56">
        <f>IF(AND($N56&gt;0,$N56&lt;&gt;""),$N56-('DDD Model Calculations'!L$13+'DDD Model Calculations'!L$12*WorkingData!$P56),"")</f>
        <v>-152.38688312015304</v>
      </c>
      <c r="Z56">
        <f>IF(AND($N56&gt;0,$N56&lt;&gt;""),$N56-('DDD Model Calculations'!M$13+'DDD Model Calculations'!M$12*WorkingData!$P56),"")</f>
        <v>-46.985971825565201</v>
      </c>
      <c r="AA56">
        <f>IF(AND($N56&gt;0,$N56&lt;&gt;""),$N56-('DDD Model Calculations'!N$13+'DDD Model Calculations'!N$12*WorkingData!$P56),"")</f>
        <v>76.042400719206739</v>
      </c>
      <c r="AB56">
        <f>IF(X56&lt;&gt;"",X56/'DDD Model Calculations'!K$11,"")</f>
        <v>-0.7480106140826227</v>
      </c>
      <c r="AC56">
        <f>IF(Y56&lt;&gt;"",Y56/'DDD Model Calculations'!L$11,"")</f>
        <v>-0.91772843117054237</v>
      </c>
      <c r="AD56">
        <f>IF(Z56&lt;&gt;"",Z56/'DDD Model Calculations'!M$11,"")</f>
        <v>-0.25252534889702999</v>
      </c>
      <c r="AE56">
        <f>IF(AA56&lt;&gt;"",AA56/'DDD Model Calculations'!N$11,"")</f>
        <v>0.24662017620258728</v>
      </c>
      <c r="AF56">
        <f t="shared" si="25"/>
        <v>1</v>
      </c>
      <c r="AG56">
        <f t="shared" si="26"/>
        <v>1</v>
      </c>
      <c r="AH56">
        <f t="shared" si="27"/>
        <v>1</v>
      </c>
      <c r="AI56">
        <f t="shared" si="28"/>
        <v>1</v>
      </c>
    </row>
    <row r="57" spans="1:35">
      <c r="A57" s="2">
        <v>44046</v>
      </c>
      <c r="B57" s="1">
        <v>31</v>
      </c>
      <c r="C57" s="1">
        <v>8850</v>
      </c>
      <c r="D57" t="str">
        <v>A</v>
      </c>
      <c r="E57">
        <v>3300</v>
      </c>
      <c r="F57">
        <v>12812</v>
      </c>
      <c r="G57">
        <f t="shared" si="12"/>
        <v>3300</v>
      </c>
      <c r="H57" s="2">
        <f t="shared" si="13"/>
        <v>44046</v>
      </c>
      <c r="I57">
        <f t="shared" si="14"/>
        <v>31</v>
      </c>
      <c r="J57">
        <f t="shared" si="29"/>
        <v>1735</v>
      </c>
      <c r="K57">
        <f>IF(AND($H58&gt;0,$H58&lt;&gt;""),VLOOKUP($H58,'Weather Data'!$L$2:$P$4170,'DDD Model Calculations'!$D$22,FALSE),"")</f>
        <v>24804.200005508959</v>
      </c>
      <c r="L57">
        <f>IF(AND($K57&gt;0,$K57&lt;&gt;""),VLOOKUP($H57,'Weather Data'!$L$2:$P$4170,'DDD Model Calculations'!$D$22,FALSE),"")</f>
        <v>24804.200005508959</v>
      </c>
      <c r="M57">
        <f t="shared" si="30"/>
        <v>0</v>
      </c>
      <c r="N57">
        <f t="shared" si="18"/>
        <v>106.45161290322581</v>
      </c>
      <c r="O57">
        <f t="shared" si="19"/>
        <v>0</v>
      </c>
      <c r="P57">
        <f t="shared" si="31"/>
        <v>-5</v>
      </c>
      <c r="Q57">
        <f t="shared" si="20"/>
        <v>0</v>
      </c>
      <c r="R57">
        <f t="shared" si="32"/>
        <v>5</v>
      </c>
      <c r="S57">
        <f>IF('DDD Model Calculations'!$D$23=1,WorkingData!AF57,IF('DDD Model Calculations'!$D$23=2,WorkingData!AG57,IF('DDD Model Calculations'!$D$23=4,WorkingData!AH57,WorkingData!AI57)))</f>
        <v>1</v>
      </c>
      <c r="T57">
        <f t="shared" si="21"/>
        <v>0</v>
      </c>
      <c r="U57">
        <f t="shared" si="22"/>
        <v>0</v>
      </c>
      <c r="V57">
        <f t="shared" si="23"/>
        <v>0</v>
      </c>
      <c r="W57">
        <f t="shared" si="24"/>
        <v>1</v>
      </c>
      <c r="X57">
        <f>IF(AND($N57&gt;0,$N57&lt;&gt;"",'DDD Model Calculations'!$K$3&gt;=3),$N57-('DDD Model Calculations'!K$13+'DDD Model Calculations'!K$12*WorkingData!$P57),"")</f>
        <v>-204.39570800980732</v>
      </c>
      <c r="Y57">
        <f>IF(AND($N57&gt;0,$N57&lt;&gt;""),$N57-('DDD Model Calculations'!L$13+'DDD Model Calculations'!L$12*WorkingData!$P57),"")</f>
        <v>-197.03223462999802</v>
      </c>
      <c r="Z57">
        <f>IF(AND($N57&gt;0,$N57&lt;&gt;""),$N57-('DDD Model Calculations'!M$13+'DDD Model Calculations'!M$12*WorkingData!$P57),"")</f>
        <v>-91.498504758849194</v>
      </c>
      <c r="AA57">
        <f>IF(AND($N57&gt;0,$N57&lt;&gt;""),$N57-('DDD Model Calculations'!N$13+'DDD Model Calculations'!N$12*WorkingData!$P57),"")</f>
        <v>31.511651937445166</v>
      </c>
      <c r="AB57">
        <f>IF(X57&lt;&gt;"",X57/'DDD Model Calculations'!K$11,"")</f>
        <v>-0.9577623382482966</v>
      </c>
      <c r="AC57">
        <f>IF(Y57&lt;&gt;"",Y57/'DDD Model Calculations'!L$11,"")</f>
        <v>-1.1865987404863505</v>
      </c>
      <c r="AD57">
        <f>IF(Z57&lt;&gt;"",Z57/'DDD Model Calculations'!M$11,"")</f>
        <v>-0.49175724030066947</v>
      </c>
      <c r="AE57">
        <f>IF(AA57&lt;&gt;"",AA57/'DDD Model Calculations'!N$11,"")</f>
        <v>0.10219836669733692</v>
      </c>
      <c r="AF57">
        <f t="shared" si="25"/>
        <v>1</v>
      </c>
      <c r="AG57">
        <f t="shared" si="26"/>
        <v>1</v>
      </c>
      <c r="AH57">
        <f t="shared" si="27"/>
        <v>1</v>
      </c>
      <c r="AI57">
        <f t="shared" si="28"/>
        <v>1</v>
      </c>
    </row>
    <row r="58" spans="1:35">
      <c r="A58" s="2">
        <v>44015</v>
      </c>
      <c r="B58" s="1">
        <v>30</v>
      </c>
      <c r="C58" s="1">
        <v>5550</v>
      </c>
      <c r="D58" t="str">
        <v>A</v>
      </c>
      <c r="E58">
        <v>1425</v>
      </c>
      <c r="F58">
        <v>9512</v>
      </c>
      <c r="G58">
        <f t="shared" si="12"/>
        <v>1425</v>
      </c>
      <c r="H58" s="2">
        <f t="shared" si="13"/>
        <v>44015</v>
      </c>
      <c r="I58">
        <f t="shared" si="14"/>
        <v>30</v>
      </c>
      <c r="J58">
        <f t="shared" si="29"/>
        <v>1765</v>
      </c>
      <c r="K58">
        <f>IF(AND($H59&gt;0,$H59&lt;&gt;""),VLOOKUP($H59,'Weather Data'!$L$2:$P$4170,'DDD Model Calculations'!$D$22,FALSE),"")</f>
        <v>24782.60000512749</v>
      </c>
      <c r="L58">
        <f>IF(AND($K58&gt;0,$K58&lt;&gt;""),VLOOKUP($H58,'Weather Data'!$L$2:$P$4170,'DDD Model Calculations'!$D$22,FALSE),"")</f>
        <v>24804.200005508959</v>
      </c>
      <c r="M58">
        <f t="shared" si="30"/>
        <v>21.600000381469727</v>
      </c>
      <c r="N58">
        <f t="shared" si="18"/>
        <v>47.5</v>
      </c>
      <c r="O58">
        <f t="shared" si="19"/>
        <v>0.7200000127156575</v>
      </c>
      <c r="P58">
        <f t="shared" si="31"/>
        <v>-4.2799999872843424</v>
      </c>
      <c r="Q58">
        <f t="shared" si="20"/>
        <v>0</v>
      </c>
      <c r="R58">
        <f t="shared" si="32"/>
        <v>5</v>
      </c>
      <c r="S58">
        <f>IF('DDD Model Calculations'!$D$23=1,WorkingData!AF58,IF('DDD Model Calculations'!$D$23=2,WorkingData!AG58,IF('DDD Model Calculations'!$D$23=4,WorkingData!AH58,WorkingData!AI58)))</f>
        <v>1</v>
      </c>
      <c r="T58">
        <f t="shared" si="21"/>
        <v>0</v>
      </c>
      <c r="U58">
        <f t="shared" si="22"/>
        <v>0</v>
      </c>
      <c r="V58">
        <f t="shared" si="23"/>
        <v>0</v>
      </c>
      <c r="W58">
        <f t="shared" si="24"/>
        <v>1</v>
      </c>
      <c r="X58">
        <f>IF(AND($N58&gt;0,$N58&lt;&gt;"",'DDD Model Calculations'!$K$3&gt;=3),$N58-('DDD Model Calculations'!K$13+'DDD Model Calculations'!K$12*WorkingData!$P58),"")</f>
        <v>-284.35857456348157</v>
      </c>
      <c r="Y58">
        <f>IF(AND($N58&gt;0,$N58&lt;&gt;""),$N58-('DDD Model Calculations'!L$13+'DDD Model Calculations'!L$12*WorkingData!$P58),"")</f>
        <v>-280.27856400685528</v>
      </c>
      <c r="Z58">
        <f>IF(AND($N58&gt;0,$N58&lt;&gt;""),$N58-('DDD Model Calculations'!M$13+'DDD Model Calculations'!M$12*WorkingData!$P58),"")</f>
        <v>-178.45047602117785</v>
      </c>
      <c r="AA58">
        <f>IF(AND($N58&gt;0,$N58&lt;&gt;""),$N58-('DDD Model Calculations'!N$13+'DDD Model Calculations'!N$12*WorkingData!$P58),"")</f>
        <v>-54.932096658704438</v>
      </c>
      <c r="AB58">
        <f>IF(X58&lt;&gt;"",X58/'DDD Model Calculations'!K$11,"")</f>
        <v>-1.3324542669056676</v>
      </c>
      <c r="AC58">
        <f>IF(Y58&lt;&gt;"",Y58/'DDD Model Calculations'!L$11,"")</f>
        <v>-1.6879379745166969</v>
      </c>
      <c r="AD58">
        <f>IF(Z58&lt;&gt;"",Z58/'DDD Model Calculations'!M$11,"")</f>
        <v>-0.95907920954334647</v>
      </c>
      <c r="AE58">
        <f>IF(AA58&lt;&gt;"",AA58/'DDD Model Calculations'!N$11,"")</f>
        <v>-0.1781553873762097</v>
      </c>
      <c r="AF58">
        <f t="shared" si="25"/>
        <v>1</v>
      </c>
      <c r="AG58">
        <f t="shared" si="26"/>
        <v>1</v>
      </c>
      <c r="AH58">
        <f t="shared" si="27"/>
        <v>1</v>
      </c>
      <c r="AI58">
        <f t="shared" si="28"/>
        <v>1</v>
      </c>
    </row>
    <row r="59" spans="1:35">
      <c r="A59" s="2">
        <v>43985</v>
      </c>
      <c r="B59" s="1">
        <v>31</v>
      </c>
      <c r="C59" s="1">
        <v>4125</v>
      </c>
      <c r="D59" t="str">
        <v>A</v>
      </c>
      <c r="E59">
        <v>3668</v>
      </c>
      <c r="F59">
        <v>8087</v>
      </c>
      <c r="G59">
        <f t="shared" si="12"/>
        <v>3668</v>
      </c>
      <c r="H59" s="2">
        <f t="shared" si="13"/>
        <v>43985</v>
      </c>
      <c r="I59">
        <f t="shared" si="14"/>
        <v>31</v>
      </c>
      <c r="J59">
        <f t="shared" si="29"/>
        <v>1796</v>
      </c>
      <c r="K59">
        <f>IF(AND($H60&gt;0,$H60&lt;&gt;""),VLOOKUP($H60,'Weather Data'!$L$2:$P$4170,'DDD Model Calculations'!$D$22,FALSE),"")</f>
        <v>24590.500004269183</v>
      </c>
      <c r="L59">
        <f>IF(AND($K59&gt;0,$K59&lt;&gt;""),VLOOKUP($H59,'Weather Data'!$L$2:$P$4170,'DDD Model Calculations'!$D$22,FALSE),"")</f>
        <v>24782.60000512749</v>
      </c>
      <c r="M59">
        <f t="shared" si="30"/>
        <v>192.10000085830688</v>
      </c>
      <c r="N59">
        <f t="shared" si="18"/>
        <v>118.3225806451613</v>
      </c>
      <c r="O59">
        <f t="shared" si="19"/>
        <v>6.1967742212357058</v>
      </c>
      <c r="P59">
        <f t="shared" si="31"/>
        <v>1.1967742212357058</v>
      </c>
      <c r="Q59">
        <f t="shared" si="20"/>
        <v>1</v>
      </c>
      <c r="R59">
        <f t="shared" si="32"/>
        <v>5</v>
      </c>
      <c r="S59">
        <f>IF('DDD Model Calculations'!$D$23=1,WorkingData!AF59,IF('DDD Model Calculations'!$D$23=2,WorkingData!AG59,IF('DDD Model Calculations'!$D$23=4,WorkingData!AH59,WorkingData!AI59)))</f>
        <v>0</v>
      </c>
      <c r="T59">
        <f t="shared" si="21"/>
        <v>0</v>
      </c>
      <c r="U59">
        <f t="shared" si="22"/>
        <v>0</v>
      </c>
      <c r="V59">
        <f t="shared" si="23"/>
        <v>0</v>
      </c>
      <c r="W59">
        <f t="shared" si="24"/>
        <v>1</v>
      </c>
      <c r="X59">
        <f>IF(AND($N59&gt;0,$N59&lt;&gt;"",'DDD Model Calculations'!$K$3&gt;=3),$N59-('DDD Model Calculations'!K$13+'DDD Model Calculations'!K$12*WorkingData!$P59),"")</f>
        <v>-373.3608412088351</v>
      </c>
      <c r="Y59">
        <f>IF(AND($N59&gt;0,$N59&lt;&gt;""),$N59-('DDD Model Calculations'!L$13+'DDD Model Calculations'!L$12*WorkingData!$P59),"")</f>
        <v>-394.25691980089749</v>
      </c>
      <c r="Z59">
        <f>IF(AND($N59&gt;0,$N59&lt;&gt;""),$N59-('DDD Model Calculations'!M$13+'DDD Model Calculations'!M$12*WorkingData!$P59),"")</f>
        <v>-320.61628118458015</v>
      </c>
      <c r="AA59">
        <f>IF(AND($N59&gt;0,$N59&lt;&gt;""),$N59-('DDD Model Calculations'!N$13+'DDD Model Calculations'!N$12*WorkingData!$P59),"")</f>
        <v>-193.23203968160982</v>
      </c>
      <c r="AB59">
        <f>IF(X59&lt;&gt;"",X59/'DDD Model Calculations'!K$11,"")</f>
        <v>-1.749503234526661</v>
      </c>
      <c r="AC59">
        <f>IF(Y59&lt;&gt;"",Y59/'DDD Model Calculations'!L$11,"")</f>
        <v>-2.3743564871113079</v>
      </c>
      <c r="AD59">
        <f>IF(Z59&lt;&gt;"",Z59/'DDD Model Calculations'!M$11,"")</f>
        <v>-1.7231470399033393</v>
      </c>
      <c r="AE59">
        <f>IF(AA59&lt;&gt;"",AA59/'DDD Model Calculations'!N$11,"")</f>
        <v>-0.62668878446163134</v>
      </c>
      <c r="AF59">
        <f t="shared" si="25"/>
        <v>1</v>
      </c>
      <c r="AG59">
        <f t="shared" si="26"/>
        <v>0</v>
      </c>
      <c r="AH59">
        <f t="shared" si="27"/>
        <v>1</v>
      </c>
      <c r="AI59">
        <f t="shared" si="28"/>
        <v>1</v>
      </c>
    </row>
    <row r="60" spans="1:35">
      <c r="A60" s="2">
        <v>43954</v>
      </c>
      <c r="B60" s="1">
        <v>30</v>
      </c>
      <c r="C60" s="1">
        <v>457</v>
      </c>
      <c r="D60" t="str">
        <v>A</v>
      </c>
      <c r="E60">
        <v>4419</v>
      </c>
      <c r="F60">
        <v>4419</v>
      </c>
      <c r="G60" t="str">
        <f t="shared" si="12"/>
        <v/>
      </c>
      <c r="H60" s="2">
        <f t="shared" si="13"/>
        <v>43954</v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95"/>
  <cols>
    <col min="1" max="1" width="10.8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43954</v>
      </c>
      <c r="B2">
        <v>30</v>
      </c>
      <c r="C2">
        <v>457</v>
      </c>
      <c r="D2" t="str">
        <v>A</v>
      </c>
      <c r="E2">
        <v>4419</v>
      </c>
      <c r="F2">
        <f>E2</f>
        <v>4419</v>
      </c>
    </row>
    <row r="3" spans="1:6">
      <c r="A3" s="20">
        <v>43985</v>
      </c>
      <c r="B3">
        <v>31</v>
      </c>
      <c r="C3">
        <v>4125</v>
      </c>
      <c r="D3" t="str">
        <v>A</v>
      </c>
      <c r="E3">
        <v>3668</v>
      </c>
      <c r="F3">
        <f>E3+F2</f>
        <v>8087</v>
      </c>
    </row>
    <row r="4" spans="1:6">
      <c r="A4" s="20">
        <v>44015</v>
      </c>
      <c r="B4">
        <v>30</v>
      </c>
      <c r="C4">
        <v>5550</v>
      </c>
      <c r="D4" t="str">
        <v>A</v>
      </c>
      <c r="E4">
        <v>1425</v>
      </c>
      <c r="F4">
        <f t="shared" ref="F4:F67" si="0">E4+F3</f>
        <v>9512</v>
      </c>
    </row>
    <row r="5" spans="1:6">
      <c r="A5" s="20">
        <v>44046</v>
      </c>
      <c r="B5">
        <v>31</v>
      </c>
      <c r="C5">
        <v>8850</v>
      </c>
      <c r="D5" t="str">
        <v>A</v>
      </c>
      <c r="E5">
        <v>3300</v>
      </c>
      <c r="F5">
        <f t="shared" si="0"/>
        <v>12812</v>
      </c>
    </row>
    <row r="6" spans="1:6">
      <c r="A6" s="20">
        <v>44077</v>
      </c>
      <c r="B6">
        <v>31</v>
      </c>
      <c r="C6">
        <v>13561</v>
      </c>
      <c r="D6" t="str">
        <v>A</v>
      </c>
      <c r="E6">
        <v>4711</v>
      </c>
      <c r="F6">
        <f t="shared" si="0"/>
        <v>17523</v>
      </c>
    </row>
    <row r="7" spans="1:6">
      <c r="A7" s="20">
        <v>44107</v>
      </c>
      <c r="B7">
        <v>30</v>
      </c>
      <c r="C7">
        <v>14023</v>
      </c>
      <c r="D7" t="str">
        <v>A</v>
      </c>
      <c r="E7">
        <v>462</v>
      </c>
      <c r="F7">
        <f t="shared" si="0"/>
        <v>17985</v>
      </c>
    </row>
    <row r="8" spans="1:6">
      <c r="A8" s="20">
        <v>44138</v>
      </c>
      <c r="B8">
        <v>31</v>
      </c>
      <c r="C8">
        <v>15026</v>
      </c>
      <c r="D8" t="str">
        <v>A</v>
      </c>
      <c r="E8">
        <v>1003</v>
      </c>
      <c r="F8">
        <f t="shared" si="0"/>
        <v>18988</v>
      </c>
    </row>
    <row r="9" spans="1:6">
      <c r="A9" s="20">
        <v>44168</v>
      </c>
      <c r="B9">
        <v>30</v>
      </c>
      <c r="C9">
        <v>17216</v>
      </c>
      <c r="D9" t="str">
        <v>A</v>
      </c>
      <c r="E9">
        <v>2190</v>
      </c>
      <c r="F9">
        <f t="shared" si="0"/>
        <v>21178</v>
      </c>
    </row>
    <row r="10" spans="1:6">
      <c r="A10" s="20">
        <v>44199</v>
      </c>
      <c r="B10">
        <v>31</v>
      </c>
      <c r="C10">
        <v>24967</v>
      </c>
      <c r="D10" t="str">
        <v>A</v>
      </c>
      <c r="E10">
        <v>7751</v>
      </c>
      <c r="F10">
        <f t="shared" si="0"/>
        <v>28929</v>
      </c>
    </row>
    <row r="11" spans="1:6">
      <c r="A11" s="20">
        <v>44229</v>
      </c>
      <c r="B11">
        <v>30</v>
      </c>
      <c r="C11">
        <v>29800</v>
      </c>
      <c r="D11" t="str">
        <v>A</v>
      </c>
      <c r="E11">
        <v>4833</v>
      </c>
      <c r="F11">
        <f t="shared" si="0"/>
        <v>33762</v>
      </c>
    </row>
    <row r="12" spans="1:6">
      <c r="A12" s="20">
        <v>44256</v>
      </c>
      <c r="B12">
        <v>27</v>
      </c>
      <c r="C12">
        <v>43862</v>
      </c>
      <c r="D12" t="str">
        <v>A</v>
      </c>
      <c r="E12">
        <v>14062</v>
      </c>
      <c r="F12">
        <f t="shared" si="0"/>
        <v>47824</v>
      </c>
    </row>
    <row r="13" spans="1:6">
      <c r="A13" s="20">
        <v>44288</v>
      </c>
      <c r="B13">
        <v>32</v>
      </c>
      <c r="C13">
        <v>48057</v>
      </c>
      <c r="D13" t="str">
        <v>A</v>
      </c>
      <c r="E13">
        <v>4195</v>
      </c>
      <c r="F13">
        <f t="shared" si="0"/>
        <v>52019</v>
      </c>
    </row>
    <row r="14" spans="1:6">
      <c r="A14" s="20">
        <v>44317</v>
      </c>
      <c r="B14">
        <v>29</v>
      </c>
      <c r="C14">
        <v>49499</v>
      </c>
      <c r="D14" t="str">
        <v>A</v>
      </c>
      <c r="E14">
        <v>1442</v>
      </c>
      <c r="F14">
        <f t="shared" si="0"/>
        <v>53461</v>
      </c>
    </row>
    <row r="15" spans="1:6">
      <c r="A15" s="20">
        <v>44350</v>
      </c>
      <c r="B15">
        <v>33</v>
      </c>
      <c r="C15">
        <v>50527</v>
      </c>
      <c r="D15" t="str">
        <v>A</v>
      </c>
      <c r="E15">
        <v>1028</v>
      </c>
      <c r="F15">
        <f t="shared" si="0"/>
        <v>54489</v>
      </c>
    </row>
    <row r="16" spans="1:6">
      <c r="A16" s="20">
        <v>44379</v>
      </c>
      <c r="B16">
        <v>29</v>
      </c>
      <c r="C16">
        <v>50810</v>
      </c>
      <c r="D16" t="str">
        <v>A</v>
      </c>
      <c r="E16">
        <v>283</v>
      </c>
      <c r="F16">
        <f t="shared" si="0"/>
        <v>54772</v>
      </c>
    </row>
    <row r="17" spans="1:6">
      <c r="A17" s="20">
        <v>44409</v>
      </c>
      <c r="B17">
        <v>30</v>
      </c>
      <c r="C17">
        <v>51164</v>
      </c>
      <c r="D17" t="str">
        <v>A</v>
      </c>
      <c r="E17">
        <v>354</v>
      </c>
      <c r="F17">
        <f t="shared" si="0"/>
        <v>55126</v>
      </c>
    </row>
    <row r="18" spans="1:6">
      <c r="A18" s="20">
        <v>44442</v>
      </c>
      <c r="B18">
        <v>33</v>
      </c>
      <c r="C18">
        <v>51289</v>
      </c>
      <c r="D18" t="str">
        <v>A</v>
      </c>
      <c r="E18">
        <v>125</v>
      </c>
      <c r="F18">
        <f t="shared" si="0"/>
        <v>55251</v>
      </c>
    </row>
    <row r="19" spans="1:6">
      <c r="A19" s="20">
        <v>44473</v>
      </c>
      <c r="B19">
        <v>31</v>
      </c>
      <c r="C19">
        <v>53397</v>
      </c>
      <c r="D19" t="str">
        <v>A</v>
      </c>
      <c r="E19">
        <v>2108</v>
      </c>
      <c r="F19">
        <f t="shared" si="0"/>
        <v>57359</v>
      </c>
    </row>
    <row r="20" spans="1:6">
      <c r="A20" s="20">
        <v>44503</v>
      </c>
      <c r="B20">
        <v>30</v>
      </c>
      <c r="C20">
        <v>68357</v>
      </c>
      <c r="D20" t="str">
        <v>A</v>
      </c>
      <c r="E20">
        <v>14960</v>
      </c>
      <c r="F20">
        <f t="shared" si="0"/>
        <v>72319</v>
      </c>
    </row>
    <row r="21" spans="1:6">
      <c r="A21" s="20">
        <v>44534</v>
      </c>
      <c r="B21">
        <v>31</v>
      </c>
      <c r="C21">
        <v>88753</v>
      </c>
      <c r="D21" t="str">
        <v>A</v>
      </c>
      <c r="E21">
        <v>20396</v>
      </c>
      <c r="F21">
        <f t="shared" si="0"/>
        <v>92715</v>
      </c>
    </row>
    <row r="22" spans="1:6">
      <c r="A22" s="20">
        <v>44564</v>
      </c>
      <c r="B22">
        <v>30</v>
      </c>
      <c r="C22">
        <v>100571</v>
      </c>
      <c r="D22" t="str">
        <v>A</v>
      </c>
      <c r="E22">
        <v>11818</v>
      </c>
      <c r="F22">
        <f t="shared" si="0"/>
        <v>104533</v>
      </c>
    </row>
    <row r="23" spans="1:6">
      <c r="A23" s="20">
        <v>44595</v>
      </c>
      <c r="B23">
        <v>31</v>
      </c>
      <c r="C23">
        <v>151051</v>
      </c>
      <c r="D23" t="str">
        <v>A</v>
      </c>
      <c r="E23">
        <v>50480</v>
      </c>
      <c r="F23">
        <f t="shared" si="0"/>
        <v>155013</v>
      </c>
    </row>
    <row r="24" spans="1:6">
      <c r="A24" s="20">
        <v>44624</v>
      </c>
      <c r="B24">
        <v>29</v>
      </c>
      <c r="C24">
        <v>178509</v>
      </c>
      <c r="D24" t="str">
        <v>A</v>
      </c>
      <c r="E24">
        <v>27458</v>
      </c>
      <c r="F24">
        <f t="shared" si="0"/>
        <v>182471</v>
      </c>
    </row>
    <row r="25" spans="1:6">
      <c r="A25" s="20">
        <v>44656</v>
      </c>
      <c r="B25">
        <v>32</v>
      </c>
      <c r="C25">
        <v>202630</v>
      </c>
      <c r="D25" t="str">
        <v>A</v>
      </c>
      <c r="E25">
        <v>24121</v>
      </c>
      <c r="F25">
        <f t="shared" si="0"/>
        <v>206592</v>
      </c>
    </row>
    <row r="26" spans="1:6">
      <c r="A26" s="20">
        <v>44686</v>
      </c>
      <c r="B26">
        <v>30</v>
      </c>
      <c r="C26">
        <v>219103</v>
      </c>
      <c r="D26" t="str">
        <v>A</v>
      </c>
      <c r="E26">
        <v>16473</v>
      </c>
      <c r="F26">
        <f t="shared" si="0"/>
        <v>223065</v>
      </c>
    </row>
    <row r="27" spans="1:6">
      <c r="A27" s="20">
        <v>44719</v>
      </c>
      <c r="B27">
        <v>33</v>
      </c>
      <c r="C27">
        <v>221961</v>
      </c>
      <c r="D27" t="str">
        <v>E</v>
      </c>
      <c r="E27">
        <v>2858</v>
      </c>
      <c r="F27">
        <f t="shared" si="0"/>
        <v>225923</v>
      </c>
    </row>
    <row r="28" spans="1:6">
      <c r="A28" s="20">
        <v>44745</v>
      </c>
      <c r="B28">
        <v>26</v>
      </c>
      <c r="C28">
        <v>223040</v>
      </c>
      <c r="D28" t="str">
        <v>A</v>
      </c>
      <c r="E28">
        <v>1079</v>
      </c>
      <c r="F28">
        <f t="shared" si="0"/>
        <v>227002</v>
      </c>
    </row>
    <row r="29" spans="1:6">
      <c r="A29" s="20">
        <v>44775</v>
      </c>
      <c r="B29">
        <v>30</v>
      </c>
      <c r="C29">
        <v>225694</v>
      </c>
      <c r="D29" t="str">
        <v>A</v>
      </c>
      <c r="E29">
        <v>2654</v>
      </c>
      <c r="F29">
        <f t="shared" si="0"/>
        <v>229656</v>
      </c>
    </row>
    <row r="30" spans="1:6">
      <c r="A30" s="20">
        <v>44808</v>
      </c>
      <c r="B30">
        <v>33</v>
      </c>
      <c r="C30">
        <v>231266</v>
      </c>
      <c r="D30" t="str">
        <v>A</v>
      </c>
      <c r="E30">
        <v>5572</v>
      </c>
      <c r="F30">
        <f t="shared" si="0"/>
        <v>235228</v>
      </c>
    </row>
    <row r="31" spans="1:6">
      <c r="A31" s="20">
        <v>44839</v>
      </c>
      <c r="B31">
        <v>31</v>
      </c>
      <c r="C31">
        <v>240212</v>
      </c>
      <c r="D31" t="str">
        <v>A</v>
      </c>
      <c r="E31">
        <v>8946</v>
      </c>
      <c r="F31">
        <f t="shared" si="0"/>
        <v>244174</v>
      </c>
    </row>
    <row r="32" spans="1:6">
      <c r="A32" s="20">
        <v>44871</v>
      </c>
      <c r="B32">
        <v>32</v>
      </c>
      <c r="C32">
        <v>257503</v>
      </c>
      <c r="D32" t="str">
        <v>A</v>
      </c>
      <c r="E32">
        <v>17291</v>
      </c>
      <c r="F32">
        <f t="shared" si="0"/>
        <v>261465</v>
      </c>
    </row>
    <row r="33" spans="1:6">
      <c r="A33" s="20">
        <v>44901</v>
      </c>
      <c r="B33">
        <v>30</v>
      </c>
      <c r="C33">
        <v>276559</v>
      </c>
      <c r="D33" t="str">
        <v>A</v>
      </c>
      <c r="E33">
        <v>19056</v>
      </c>
      <c r="F33">
        <f t="shared" si="0"/>
        <v>280521</v>
      </c>
    </row>
    <row r="34" spans="1:6">
      <c r="A34" s="20">
        <v>44932</v>
      </c>
      <c r="B34">
        <v>31</v>
      </c>
      <c r="C34">
        <v>306861</v>
      </c>
      <c r="D34" t="str">
        <v>A</v>
      </c>
      <c r="E34">
        <v>30302</v>
      </c>
      <c r="F34">
        <f t="shared" si="0"/>
        <v>310823</v>
      </c>
    </row>
    <row r="35" spans="1:6">
      <c r="A35" s="20">
        <v>44967</v>
      </c>
      <c r="B35">
        <v>35</v>
      </c>
      <c r="C35">
        <v>344183</v>
      </c>
      <c r="D35" t="str">
        <v>A</v>
      </c>
      <c r="E35">
        <v>37322</v>
      </c>
      <c r="F35">
        <f t="shared" si="0"/>
        <v>348145</v>
      </c>
    </row>
    <row r="36" spans="1:6">
      <c r="A36" s="20">
        <v>44992</v>
      </c>
      <c r="B36">
        <v>25</v>
      </c>
      <c r="C36">
        <v>361636</v>
      </c>
      <c r="D36" t="str">
        <v>A</v>
      </c>
      <c r="E36">
        <v>17453</v>
      </c>
      <c r="F36">
        <f t="shared" si="0"/>
        <v>365598</v>
      </c>
    </row>
    <row r="37" spans="1:6">
      <c r="A37" s="20">
        <v>45021</v>
      </c>
      <c r="B37">
        <v>29</v>
      </c>
      <c r="C37">
        <v>386715</v>
      </c>
      <c r="D37" t="str">
        <v>A</v>
      </c>
      <c r="E37">
        <v>25079</v>
      </c>
      <c r="F37">
        <f t="shared" si="0"/>
        <v>390677</v>
      </c>
    </row>
    <row r="38" spans="1:6">
      <c r="A38" s="20">
        <v>45050</v>
      </c>
      <c r="B38">
        <v>29</v>
      </c>
      <c r="C38">
        <v>403712</v>
      </c>
      <c r="D38" t="str">
        <v>A</v>
      </c>
      <c r="E38">
        <v>16997</v>
      </c>
      <c r="F38">
        <f t="shared" si="0"/>
        <v>407674</v>
      </c>
    </row>
    <row r="39" spans="1:6">
      <c r="A39" s="20">
        <v>45081</v>
      </c>
      <c r="B39">
        <v>31</v>
      </c>
      <c r="C39">
        <v>407499</v>
      </c>
      <c r="D39" t="str">
        <v>A</v>
      </c>
      <c r="E39">
        <v>3787</v>
      </c>
      <c r="F39">
        <f t="shared" si="0"/>
        <v>411461</v>
      </c>
    </row>
    <row r="40" spans="1:6">
      <c r="A40" s="20">
        <v>45110</v>
      </c>
      <c r="B40">
        <v>29</v>
      </c>
      <c r="C40">
        <v>409159</v>
      </c>
      <c r="D40" t="str">
        <v>A</v>
      </c>
      <c r="E40">
        <v>1660</v>
      </c>
      <c r="F40">
        <f t="shared" si="0"/>
        <v>413121</v>
      </c>
    </row>
    <row r="41" spans="1:6">
      <c r="A41" s="20">
        <v>45143</v>
      </c>
      <c r="B41">
        <v>33</v>
      </c>
      <c r="C41">
        <v>409907</v>
      </c>
      <c r="D41" t="str">
        <v>A</v>
      </c>
      <c r="E41">
        <v>748</v>
      </c>
      <c r="F41">
        <f t="shared" si="0"/>
        <v>413869</v>
      </c>
    </row>
    <row r="42" spans="1:6">
      <c r="A42" s="20">
        <v>45172</v>
      </c>
      <c r="B42">
        <v>29</v>
      </c>
      <c r="C42">
        <v>412386</v>
      </c>
      <c r="D42" t="str">
        <v>A</v>
      </c>
      <c r="E42">
        <v>2479</v>
      </c>
      <c r="F42">
        <f t="shared" si="0"/>
        <v>416348</v>
      </c>
    </row>
    <row r="43" spans="1:6">
      <c r="A43" s="20">
        <v>45204</v>
      </c>
      <c r="B43">
        <v>32</v>
      </c>
      <c r="C43">
        <v>420066</v>
      </c>
      <c r="D43" t="str">
        <v>A</v>
      </c>
      <c r="E43">
        <v>7680</v>
      </c>
      <c r="F43">
        <f t="shared" si="0"/>
        <v>424028</v>
      </c>
    </row>
    <row r="44" spans="1:6">
      <c r="A44" s="20">
        <v>45234</v>
      </c>
      <c r="B44">
        <v>30</v>
      </c>
      <c r="C44">
        <v>437119</v>
      </c>
      <c r="D44" t="str">
        <v>A</v>
      </c>
      <c r="E44">
        <v>17053</v>
      </c>
      <c r="F44">
        <f t="shared" si="0"/>
        <v>441081</v>
      </c>
    </row>
    <row r="45" spans="1:6">
      <c r="A45" s="20">
        <v>45264</v>
      </c>
      <c r="B45">
        <v>30</v>
      </c>
      <c r="C45">
        <v>460526</v>
      </c>
      <c r="D45" t="str">
        <v>A</v>
      </c>
      <c r="E45">
        <v>23407</v>
      </c>
      <c r="F45">
        <f t="shared" si="0"/>
        <v>464488</v>
      </c>
    </row>
    <row r="46" spans="1:6">
      <c r="A46" s="20">
        <v>45295</v>
      </c>
      <c r="B46">
        <v>31</v>
      </c>
      <c r="C46">
        <v>489993</v>
      </c>
      <c r="D46" t="str">
        <v>A</v>
      </c>
      <c r="E46">
        <v>29467</v>
      </c>
      <c r="F46">
        <f t="shared" si="0"/>
        <v>493955</v>
      </c>
    </row>
    <row r="47" spans="1:6">
      <c r="A47" s="20">
        <v>45325</v>
      </c>
      <c r="B47">
        <v>30</v>
      </c>
      <c r="C47">
        <v>525072</v>
      </c>
      <c r="D47" t="str">
        <v>A</v>
      </c>
      <c r="E47">
        <v>35079</v>
      </c>
      <c r="F47">
        <f t="shared" si="0"/>
        <v>529034</v>
      </c>
    </row>
    <row r="48" spans="1:6">
      <c r="A48" s="20">
        <v>45353</v>
      </c>
      <c r="B48">
        <v>28</v>
      </c>
      <c r="C48">
        <v>553695</v>
      </c>
      <c r="D48" t="str">
        <v>A</v>
      </c>
      <c r="E48">
        <v>28623</v>
      </c>
      <c r="F48">
        <f t="shared" si="0"/>
        <v>557657</v>
      </c>
    </row>
    <row r="49" spans="1:6">
      <c r="A49" s="20">
        <v>45383</v>
      </c>
      <c r="B49">
        <v>30</v>
      </c>
      <c r="C49">
        <v>578762</v>
      </c>
      <c r="D49" t="str">
        <v>A</v>
      </c>
      <c r="E49">
        <v>25067</v>
      </c>
      <c r="F49">
        <f t="shared" si="0"/>
        <v>582724</v>
      </c>
    </row>
    <row r="50" spans="1:6">
      <c r="A50" s="20">
        <v>45414</v>
      </c>
      <c r="B50">
        <v>31</v>
      </c>
      <c r="C50">
        <v>598382</v>
      </c>
      <c r="D50" t="str">
        <v>A</v>
      </c>
      <c r="E50">
        <v>19620</v>
      </c>
      <c r="F50">
        <f t="shared" si="0"/>
        <v>602344</v>
      </c>
    </row>
    <row r="51" spans="1:6">
      <c r="A51" s="20">
        <v>45446</v>
      </c>
      <c r="B51">
        <v>32</v>
      </c>
      <c r="C51">
        <v>600056</v>
      </c>
      <c r="D51" t="str">
        <v>A</v>
      </c>
      <c r="E51">
        <v>1674</v>
      </c>
      <c r="F51">
        <f t="shared" si="0"/>
        <v>604018</v>
      </c>
    </row>
    <row r="52" spans="1:6">
      <c r="A52" s="20">
        <v>45478</v>
      </c>
      <c r="B52">
        <v>32</v>
      </c>
      <c r="C52">
        <v>603192</v>
      </c>
      <c r="D52" t="str">
        <v>A</v>
      </c>
      <c r="E52">
        <v>3136</v>
      </c>
      <c r="F52">
        <f t="shared" si="0"/>
        <v>607154</v>
      </c>
    </row>
    <row r="53" spans="1:6">
      <c r="A53" s="20">
        <v>45508</v>
      </c>
      <c r="B53">
        <v>30</v>
      </c>
      <c r="C53">
        <v>604385</v>
      </c>
      <c r="D53" t="str">
        <v>A</v>
      </c>
      <c r="E53">
        <v>1193</v>
      </c>
      <c r="F53">
        <f t="shared" si="0"/>
        <v>608347</v>
      </c>
    </row>
    <row r="54" spans="1:6">
      <c r="A54" s="20">
        <v>45537</v>
      </c>
      <c r="B54">
        <v>29</v>
      </c>
      <c r="C54">
        <v>607263</v>
      </c>
      <c r="D54" t="str">
        <v>A</v>
      </c>
      <c r="E54">
        <v>2878</v>
      </c>
      <c r="F54">
        <f t="shared" si="0"/>
        <v>611225</v>
      </c>
    </row>
    <row r="55" spans="1:6">
      <c r="A55" s="20">
        <v>45569</v>
      </c>
      <c r="B55">
        <v>32</v>
      </c>
      <c r="C55">
        <v>615016</v>
      </c>
      <c r="D55" t="str">
        <v>A</v>
      </c>
      <c r="E55">
        <v>7753</v>
      </c>
      <c r="F55">
        <f t="shared" si="0"/>
        <v>618978</v>
      </c>
    </row>
    <row r="56" spans="1:6">
      <c r="A56" s="20">
        <v>45601</v>
      </c>
      <c r="B56">
        <v>32</v>
      </c>
      <c r="C56">
        <v>633268</v>
      </c>
      <c r="D56" t="str">
        <v>A</v>
      </c>
      <c r="E56">
        <v>18252</v>
      </c>
      <c r="F56">
        <f t="shared" si="0"/>
        <v>637230</v>
      </c>
    </row>
    <row r="57" spans="1:6">
      <c r="A57" s="20">
        <v>45630</v>
      </c>
      <c r="B57">
        <v>29</v>
      </c>
      <c r="C57">
        <v>652446</v>
      </c>
      <c r="D57" t="str">
        <v>A</v>
      </c>
      <c r="E57">
        <v>19178</v>
      </c>
      <c r="F57">
        <f t="shared" si="0"/>
        <v>656408</v>
      </c>
    </row>
    <row r="58" spans="1:6">
      <c r="A58" s="20">
        <v>45661</v>
      </c>
      <c r="B58">
        <v>31</v>
      </c>
      <c r="C58">
        <v>679063</v>
      </c>
      <c r="D58" t="str">
        <v>A</v>
      </c>
      <c r="E58">
        <v>26617</v>
      </c>
      <c r="F58">
        <f t="shared" si="0"/>
        <v>683025</v>
      </c>
    </row>
    <row r="59" spans="1:6">
      <c r="A59" s="20">
        <v>45691</v>
      </c>
      <c r="B59">
        <v>30</v>
      </c>
      <c r="C59">
        <v>719530</v>
      </c>
      <c r="D59" t="str">
        <v>A</v>
      </c>
      <c r="E59">
        <v>40467</v>
      </c>
      <c r="F59">
        <f t="shared" si="0"/>
        <v>723492</v>
      </c>
    </row>
    <row r="60" spans="1:6">
      <c r="A60" s="20">
        <v>45720</v>
      </c>
      <c r="B60">
        <v>29</v>
      </c>
      <c r="C60">
        <v>738606</v>
      </c>
      <c r="D60" t="str">
        <v>A</v>
      </c>
      <c r="E60">
        <v>19076</v>
      </c>
      <c r="F60">
        <f t="shared" si="0"/>
        <v>742568</v>
      </c>
    </row>
    <row r="61" spans="1:6">
      <c r="A61" s="20">
        <v>45750</v>
      </c>
      <c r="B61">
        <v>30</v>
      </c>
      <c r="C61">
        <v>757954</v>
      </c>
      <c r="D61" t="str">
        <v>A</v>
      </c>
      <c r="E61">
        <v>19348</v>
      </c>
      <c r="F61">
        <f t="shared" si="0"/>
        <v>761916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761916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761916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761916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761916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761916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761916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761916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761916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761916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761916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761916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761916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761916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761916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761916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761916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761916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761916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761916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761916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761916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761916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761916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761916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761916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761916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761916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761916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761916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761916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761916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761916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761916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761916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761916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761916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761916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761916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761916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761916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761916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761916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761916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761916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761916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761916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761916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761916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761916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761916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761916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761916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761916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761916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761916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761916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761916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761916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761916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761916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761916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761916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761916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761916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761916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761916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761916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761916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761916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761916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761916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761916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44" activePane="bottomRight" state="frozen"/>
      <selection pane="bottomRight" activeCell="I4155" sqref="I4155"/>
      <selection pane="bottomLeft" activeCell="A32" sqref="A32"/>
      <selection pane="topRight" activeCell="A32" sqref="A32"/>
    </sheetView>
  </sheetViews>
  <sheetFormatPr defaultColWidth="8.875" defaultRowHeight="15.95"/>
  <cols>
    <col min="1" max="1" width="6.625" bestFit="1" customWidth="1"/>
    <col min="2" max="2" width="8.625" bestFit="1" customWidth="1"/>
    <col min="3" max="3" width="6.125" bestFit="1" customWidth="1"/>
    <col min="4" max="4" width="24.875" bestFit="1" customWidth="1"/>
    <col min="5" max="5" width="21.625" bestFit="1" customWidth="1"/>
    <col min="6" max="7" width="24.37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3FIN+oqsxwDL5OyMECN+AUXU6edNvZilI80d0VM3+1G4EJ2yXGzyIb7bRsAZeyFJVMqIlS7DK6tVgs+k1rQZug==" saltValue="cMgg3b6sORKFAryG0J8F5A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dertaking xmlns="f2f4215f-2a30-4ada-8344-25359f31a5ac" xsi:nil="true"/>
    <_dlc_DocId xmlns="bc9be6ef-036f-4d38-ab45-2a4da0c93cb0">C6U45NHNYSXQ-1603545759-324</_dlc_DocId>
    <_dlc_DocIdUrl xmlns="bc9be6ef-036f-4d38-ab45-2a4da0c93cb0">
      <Url>https://enbridge.sharepoint.com/teams/EB-2022-02002024Rebasing/_layouts/15/DocIdRedir.aspx?ID=C6U45NHNYSXQ-1603545759-324</Url>
      <Description>C6U45NHNYSXQ-1603545759-324</Description>
    </_dlc_DocIdUr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92228F-893F-4D1B-ADC5-57734533139E}"/>
</file>

<file path=customXml/itemProps2.xml><?xml version="1.0" encoding="utf-8"?>
<ds:datastoreItem xmlns:ds="http://schemas.openxmlformats.org/officeDocument/2006/customXml" ds:itemID="{810043F8-5ACF-4A67-9B38-CBED7CCAB41A}"/>
</file>

<file path=customXml/itemProps3.xml><?xml version="1.0" encoding="utf-8"?>
<ds:datastoreItem xmlns:ds="http://schemas.openxmlformats.org/officeDocument/2006/customXml" ds:itemID="{5A20D935-555A-4DCF-A397-32C5CB7B06F2}"/>
</file>

<file path=customXml/itemProps4.xml><?xml version="1.0" encoding="utf-8"?>
<ds:datastoreItem xmlns:ds="http://schemas.openxmlformats.org/officeDocument/2006/customXml" ds:itemID="{497CCD83-C89A-4D85-BE1B-596D3462B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Monica Renaud</cp:lastModifiedBy>
  <cp:revision/>
  <dcterms:created xsi:type="dcterms:W3CDTF">2025-04-16T14:14:55Z</dcterms:created>
  <dcterms:modified xsi:type="dcterms:W3CDTF">2025-07-30T18:54:53Z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0x010100B6953C2E73E7484291599BAF42EEC68E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53ef0d96-1362-4cf1-906c-bd871db57efe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